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price.corp\cad\Solidedge\wpginsight\LOUVERS\Product Development\ER210505 - Kitchen Exhaust Louvers\Stage 3 - Detailed Design\02 Product Performance\"/>
    </mc:Choice>
  </mc:AlternateContent>
  <xr:revisionPtr revIDLastSave="0" documentId="13_ncr:1_{62752AF7-1CE2-4A6D-AE92-3C5C844A7927}" xr6:coauthVersionLast="47" xr6:coauthVersionMax="47" xr10:uidLastSave="{00000000-0000-0000-0000-000000000000}"/>
  <workbookProtection workbookAlgorithmName="SHA-512" workbookHashValue="ONqHDHSd/Li8TiyTMWEye/bdak5iZtkqqTxdhfH8qP7Zid8cJpS61moB7OuKCWDcsHEyey3pEso+Y7D90zqRTg==" workbookSaltValue="yskfBDJVBRSYqBa4rcCaVw==" workbookSpinCount="100000" lockStructure="1"/>
  <bookViews>
    <workbookView xWindow="28680" yWindow="-120" windowWidth="29040" windowHeight="15840" tabRatio="921" activeTab="1" xr2:uid="{00000000-000D-0000-FFFF-FFFF00000000}"/>
  </bookViews>
  <sheets>
    <sheet name="DATA ENTRY" sheetId="1" r:id="rId1"/>
    <sheet name="PRINT SUMMARY" sheetId="6" r:id="rId2"/>
    <sheet name="REVISION LOG" sheetId="43" state="hidden" r:id="rId3"/>
    <sheet name="SHEETDATA" sheetId="2" state="hidden" r:id="rId4"/>
    <sheet name="WORKSHEET INSTRUCTIONS" sheetId="41" state="hidden" r:id="rId5"/>
    <sheet name="MODEL INSTRUCTIONS" sheetId="40" state="hidden" r:id="rId6"/>
    <sheet name="DE439" sheetId="29" state="hidden" r:id="rId7"/>
    <sheet name="DE635" sheetId="28" state="hidden" r:id="rId8"/>
    <sheet name="ZE439" sheetId="31" state="hidden" r:id="rId9"/>
    <sheet name="ZE445" sheetId="33" state="hidden" r:id="rId10"/>
    <sheet name="JE443" sheetId="34" state="hidden" r:id="rId11"/>
    <sheet name="NJE2" sheetId="35" state="hidden" r:id="rId12"/>
    <sheet name="NSE1" sheetId="36" state="hidden" r:id="rId13"/>
    <sheet name="RSE5" sheetId="37" state="hidden" r:id="rId14"/>
    <sheet name="QA645" sheetId="22" state="hidden" r:id="rId15"/>
    <sheet name="QA845" sheetId="23" state="hidden" r:id="rId16"/>
    <sheet name="QA1245" sheetId="24" state="hidden" r:id="rId17"/>
    <sheet name="QAF845" sheetId="25" state="hidden" r:id="rId18"/>
    <sheet name="QAF1245" sheetId="26" state="hidden" r:id="rId19"/>
    <sheet name="KX445" sheetId="47" state="hidden" r:id="rId20"/>
    <sheet name="KX645" sheetId="48" state="hidden" r:id="rId21"/>
  </sheets>
  <definedNames>
    <definedName name="LOUVERIMAGE">INDIRECT(ADDRESS(29-1+MATCH('PRINT SUMMARY'!$A$15, SHEETDATA!$M$29:$M$43, 0), 14,,,"SHEETDATA"))</definedName>
    <definedName name="MODELS">SHEETDATA!$B$2:$B$17</definedName>
    <definedName name="_xlnm.Print_Area" localSheetId="0">'DATA ENTRY'!$A$1:$M$35</definedName>
    <definedName name="_xlnm.Print_Area" localSheetId="1">'PRINT SUMMARY'!$A$1:$I$42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1" i="48" l="1"/>
  <c r="U71" i="48" s="1"/>
  <c r="V71" i="48" s="1"/>
  <c r="W71" i="48" s="1"/>
  <c r="X71" i="48" s="1"/>
  <c r="Y71" i="48" s="1"/>
  <c r="Z71" i="48" s="1"/>
  <c r="AA71" i="48" s="1"/>
  <c r="AB71" i="48" s="1"/>
  <c r="AC71" i="48" s="1"/>
  <c r="AD71" i="48" s="1"/>
  <c r="AE71" i="48" s="1"/>
  <c r="AF71" i="48" s="1"/>
  <c r="AG71" i="48" s="1"/>
  <c r="AH71" i="48" s="1"/>
  <c r="AI71" i="48" s="1"/>
  <c r="AJ71" i="48" s="1"/>
  <c r="AC70" i="48"/>
  <c r="AD70" i="48"/>
  <c r="AE70" i="48" s="1"/>
  <c r="AF70" i="48" s="1"/>
  <c r="AG70" i="48" s="1"/>
  <c r="AH70" i="48" s="1"/>
  <c r="AI70" i="48" s="1"/>
  <c r="AJ70" i="48" s="1"/>
  <c r="AC72" i="48"/>
  <c r="AD72" i="48"/>
  <c r="AE72" i="48" s="1"/>
  <c r="AF72" i="48" s="1"/>
  <c r="AG72" i="48" s="1"/>
  <c r="AH72" i="48" s="1"/>
  <c r="AI72" i="48" s="1"/>
  <c r="AJ72" i="48" s="1"/>
  <c r="AC73" i="48"/>
  <c r="AD73" i="48"/>
  <c r="AE73" i="48" s="1"/>
  <c r="AF73" i="48" s="1"/>
  <c r="AG73" i="48" s="1"/>
  <c r="AH73" i="48" s="1"/>
  <c r="AI73" i="48" s="1"/>
  <c r="AJ73" i="48" s="1"/>
  <c r="AC74" i="48"/>
  <c r="AD74" i="48"/>
  <c r="AE74" i="48" s="1"/>
  <c r="AF74" i="48" s="1"/>
  <c r="AG74" i="48" s="1"/>
  <c r="AH74" i="48" s="1"/>
  <c r="AI74" i="48" s="1"/>
  <c r="AJ74" i="48" s="1"/>
  <c r="AC75" i="48"/>
  <c r="AD75" i="48"/>
  <c r="AE75" i="48" s="1"/>
  <c r="AF75" i="48" s="1"/>
  <c r="AG75" i="48" s="1"/>
  <c r="AH75" i="48" s="1"/>
  <c r="AI75" i="48" s="1"/>
  <c r="AJ75" i="48" s="1"/>
  <c r="AC76" i="48"/>
  <c r="AD76" i="48"/>
  <c r="AE76" i="48" s="1"/>
  <c r="AF76" i="48" s="1"/>
  <c r="AG76" i="48" s="1"/>
  <c r="AH76" i="48" s="1"/>
  <c r="AI76" i="48" s="1"/>
  <c r="AJ76" i="48" s="1"/>
  <c r="AC77" i="48"/>
  <c r="AD77" i="48"/>
  <c r="AE77" i="48" s="1"/>
  <c r="AF77" i="48" s="1"/>
  <c r="AG77" i="48" s="1"/>
  <c r="AH77" i="48" s="1"/>
  <c r="AI77" i="48" s="1"/>
  <c r="AJ77" i="48" s="1"/>
  <c r="AC78" i="48"/>
  <c r="AD78" i="48"/>
  <c r="AE78" i="48" s="1"/>
  <c r="AF78" i="48" s="1"/>
  <c r="AG78" i="48" s="1"/>
  <c r="AH78" i="48" s="1"/>
  <c r="AI78" i="48" s="1"/>
  <c r="AJ78" i="48" s="1"/>
  <c r="AC79" i="48"/>
  <c r="AD79" i="48"/>
  <c r="AE79" i="48" s="1"/>
  <c r="AF79" i="48" s="1"/>
  <c r="AG79" i="48" s="1"/>
  <c r="AH79" i="48" s="1"/>
  <c r="AI79" i="48" s="1"/>
  <c r="AJ79" i="48" s="1"/>
  <c r="AC80" i="48"/>
  <c r="AD80" i="48"/>
  <c r="AE80" i="48" s="1"/>
  <c r="AF80" i="48" s="1"/>
  <c r="AG80" i="48" s="1"/>
  <c r="AH80" i="48" s="1"/>
  <c r="AI80" i="48" s="1"/>
  <c r="AJ80" i="48" s="1"/>
  <c r="AC81" i="48"/>
  <c r="AD81" i="48"/>
  <c r="AE81" i="48" s="1"/>
  <c r="AF81" i="48" s="1"/>
  <c r="AG81" i="48" s="1"/>
  <c r="AH81" i="48" s="1"/>
  <c r="AI81" i="48" s="1"/>
  <c r="AJ81" i="48" s="1"/>
  <c r="AC82" i="48"/>
  <c r="AD82" i="48"/>
  <c r="AE82" i="48" s="1"/>
  <c r="AF82" i="48" s="1"/>
  <c r="AG82" i="48" s="1"/>
  <c r="AH82" i="48" s="1"/>
  <c r="AI82" i="48" s="1"/>
  <c r="AJ82" i="48" s="1"/>
  <c r="AC83" i="48"/>
  <c r="AD83" i="48"/>
  <c r="AE83" i="48" s="1"/>
  <c r="AF83" i="48" s="1"/>
  <c r="AG83" i="48" s="1"/>
  <c r="AH83" i="48" s="1"/>
  <c r="AI83" i="48" s="1"/>
  <c r="AJ83" i="48" s="1"/>
  <c r="AC84" i="48"/>
  <c r="AD84" i="48"/>
  <c r="AE84" i="48" s="1"/>
  <c r="AF84" i="48" s="1"/>
  <c r="AG84" i="48" s="1"/>
  <c r="AH84" i="48" s="1"/>
  <c r="AI84" i="48" s="1"/>
  <c r="AJ84" i="48" s="1"/>
  <c r="AC85" i="48"/>
  <c r="AD85" i="48"/>
  <c r="AE85" i="48" s="1"/>
  <c r="AF85" i="48" s="1"/>
  <c r="AG85" i="48" s="1"/>
  <c r="AH85" i="48" s="1"/>
  <c r="AI85" i="48" s="1"/>
  <c r="AJ85" i="48" s="1"/>
  <c r="AC86" i="48"/>
  <c r="AD86" i="48"/>
  <c r="AE86" i="48" s="1"/>
  <c r="AF86" i="48" s="1"/>
  <c r="AG86" i="48" s="1"/>
  <c r="AH86" i="48" s="1"/>
  <c r="AI86" i="48" s="1"/>
  <c r="AJ86" i="48" s="1"/>
  <c r="AC87" i="48"/>
  <c r="AD87" i="48"/>
  <c r="AE87" i="48" s="1"/>
  <c r="AF87" i="48" s="1"/>
  <c r="AG87" i="48" s="1"/>
  <c r="AH87" i="48" s="1"/>
  <c r="AI87" i="48" s="1"/>
  <c r="AJ87" i="48" s="1"/>
  <c r="AC88" i="48"/>
  <c r="AD88" i="48"/>
  <c r="AE88" i="48" s="1"/>
  <c r="AF88" i="48" s="1"/>
  <c r="AG88" i="48" s="1"/>
  <c r="AH88" i="48" s="1"/>
  <c r="AI88" i="48" s="1"/>
  <c r="AJ88" i="48" s="1"/>
  <c r="U81" i="48"/>
  <c r="V81" i="48" s="1"/>
  <c r="W81" i="48" s="1"/>
  <c r="X81" i="48" s="1"/>
  <c r="Y81" i="48" s="1"/>
  <c r="Z81" i="48" s="1"/>
  <c r="AA81" i="48" s="1"/>
  <c r="AB81" i="48" s="1"/>
  <c r="U82" i="48"/>
  <c r="V82" i="48" s="1"/>
  <c r="W82" i="48" s="1"/>
  <c r="X82" i="48" s="1"/>
  <c r="Y82" i="48" s="1"/>
  <c r="Z82" i="48" s="1"/>
  <c r="AA82" i="48" s="1"/>
  <c r="AB82" i="48" s="1"/>
  <c r="U83" i="48"/>
  <c r="V83" i="48" s="1"/>
  <c r="W83" i="48" s="1"/>
  <c r="X83" i="48" s="1"/>
  <c r="Y83" i="48" s="1"/>
  <c r="Z83" i="48" s="1"/>
  <c r="AA83" i="48" s="1"/>
  <c r="AB83" i="48" s="1"/>
  <c r="U84" i="48"/>
  <c r="V84" i="48" s="1"/>
  <c r="W84" i="48" s="1"/>
  <c r="X84" i="48" s="1"/>
  <c r="Y84" i="48" s="1"/>
  <c r="Z84" i="48" s="1"/>
  <c r="AA84" i="48" s="1"/>
  <c r="AB84" i="48" s="1"/>
  <c r="U85" i="48"/>
  <c r="V85" i="48" s="1"/>
  <c r="W85" i="48" s="1"/>
  <c r="X85" i="48" s="1"/>
  <c r="Y85" i="48" s="1"/>
  <c r="Z85" i="48" s="1"/>
  <c r="AA85" i="48" s="1"/>
  <c r="AB85" i="48" s="1"/>
  <c r="U86" i="48"/>
  <c r="V86" i="48" s="1"/>
  <c r="W86" i="48" s="1"/>
  <c r="X86" i="48" s="1"/>
  <c r="Y86" i="48" s="1"/>
  <c r="Z86" i="48" s="1"/>
  <c r="AA86" i="48" s="1"/>
  <c r="AB86" i="48" s="1"/>
  <c r="U87" i="48"/>
  <c r="V87" i="48" s="1"/>
  <c r="W87" i="48" s="1"/>
  <c r="X87" i="48" s="1"/>
  <c r="Y87" i="48" s="1"/>
  <c r="Z87" i="48" s="1"/>
  <c r="AA87" i="48" s="1"/>
  <c r="AB87" i="48" s="1"/>
  <c r="U88" i="48"/>
  <c r="V88" i="48" s="1"/>
  <c r="W88" i="48" s="1"/>
  <c r="X88" i="48" s="1"/>
  <c r="Y88" i="48" s="1"/>
  <c r="Z88" i="48" s="1"/>
  <c r="AA88" i="48" s="1"/>
  <c r="AB88" i="48" s="1"/>
  <c r="N70" i="47"/>
  <c r="V71" i="47"/>
  <c r="W71" i="47" s="1"/>
  <c r="X71" i="47" s="1"/>
  <c r="Y71" i="47" s="1"/>
  <c r="Z71" i="47" s="1"/>
  <c r="AA71" i="47" s="1"/>
  <c r="AB71" i="47" s="1"/>
  <c r="V72" i="47"/>
  <c r="W72" i="47"/>
  <c r="X72" i="47" s="1"/>
  <c r="Y72" i="47" s="1"/>
  <c r="Z72" i="47" s="1"/>
  <c r="AA72" i="47" s="1"/>
  <c r="AB72" i="47" s="1"/>
  <c r="V73" i="47"/>
  <c r="W73" i="47"/>
  <c r="X73" i="47"/>
  <c r="Y73" i="47" s="1"/>
  <c r="Z73" i="47" s="1"/>
  <c r="AA73" i="47" s="1"/>
  <c r="AB73" i="47" s="1"/>
  <c r="V74" i="47"/>
  <c r="W74" i="47"/>
  <c r="X74" i="47"/>
  <c r="Y74" i="47"/>
  <c r="Z74" i="47" s="1"/>
  <c r="AA74" i="47" s="1"/>
  <c r="AB74" i="47" s="1"/>
  <c r="V75" i="47"/>
  <c r="W75" i="47" s="1"/>
  <c r="X75" i="47" s="1"/>
  <c r="Y75" i="47" s="1"/>
  <c r="Z75" i="47" s="1"/>
  <c r="AA75" i="47" s="1"/>
  <c r="AB75" i="47" s="1"/>
  <c r="V76" i="47"/>
  <c r="W76" i="47"/>
  <c r="X76" i="47" s="1"/>
  <c r="Y76" i="47" s="1"/>
  <c r="Z76" i="47" s="1"/>
  <c r="AA76" i="47" s="1"/>
  <c r="AB76" i="47" s="1"/>
  <c r="V77" i="47"/>
  <c r="W77" i="47"/>
  <c r="X77" i="47"/>
  <c r="Y77" i="47" s="1"/>
  <c r="Z77" i="47" s="1"/>
  <c r="AA77" i="47" s="1"/>
  <c r="AB77" i="47" s="1"/>
  <c r="V78" i="47"/>
  <c r="W78" i="47" s="1"/>
  <c r="X78" i="47" s="1"/>
  <c r="Y78" i="47" s="1"/>
  <c r="Z78" i="47" s="1"/>
  <c r="AA78" i="47" s="1"/>
  <c r="AB78" i="47" s="1"/>
  <c r="V79" i="47"/>
  <c r="W79" i="47" s="1"/>
  <c r="X79" i="47" s="1"/>
  <c r="Y79" i="47" s="1"/>
  <c r="Z79" i="47" s="1"/>
  <c r="AA79" i="47" s="1"/>
  <c r="AB79" i="47" s="1"/>
  <c r="V80" i="47"/>
  <c r="W80" i="47"/>
  <c r="X80" i="47" s="1"/>
  <c r="Y80" i="47" s="1"/>
  <c r="Z80" i="47" s="1"/>
  <c r="AA80" i="47" s="1"/>
  <c r="AB80" i="47" s="1"/>
  <c r="U71" i="47"/>
  <c r="U72" i="47"/>
  <c r="U73" i="47"/>
  <c r="U74" i="47"/>
  <c r="U75" i="47"/>
  <c r="U76" i="47"/>
  <c r="U77" i="47"/>
  <c r="U78" i="47"/>
  <c r="U79" i="47"/>
  <c r="U80" i="47"/>
  <c r="Q70" i="47"/>
  <c r="O15" i="1"/>
  <c r="N88" i="47"/>
  <c r="U88" i="47" s="1"/>
  <c r="V88" i="47" s="1"/>
  <c r="W88" i="47" s="1"/>
  <c r="X88" i="47" s="1"/>
  <c r="Y88" i="47" s="1"/>
  <c r="Z88" i="47" s="1"/>
  <c r="AA88" i="47" s="1"/>
  <c r="AB88" i="47" s="1"/>
  <c r="AC88" i="47" s="1"/>
  <c r="AD88" i="47" s="1"/>
  <c r="AE88" i="47" s="1"/>
  <c r="AF88" i="47" s="1"/>
  <c r="AG88" i="47" s="1"/>
  <c r="AH88" i="47" s="1"/>
  <c r="AI88" i="47" s="1"/>
  <c r="AJ88" i="47" s="1"/>
  <c r="N87" i="47"/>
  <c r="U87" i="47" s="1"/>
  <c r="V87" i="47" s="1"/>
  <c r="W87" i="47" s="1"/>
  <c r="X87" i="47" s="1"/>
  <c r="Y87" i="47" s="1"/>
  <c r="Z87" i="47" s="1"/>
  <c r="AA87" i="47" s="1"/>
  <c r="AB87" i="47" s="1"/>
  <c r="AC87" i="47" s="1"/>
  <c r="AD87" i="47" s="1"/>
  <c r="AE87" i="47" s="1"/>
  <c r="AF87" i="47" s="1"/>
  <c r="AG87" i="47" s="1"/>
  <c r="AH87" i="47" s="1"/>
  <c r="AI87" i="47" s="1"/>
  <c r="AJ87" i="47" s="1"/>
  <c r="N86" i="47"/>
  <c r="U86" i="47" s="1"/>
  <c r="V86" i="47" s="1"/>
  <c r="W86" i="47" s="1"/>
  <c r="X86" i="47" s="1"/>
  <c r="Y86" i="47" s="1"/>
  <c r="Z86" i="47" s="1"/>
  <c r="AA86" i="47" s="1"/>
  <c r="AB86" i="47" s="1"/>
  <c r="AC86" i="47" s="1"/>
  <c r="AD86" i="47" s="1"/>
  <c r="AE86" i="47" s="1"/>
  <c r="AF86" i="47" s="1"/>
  <c r="AG86" i="47" s="1"/>
  <c r="AH86" i="47" s="1"/>
  <c r="AI86" i="47" s="1"/>
  <c r="AJ86" i="47" s="1"/>
  <c r="N85" i="47"/>
  <c r="U85" i="47" s="1"/>
  <c r="V85" i="47" s="1"/>
  <c r="W85" i="47" s="1"/>
  <c r="X85" i="47" s="1"/>
  <c r="Y85" i="47" s="1"/>
  <c r="Z85" i="47" s="1"/>
  <c r="AA85" i="47" s="1"/>
  <c r="AB85" i="47" s="1"/>
  <c r="AC85" i="47" s="1"/>
  <c r="AD85" i="47" s="1"/>
  <c r="AE85" i="47" s="1"/>
  <c r="AF85" i="47" s="1"/>
  <c r="AG85" i="47" s="1"/>
  <c r="AH85" i="47" s="1"/>
  <c r="AI85" i="47" s="1"/>
  <c r="AJ85" i="47" s="1"/>
  <c r="N84" i="47"/>
  <c r="U84" i="47" s="1"/>
  <c r="V84" i="47" s="1"/>
  <c r="W84" i="47" s="1"/>
  <c r="X84" i="47" s="1"/>
  <c r="Y84" i="47" s="1"/>
  <c r="Z84" i="47" s="1"/>
  <c r="AA84" i="47" s="1"/>
  <c r="AB84" i="47" s="1"/>
  <c r="AC84" i="47" s="1"/>
  <c r="AD84" i="47" s="1"/>
  <c r="AE84" i="47" s="1"/>
  <c r="AF84" i="47" s="1"/>
  <c r="AG84" i="47" s="1"/>
  <c r="AH84" i="47" s="1"/>
  <c r="AI84" i="47" s="1"/>
  <c r="AJ84" i="47" s="1"/>
  <c r="N83" i="47"/>
  <c r="U83" i="47" s="1"/>
  <c r="V83" i="47" s="1"/>
  <c r="W83" i="47" s="1"/>
  <c r="X83" i="47" s="1"/>
  <c r="Y83" i="47" s="1"/>
  <c r="Z83" i="47" s="1"/>
  <c r="AA83" i="47" s="1"/>
  <c r="AB83" i="47" s="1"/>
  <c r="AC83" i="47" s="1"/>
  <c r="AD83" i="47" s="1"/>
  <c r="AE83" i="47" s="1"/>
  <c r="AF83" i="47" s="1"/>
  <c r="AG83" i="47" s="1"/>
  <c r="AH83" i="47" s="1"/>
  <c r="AI83" i="47" s="1"/>
  <c r="AJ83" i="47" s="1"/>
  <c r="N82" i="47"/>
  <c r="U82" i="47" s="1"/>
  <c r="V82" i="47" s="1"/>
  <c r="W82" i="47" s="1"/>
  <c r="X82" i="47" s="1"/>
  <c r="Y82" i="47" s="1"/>
  <c r="Z82" i="47" s="1"/>
  <c r="AA82" i="47" s="1"/>
  <c r="AB82" i="47" s="1"/>
  <c r="AC82" i="47" s="1"/>
  <c r="AD82" i="47" s="1"/>
  <c r="AE82" i="47" s="1"/>
  <c r="AF82" i="47" s="1"/>
  <c r="AG82" i="47" s="1"/>
  <c r="AH82" i="47" s="1"/>
  <c r="AI82" i="47" s="1"/>
  <c r="AJ82" i="47" s="1"/>
  <c r="N81" i="47"/>
  <c r="U81" i="47" s="1"/>
  <c r="V81" i="47" s="1"/>
  <c r="W81" i="47" s="1"/>
  <c r="X81" i="47" s="1"/>
  <c r="Y81" i="47" s="1"/>
  <c r="Z81" i="47" s="1"/>
  <c r="AA81" i="47" s="1"/>
  <c r="AB81" i="47" s="1"/>
  <c r="AC81" i="47" s="1"/>
  <c r="AD81" i="47" s="1"/>
  <c r="AE81" i="47" s="1"/>
  <c r="AF81" i="47" s="1"/>
  <c r="AG81" i="47" s="1"/>
  <c r="AH81" i="47" s="1"/>
  <c r="AI81" i="47" s="1"/>
  <c r="AJ81" i="47" s="1"/>
  <c r="N80" i="47"/>
  <c r="N79" i="47"/>
  <c r="N78" i="47"/>
  <c r="N77" i="47"/>
  <c r="N76" i="47"/>
  <c r="N75" i="47"/>
  <c r="N74" i="47"/>
  <c r="N73" i="47"/>
  <c r="N72" i="47"/>
  <c r="N71" i="47"/>
  <c r="N88" i="48"/>
  <c r="N87" i="48"/>
  <c r="N86" i="48"/>
  <c r="N85" i="48"/>
  <c r="N84" i="48"/>
  <c r="N83" i="48"/>
  <c r="N82" i="48"/>
  <c r="N81" i="48"/>
  <c r="N80" i="48"/>
  <c r="U80" i="48" s="1"/>
  <c r="V80" i="48" s="1"/>
  <c r="W80" i="48" s="1"/>
  <c r="X80" i="48" s="1"/>
  <c r="Y80" i="48" s="1"/>
  <c r="Z80" i="48" s="1"/>
  <c r="AA80" i="48" s="1"/>
  <c r="AB80" i="48" s="1"/>
  <c r="N79" i="48"/>
  <c r="U79" i="48" s="1"/>
  <c r="V79" i="48" s="1"/>
  <c r="W79" i="48" s="1"/>
  <c r="X79" i="48" s="1"/>
  <c r="Y79" i="48" s="1"/>
  <c r="Z79" i="48" s="1"/>
  <c r="AA79" i="48" s="1"/>
  <c r="AB79" i="48" s="1"/>
  <c r="N78" i="48"/>
  <c r="U78" i="48" s="1"/>
  <c r="V78" i="48" s="1"/>
  <c r="W78" i="48" s="1"/>
  <c r="X78" i="48" s="1"/>
  <c r="Y78" i="48" s="1"/>
  <c r="Z78" i="48" s="1"/>
  <c r="AA78" i="48" s="1"/>
  <c r="AB78" i="48" s="1"/>
  <c r="N77" i="48"/>
  <c r="U77" i="48" s="1"/>
  <c r="V77" i="48" s="1"/>
  <c r="W77" i="48" s="1"/>
  <c r="X77" i="48" s="1"/>
  <c r="Y77" i="48" s="1"/>
  <c r="Z77" i="48" s="1"/>
  <c r="AA77" i="48" s="1"/>
  <c r="AB77" i="48" s="1"/>
  <c r="N76" i="48"/>
  <c r="N75" i="48"/>
  <c r="U75" i="48" s="1"/>
  <c r="V75" i="48" s="1"/>
  <c r="W75" i="48" s="1"/>
  <c r="X75" i="48" s="1"/>
  <c r="Y75" i="48" s="1"/>
  <c r="Z75" i="48" s="1"/>
  <c r="AA75" i="48" s="1"/>
  <c r="AB75" i="48" s="1"/>
  <c r="N74" i="48"/>
  <c r="U74" i="48" s="1"/>
  <c r="V74" i="48" s="1"/>
  <c r="W74" i="48" s="1"/>
  <c r="X74" i="48" s="1"/>
  <c r="Y74" i="48" s="1"/>
  <c r="Z74" i="48" s="1"/>
  <c r="AA74" i="48" s="1"/>
  <c r="AB74" i="48" s="1"/>
  <c r="N73" i="48"/>
  <c r="U73" i="48" s="1"/>
  <c r="V73" i="48" s="1"/>
  <c r="W73" i="48" s="1"/>
  <c r="X73" i="48" s="1"/>
  <c r="Y73" i="48" s="1"/>
  <c r="Z73" i="48" s="1"/>
  <c r="AA73" i="48" s="1"/>
  <c r="AB73" i="48" s="1"/>
  <c r="N72" i="48"/>
  <c r="U72" i="48" s="1"/>
  <c r="V72" i="48" s="1"/>
  <c r="W72" i="48" s="1"/>
  <c r="X72" i="48" s="1"/>
  <c r="Y72" i="48" s="1"/>
  <c r="Z72" i="48" s="1"/>
  <c r="AA72" i="48" s="1"/>
  <c r="AB72" i="48" s="1"/>
  <c r="N70" i="48"/>
  <c r="U76" i="48"/>
  <c r="V76" i="48" s="1"/>
  <c r="W76" i="48" s="1"/>
  <c r="X76" i="48" s="1"/>
  <c r="Y76" i="48" s="1"/>
  <c r="Z76" i="48" s="1"/>
  <c r="AA76" i="48" s="1"/>
  <c r="AB76" i="48" s="1"/>
  <c r="T64" i="48"/>
  <c r="S64" i="48"/>
  <c r="R64" i="48"/>
  <c r="AI63" i="48"/>
  <c r="AH63" i="48"/>
  <c r="AG63" i="48"/>
  <c r="AF63" i="48"/>
  <c r="T63" i="48"/>
  <c r="S63" i="48"/>
  <c r="R63" i="48"/>
  <c r="AI62" i="48"/>
  <c r="AH62" i="48"/>
  <c r="AG62" i="48"/>
  <c r="AF62" i="48"/>
  <c r="T62" i="48"/>
  <c r="S62" i="48"/>
  <c r="R62" i="48"/>
  <c r="AI61" i="48"/>
  <c r="AH61" i="48"/>
  <c r="AG61" i="48"/>
  <c r="AF61" i="48"/>
  <c r="T61" i="48"/>
  <c r="S61" i="48"/>
  <c r="R61" i="48"/>
  <c r="AI60" i="48"/>
  <c r="AH60" i="48"/>
  <c r="AG60" i="48"/>
  <c r="AF60" i="48"/>
  <c r="T60" i="48"/>
  <c r="S60" i="48"/>
  <c r="R60" i="48"/>
  <c r="AI59" i="48"/>
  <c r="AH59" i="48"/>
  <c r="AG59" i="48"/>
  <c r="AF59" i="48"/>
  <c r="T59" i="48"/>
  <c r="S59" i="48"/>
  <c r="R59" i="48"/>
  <c r="AI58" i="48"/>
  <c r="AH58" i="48"/>
  <c r="AG58" i="48"/>
  <c r="AF58" i="48"/>
  <c r="T58" i="48"/>
  <c r="S58" i="48"/>
  <c r="R58" i="48"/>
  <c r="AI57" i="48"/>
  <c r="AH57" i="48"/>
  <c r="AG57" i="48"/>
  <c r="AF57" i="48"/>
  <c r="T57" i="48"/>
  <c r="S57" i="48"/>
  <c r="R57" i="48"/>
  <c r="AI56" i="48"/>
  <c r="AH56" i="48"/>
  <c r="AG56" i="48"/>
  <c r="AF56" i="48"/>
  <c r="T56" i="48"/>
  <c r="S56" i="48"/>
  <c r="R56" i="48"/>
  <c r="AI55" i="48"/>
  <c r="AH55" i="48"/>
  <c r="AG55" i="48"/>
  <c r="AF55" i="48"/>
  <c r="T55" i="48"/>
  <c r="S55" i="48"/>
  <c r="R55" i="48"/>
  <c r="AI54" i="48"/>
  <c r="AH54" i="48"/>
  <c r="AG54" i="48"/>
  <c r="AF54" i="48"/>
  <c r="T54" i="48"/>
  <c r="S54" i="48"/>
  <c r="R54" i="48"/>
  <c r="AI53" i="48"/>
  <c r="AH53" i="48"/>
  <c r="AG53" i="48"/>
  <c r="AF53" i="48"/>
  <c r="AB53" i="48"/>
  <c r="AA53" i="48"/>
  <c r="Z53" i="48"/>
  <c r="Y53" i="48"/>
  <c r="X53" i="48"/>
  <c r="W53" i="48"/>
  <c r="V53" i="48"/>
  <c r="U53" i="48"/>
  <c r="T53" i="48"/>
  <c r="S53" i="48"/>
  <c r="R53" i="48"/>
  <c r="AC21" i="48"/>
  <c r="AG53" i="47" l="1"/>
  <c r="AH53" i="47"/>
  <c r="AI53" i="47"/>
  <c r="AG54" i="47"/>
  <c r="AH54" i="47"/>
  <c r="AI54" i="47"/>
  <c r="AG55" i="47"/>
  <c r="AH55" i="47"/>
  <c r="AI55" i="47"/>
  <c r="AG56" i="47"/>
  <c r="AH56" i="47"/>
  <c r="AI56" i="47"/>
  <c r="AG57" i="47"/>
  <c r="AH57" i="47"/>
  <c r="AI57" i="47"/>
  <c r="AG58" i="47"/>
  <c r="AH58" i="47"/>
  <c r="AI58" i="47"/>
  <c r="AG59" i="47"/>
  <c r="AH59" i="47"/>
  <c r="AI59" i="47"/>
  <c r="AG60" i="47"/>
  <c r="AH60" i="47"/>
  <c r="AI60" i="47"/>
  <c r="AG61" i="47"/>
  <c r="AH61" i="47"/>
  <c r="AI61" i="47"/>
  <c r="AG62" i="47"/>
  <c r="AH62" i="47"/>
  <c r="AI62" i="47"/>
  <c r="AG63" i="47"/>
  <c r="AH63" i="47"/>
  <c r="AI63" i="47"/>
  <c r="AF54" i="47"/>
  <c r="AF55" i="47"/>
  <c r="AF56" i="47"/>
  <c r="AF57" i="47"/>
  <c r="AF58" i="47"/>
  <c r="AF59" i="47"/>
  <c r="AF60" i="47"/>
  <c r="AF61" i="47"/>
  <c r="AF62" i="47"/>
  <c r="AF63" i="47"/>
  <c r="AF53" i="47"/>
  <c r="AE54" i="47"/>
  <c r="AE55" i="47"/>
  <c r="AE56" i="47"/>
  <c r="AE57" i="47"/>
  <c r="AE58" i="47"/>
  <c r="AE59" i="47"/>
  <c r="AE60" i="47"/>
  <c r="AE61" i="47"/>
  <c r="AE62" i="47"/>
  <c r="AE63" i="47"/>
  <c r="AE53" i="47"/>
  <c r="R56" i="47"/>
  <c r="S56" i="47"/>
  <c r="T56" i="47"/>
  <c r="R57" i="47"/>
  <c r="S57" i="47"/>
  <c r="T57" i="47"/>
  <c r="R58" i="47"/>
  <c r="S58" i="47"/>
  <c r="T58" i="47"/>
  <c r="R59" i="47"/>
  <c r="S59" i="47"/>
  <c r="T59" i="47"/>
  <c r="R60" i="47"/>
  <c r="S60" i="47"/>
  <c r="T60" i="47"/>
  <c r="R61" i="47"/>
  <c r="S61" i="47"/>
  <c r="T61" i="47"/>
  <c r="R62" i="47"/>
  <c r="S62" i="47"/>
  <c r="T62" i="47"/>
  <c r="R63" i="47"/>
  <c r="S63" i="47"/>
  <c r="T63" i="47"/>
  <c r="R64" i="47"/>
  <c r="S64" i="47"/>
  <c r="T64" i="47"/>
  <c r="R55" i="47"/>
  <c r="S55" i="47"/>
  <c r="T55" i="47"/>
  <c r="R54" i="47"/>
  <c r="S54" i="47"/>
  <c r="T54" i="47"/>
  <c r="S53" i="47"/>
  <c r="T53" i="47"/>
  <c r="U53" i="47"/>
  <c r="V53" i="47"/>
  <c r="W53" i="47"/>
  <c r="X53" i="47"/>
  <c r="Y53" i="47"/>
  <c r="Z53" i="47"/>
  <c r="AA53" i="47"/>
  <c r="AB53" i="47"/>
  <c r="R53" i="47"/>
  <c r="AC21" i="47"/>
  <c r="C21" i="47"/>
  <c r="E20" i="47"/>
  <c r="AH22" i="48" l="1"/>
  <c r="AC22" i="48" s="1"/>
  <c r="AH21" i="48"/>
  <c r="O71" i="48"/>
  <c r="U70" i="48"/>
  <c r="V70" i="48" s="1"/>
  <c r="W70" i="48" s="1"/>
  <c r="X70" i="48" s="1"/>
  <c r="Y70" i="48" s="1"/>
  <c r="Z70" i="48" s="1"/>
  <c r="AA70" i="48" s="1"/>
  <c r="AB70" i="48" s="1"/>
  <c r="O69" i="48"/>
  <c r="AE53" i="48" s="1"/>
  <c r="S67" i="48"/>
  <c r="Q67" i="48"/>
  <c r="R52" i="48" s="1"/>
  <c r="G33" i="48"/>
  <c r="E33" i="48"/>
  <c r="E21" i="48" s="1"/>
  <c r="F21" i="48" s="1"/>
  <c r="C23" i="48"/>
  <c r="AH23" i="48" s="1"/>
  <c r="AC23" i="48" s="1"/>
  <c r="D22" i="48"/>
  <c r="C40" i="48" s="1"/>
  <c r="G21" i="48"/>
  <c r="H21" i="48" s="1"/>
  <c r="D21" i="48"/>
  <c r="C39" i="48" s="1"/>
  <c r="I20" i="48"/>
  <c r="H20" i="48"/>
  <c r="G38" i="48" s="1"/>
  <c r="F20" i="48"/>
  <c r="E38" i="48" s="1"/>
  <c r="B16" i="48"/>
  <c r="O14" i="48"/>
  <c r="O13" i="48"/>
  <c r="O12" i="48"/>
  <c r="O11" i="48"/>
  <c r="O10" i="48"/>
  <c r="O9" i="48"/>
  <c r="V8" i="48"/>
  <c r="P8" i="48"/>
  <c r="O8" i="48"/>
  <c r="V7" i="48"/>
  <c r="O7" i="48"/>
  <c r="V6" i="48"/>
  <c r="O6" i="48"/>
  <c r="C6" i="48"/>
  <c r="V5" i="48"/>
  <c r="O5" i="48"/>
  <c r="C5" i="48"/>
  <c r="O4" i="48"/>
  <c r="C4" i="48"/>
  <c r="D4" i="48" s="1"/>
  <c r="C3" i="48"/>
  <c r="D3" i="48" s="1"/>
  <c r="O69" i="47"/>
  <c r="O72" i="48" l="1"/>
  <c r="AE54" i="48"/>
  <c r="T67" i="48"/>
  <c r="S52" i="48"/>
  <c r="U60" i="48"/>
  <c r="U55" i="48"/>
  <c r="AJ54" i="48"/>
  <c r="AJ53" i="48"/>
  <c r="U54" i="48"/>
  <c r="D23" i="48"/>
  <c r="P105" i="48"/>
  <c r="P107" i="48" s="1"/>
  <c r="AB98" i="48" s="1"/>
  <c r="P98" i="48"/>
  <c r="P100" i="48" s="1"/>
  <c r="AB97" i="48" s="1"/>
  <c r="D86" i="48"/>
  <c r="F6" i="48"/>
  <c r="W5" i="48"/>
  <c r="E22" i="48"/>
  <c r="G22" i="48"/>
  <c r="J3" i="48"/>
  <c r="C8" i="48"/>
  <c r="I38" i="48"/>
  <c r="I33" i="48"/>
  <c r="K20" i="48"/>
  <c r="J20" i="48"/>
  <c r="E23" i="48"/>
  <c r="G23" i="48"/>
  <c r="F8" i="48"/>
  <c r="W8" i="48" s="1"/>
  <c r="E39" i="48"/>
  <c r="C41" i="48"/>
  <c r="C24" i="48"/>
  <c r="AH24" i="48" s="1"/>
  <c r="W6" i="48"/>
  <c r="G39" i="48"/>
  <c r="B16" i="47"/>
  <c r="U67" i="48" l="1"/>
  <c r="T52" i="48"/>
  <c r="O73" i="48"/>
  <c r="AE55" i="48"/>
  <c r="V55" i="48"/>
  <c r="AK54" i="48"/>
  <c r="AK53" i="48"/>
  <c r="V54" i="48"/>
  <c r="F9" i="48"/>
  <c r="C68" i="48" s="1"/>
  <c r="F23" i="48"/>
  <c r="E41" i="48" s="1"/>
  <c r="W7" i="48"/>
  <c r="C11" i="48"/>
  <c r="P10" i="48" s="1"/>
  <c r="F22" i="48"/>
  <c r="E40" i="48" s="1"/>
  <c r="D24" i="48"/>
  <c r="C42" i="48" s="1"/>
  <c r="C25" i="48"/>
  <c r="AH25" i="48" s="1"/>
  <c r="AC24" i="48"/>
  <c r="I24" i="48" s="1"/>
  <c r="K33" i="48"/>
  <c r="L20" i="48"/>
  <c r="K38" i="48" s="1"/>
  <c r="M20" i="48"/>
  <c r="J4" i="48"/>
  <c r="P14" i="48" s="1"/>
  <c r="P13" i="48"/>
  <c r="C9" i="48"/>
  <c r="C67" i="48" s="1"/>
  <c r="H23" i="48"/>
  <c r="G41" i="48" s="1"/>
  <c r="I23" i="48"/>
  <c r="I22" i="48"/>
  <c r="I21" i="48"/>
  <c r="H22" i="48"/>
  <c r="G40" i="48" s="1"/>
  <c r="E33" i="47"/>
  <c r="F20" i="47"/>
  <c r="E38" i="47" s="1"/>
  <c r="AH21" i="47"/>
  <c r="D21" i="47"/>
  <c r="C39" i="47" s="1"/>
  <c r="O74" i="48" l="1"/>
  <c r="AE56" i="48"/>
  <c r="V67" i="48"/>
  <c r="U52" i="48"/>
  <c r="H73" i="48"/>
  <c r="D78" i="48" s="1"/>
  <c r="AL71" i="48"/>
  <c r="D73" i="48"/>
  <c r="E77" i="48" s="1"/>
  <c r="AL70" i="48"/>
  <c r="U56" i="48"/>
  <c r="AJ55" i="48"/>
  <c r="W55" i="48"/>
  <c r="AL54" i="48"/>
  <c r="AL53" i="48"/>
  <c r="W54" i="48"/>
  <c r="V59" i="47"/>
  <c r="U60" i="47"/>
  <c r="AJ59" i="47"/>
  <c r="U59" i="47"/>
  <c r="D79" i="48"/>
  <c r="J24" i="48"/>
  <c r="I42" i="48" s="1"/>
  <c r="J21" i="48"/>
  <c r="I39" i="48" s="1"/>
  <c r="J23" i="48"/>
  <c r="I41" i="48" s="1"/>
  <c r="F77" i="48"/>
  <c r="D25" i="48"/>
  <c r="C43" i="48" s="1"/>
  <c r="C26" i="48"/>
  <c r="AH26" i="48" s="1"/>
  <c r="AC25" i="48"/>
  <c r="K21" i="48"/>
  <c r="K24" i="48"/>
  <c r="K23" i="48"/>
  <c r="K22" i="48"/>
  <c r="J22" i="48"/>
  <c r="I40" i="48" s="1"/>
  <c r="AJ56" i="48"/>
  <c r="M33" i="48"/>
  <c r="O20" i="48"/>
  <c r="N20" i="48"/>
  <c r="M38" i="48" s="1"/>
  <c r="E24" i="48"/>
  <c r="G24" i="48"/>
  <c r="E21" i="47"/>
  <c r="H20" i="47"/>
  <c r="G38" i="47" s="1"/>
  <c r="I20" i="47"/>
  <c r="J20" i="47" s="1"/>
  <c r="I38" i="47" s="1"/>
  <c r="D22" i="47"/>
  <c r="C40" i="47" s="1"/>
  <c r="AH22" i="47"/>
  <c r="AC22" i="47" s="1"/>
  <c r="E22" i="47" s="1"/>
  <c r="C23" i="47"/>
  <c r="D23" i="47" s="1"/>
  <c r="G33" i="47"/>
  <c r="G21" i="47" s="1"/>
  <c r="I73" i="48" l="1"/>
  <c r="D80" i="48" s="1"/>
  <c r="W67" i="48"/>
  <c r="V52" i="48"/>
  <c r="O75" i="48"/>
  <c r="AE57" i="48"/>
  <c r="U57" i="48"/>
  <c r="AK56" i="48"/>
  <c r="V56" i="48"/>
  <c r="AK55" i="48"/>
  <c r="X55" i="48"/>
  <c r="X54" i="48"/>
  <c r="AM53" i="48"/>
  <c r="AM54" i="48"/>
  <c r="V60" i="47"/>
  <c r="AK59" i="47"/>
  <c r="U61" i="47"/>
  <c r="AJ60" i="47"/>
  <c r="W59" i="47"/>
  <c r="L22" i="48"/>
  <c r="K40" i="48" s="1"/>
  <c r="O33" i="48"/>
  <c r="P20" i="48"/>
  <c r="O38" i="48" s="1"/>
  <c r="Q20" i="48"/>
  <c r="L23" i="48"/>
  <c r="K41" i="48" s="1"/>
  <c r="D26" i="48"/>
  <c r="C44" i="48" s="1"/>
  <c r="C27" i="48"/>
  <c r="AH27" i="48" s="1"/>
  <c r="AC26" i="48"/>
  <c r="M26" i="48" s="1"/>
  <c r="E73" i="48"/>
  <c r="G77" i="48" s="1"/>
  <c r="E25" i="48"/>
  <c r="G25" i="48"/>
  <c r="I25" i="48"/>
  <c r="H24" i="48"/>
  <c r="G42" i="48" s="1"/>
  <c r="M25" i="48"/>
  <c r="M24" i="48"/>
  <c r="M23" i="48"/>
  <c r="M22" i="48"/>
  <c r="M21" i="48"/>
  <c r="L24" i="48"/>
  <c r="K42" i="48" s="1"/>
  <c r="F24" i="48"/>
  <c r="E42" i="48" s="1"/>
  <c r="K25" i="48"/>
  <c r="L21" i="48"/>
  <c r="K39" i="48" s="1"/>
  <c r="H21" i="47"/>
  <c r="G39" i="47" s="1"/>
  <c r="F21" i="47"/>
  <c r="E39" i="47" s="1"/>
  <c r="F22" i="47"/>
  <c r="E40" i="47" s="1"/>
  <c r="I33" i="47"/>
  <c r="I21" i="47" s="1"/>
  <c r="K20" i="47"/>
  <c r="M20" i="47" s="1"/>
  <c r="C41" i="47"/>
  <c r="C24" i="47"/>
  <c r="AH23" i="47"/>
  <c r="AC23" i="47" s="1"/>
  <c r="G22" i="47"/>
  <c r="X67" i="48" l="1"/>
  <c r="W52" i="48"/>
  <c r="O76" i="48"/>
  <c r="AE58" i="48"/>
  <c r="AJ57" i="48"/>
  <c r="U58" i="48"/>
  <c r="AL56" i="48"/>
  <c r="V57" i="48"/>
  <c r="W56" i="48"/>
  <c r="AL55" i="48"/>
  <c r="Y55" i="48"/>
  <c r="Y54" i="48"/>
  <c r="AN54" i="48"/>
  <c r="AN53" i="48"/>
  <c r="X59" i="47"/>
  <c r="U62" i="47"/>
  <c r="AJ61" i="47"/>
  <c r="V61" i="47"/>
  <c r="AK60" i="47"/>
  <c r="W60" i="47"/>
  <c r="AL59" i="47"/>
  <c r="I23" i="47"/>
  <c r="J23" i="47" s="1"/>
  <c r="I41" i="47" s="1"/>
  <c r="G23" i="47"/>
  <c r="N23" i="48"/>
  <c r="M41" i="48" s="1"/>
  <c r="F25" i="48"/>
  <c r="E43" i="48" s="1"/>
  <c r="D27" i="48"/>
  <c r="C45" i="48" s="1"/>
  <c r="C28" i="48"/>
  <c r="AH28" i="48" s="1"/>
  <c r="AC27" i="48"/>
  <c r="O27" i="48" s="1"/>
  <c r="O21" i="48"/>
  <c r="O26" i="48"/>
  <c r="O25" i="48"/>
  <c r="O24" i="48"/>
  <c r="O23" i="48"/>
  <c r="O22" i="48"/>
  <c r="N24" i="48"/>
  <c r="M42" i="48" s="1"/>
  <c r="L25" i="48"/>
  <c r="K43" i="48" s="1"/>
  <c r="N21" i="48"/>
  <c r="M39" i="48" s="1"/>
  <c r="N25" i="48"/>
  <c r="M43" i="48" s="1"/>
  <c r="J25" i="48"/>
  <c r="I43" i="48" s="1"/>
  <c r="E26" i="48"/>
  <c r="G26" i="48"/>
  <c r="I26" i="48"/>
  <c r="K26" i="48"/>
  <c r="N22" i="48"/>
  <c r="M40" i="48" s="1"/>
  <c r="N26" i="48"/>
  <c r="M44" i="48" s="1"/>
  <c r="H25" i="48"/>
  <c r="G43" i="48" s="1"/>
  <c r="Q33" i="48"/>
  <c r="S20" i="48"/>
  <c r="R20" i="48"/>
  <c r="Q38" i="48" s="1"/>
  <c r="I22" i="47"/>
  <c r="J22" i="47" s="1"/>
  <c r="H23" i="47"/>
  <c r="G41" i="47" s="1"/>
  <c r="E23" i="47"/>
  <c r="F23" i="47" s="1"/>
  <c r="E41" i="47" s="1"/>
  <c r="J21" i="47"/>
  <c r="I39" i="47" s="1"/>
  <c r="L20" i="47"/>
  <c r="K38" i="47" s="1"/>
  <c r="K33" i="47"/>
  <c r="K21" i="47" s="1"/>
  <c r="C25" i="47"/>
  <c r="D24" i="47"/>
  <c r="C42" i="47" s="1"/>
  <c r="AH24" i="47"/>
  <c r="AC24" i="47" s="1"/>
  <c r="E24" i="47" s="1"/>
  <c r="F24" i="47" s="1"/>
  <c r="E42" i="47" s="1"/>
  <c r="N20" i="47"/>
  <c r="M38" i="47" s="1"/>
  <c r="O20" i="47"/>
  <c r="M33" i="47"/>
  <c r="M21" i="47" s="1"/>
  <c r="H22" i="47"/>
  <c r="G40" i="47" s="1"/>
  <c r="O77" i="48" l="1"/>
  <c r="AE59" i="48"/>
  <c r="Y67" i="48"/>
  <c r="X52" i="48"/>
  <c r="W57" i="48"/>
  <c r="AJ58" i="48"/>
  <c r="U59" i="48"/>
  <c r="AJ59" i="48"/>
  <c r="V58" i="48"/>
  <c r="AK57" i="48"/>
  <c r="X56" i="48"/>
  <c r="AM56" i="48"/>
  <c r="AM55" i="48"/>
  <c r="Z55" i="48"/>
  <c r="AO54" i="48"/>
  <c r="AO53" i="48"/>
  <c r="Z54" i="48"/>
  <c r="X60" i="47"/>
  <c r="AM59" i="47"/>
  <c r="V62" i="47"/>
  <c r="AK61" i="47"/>
  <c r="U63" i="47"/>
  <c r="AJ62" i="47"/>
  <c r="Y59" i="47"/>
  <c r="W61" i="47"/>
  <c r="AL60" i="47"/>
  <c r="P27" i="48"/>
  <c r="O45" i="48" s="1"/>
  <c r="P22" i="48"/>
  <c r="O40" i="48" s="1"/>
  <c r="P26" i="48"/>
  <c r="O44" i="48" s="1"/>
  <c r="T20" i="48"/>
  <c r="S38" i="48" s="1"/>
  <c r="S33" i="48"/>
  <c r="U20" i="48"/>
  <c r="L26" i="48"/>
  <c r="K44" i="48" s="1"/>
  <c r="P23" i="48"/>
  <c r="O41" i="48" s="1"/>
  <c r="C29" i="48"/>
  <c r="AH29" i="48" s="1"/>
  <c r="D28" i="48"/>
  <c r="C46" i="48" s="1"/>
  <c r="AC28" i="48"/>
  <c r="Q28" i="48" s="1"/>
  <c r="E27" i="48"/>
  <c r="G27" i="48"/>
  <c r="I27" i="48"/>
  <c r="K27" i="48"/>
  <c r="M27" i="48"/>
  <c r="Q27" i="48"/>
  <c r="Q26" i="48"/>
  <c r="Q25" i="48"/>
  <c r="Q24" i="48"/>
  <c r="Q23" i="48"/>
  <c r="Q22" i="48"/>
  <c r="Q21" i="48"/>
  <c r="J26" i="48"/>
  <c r="I44" i="48" s="1"/>
  <c r="P24" i="48"/>
  <c r="O42" i="48" s="1"/>
  <c r="P21" i="48"/>
  <c r="O39" i="48" s="1"/>
  <c r="F26" i="48"/>
  <c r="E44" i="48" s="1"/>
  <c r="H26" i="48"/>
  <c r="G44" i="48" s="1"/>
  <c r="P25" i="48"/>
  <c r="O43" i="48" s="1"/>
  <c r="N21" i="47"/>
  <c r="M39" i="47" s="1"/>
  <c r="L21" i="47"/>
  <c r="K39" i="47" s="1"/>
  <c r="I40" i="47"/>
  <c r="K23" i="47"/>
  <c r="K22" i="47"/>
  <c r="G24" i="47"/>
  <c r="H24" i="47" s="1"/>
  <c r="G42" i="47" s="1"/>
  <c r="I24" i="47"/>
  <c r="K24" i="47"/>
  <c r="C26" i="47"/>
  <c r="AH25" i="47"/>
  <c r="AC25" i="47" s="1"/>
  <c r="D25" i="47"/>
  <c r="C43" i="47" s="1"/>
  <c r="P20" i="47"/>
  <c r="O38" i="47" s="1"/>
  <c r="Q20" i="47"/>
  <c r="O33" i="47"/>
  <c r="O21" i="47" s="1"/>
  <c r="M22" i="47"/>
  <c r="M24" i="47"/>
  <c r="M23" i="47"/>
  <c r="Z67" i="48" l="1"/>
  <c r="Y52" i="48"/>
  <c r="O78" i="48"/>
  <c r="AE60" i="48"/>
  <c r="V60" i="48"/>
  <c r="AK59" i="48"/>
  <c r="V59" i="48"/>
  <c r="AK58" i="48"/>
  <c r="AL57" i="48"/>
  <c r="W58" i="48"/>
  <c r="AN56" i="48"/>
  <c r="X57" i="48"/>
  <c r="Y56" i="48"/>
  <c r="AN55" i="48"/>
  <c r="AA55" i="48"/>
  <c r="AP54" i="48"/>
  <c r="AP53" i="48"/>
  <c r="AA54" i="48"/>
  <c r="Z59" i="47"/>
  <c r="X61" i="47"/>
  <c r="AM60" i="47"/>
  <c r="V63" i="47"/>
  <c r="AK62" i="47"/>
  <c r="Y60" i="47"/>
  <c r="AN59" i="47"/>
  <c r="U64" i="47"/>
  <c r="AJ63" i="47"/>
  <c r="W62" i="47"/>
  <c r="AL61" i="47"/>
  <c r="AK63" i="47"/>
  <c r="R21" i="48"/>
  <c r="Q39" i="48" s="1"/>
  <c r="N27" i="48"/>
  <c r="M45" i="48" s="1"/>
  <c r="R28" i="48"/>
  <c r="Q46" i="48" s="1"/>
  <c r="R24" i="48"/>
  <c r="Q42" i="48" s="1"/>
  <c r="L27" i="48"/>
  <c r="K45" i="48" s="1"/>
  <c r="E28" i="48"/>
  <c r="G28" i="48"/>
  <c r="I28" i="48"/>
  <c r="K28" i="48"/>
  <c r="M28" i="48"/>
  <c r="O28" i="48"/>
  <c r="U33" i="48"/>
  <c r="W20" i="48"/>
  <c r="V20" i="48"/>
  <c r="U38" i="48" s="1"/>
  <c r="R27" i="48"/>
  <c r="Q45" i="48" s="1"/>
  <c r="F27" i="48"/>
  <c r="E45" i="48" s="1"/>
  <c r="R25" i="48"/>
  <c r="Q43" i="48" s="1"/>
  <c r="J27" i="48"/>
  <c r="I45" i="48" s="1"/>
  <c r="S28" i="48"/>
  <c r="S21" i="48"/>
  <c r="S27" i="48"/>
  <c r="S26" i="48"/>
  <c r="S25" i="48"/>
  <c r="S24" i="48"/>
  <c r="S23" i="48"/>
  <c r="S22" i="48"/>
  <c r="R23" i="48"/>
  <c r="Q41" i="48" s="1"/>
  <c r="R22" i="48"/>
  <c r="Q40" i="48" s="1"/>
  <c r="R26" i="48"/>
  <c r="Q44" i="48" s="1"/>
  <c r="H27" i="48"/>
  <c r="G45" i="48" s="1"/>
  <c r="C30" i="48"/>
  <c r="AH30" i="48" s="1"/>
  <c r="AC29" i="48"/>
  <c r="D29" i="48"/>
  <c r="C47" i="48" s="1"/>
  <c r="P21" i="47"/>
  <c r="O39" i="47" s="1"/>
  <c r="L23" i="47"/>
  <c r="K41" i="47" s="1"/>
  <c r="M25" i="47"/>
  <c r="N25" i="47" s="1"/>
  <c r="E25" i="47"/>
  <c r="F25" i="47" s="1"/>
  <c r="E43" i="47" s="1"/>
  <c r="J24" i="47"/>
  <c r="I42" i="47" s="1"/>
  <c r="L22" i="47"/>
  <c r="K40" i="47" s="1"/>
  <c r="C27" i="47"/>
  <c r="AH26" i="47"/>
  <c r="AC26" i="47" s="1"/>
  <c r="E26" i="47" s="1"/>
  <c r="F26" i="47" s="1"/>
  <c r="E44" i="47" s="1"/>
  <c r="D26" i="47"/>
  <c r="C44" i="47" s="1"/>
  <c r="L24" i="47"/>
  <c r="K42" i="47" s="1"/>
  <c r="K25" i="47"/>
  <c r="I25" i="47"/>
  <c r="G25" i="47"/>
  <c r="N22" i="47"/>
  <c r="M40" i="47" s="1"/>
  <c r="O23" i="47"/>
  <c r="O25" i="47"/>
  <c r="O22" i="47"/>
  <c r="O24" i="47"/>
  <c r="N23" i="47"/>
  <c r="M41" i="47" s="1"/>
  <c r="N24" i="47"/>
  <c r="M42" i="47" s="1"/>
  <c r="R20" i="47"/>
  <c r="Q38" i="47" s="1"/>
  <c r="S20" i="47"/>
  <c r="Q33" i="47"/>
  <c r="Q21" i="47" s="1"/>
  <c r="O79" i="48" l="1"/>
  <c r="AE61" i="48"/>
  <c r="AA67" i="48"/>
  <c r="Z52" i="48"/>
  <c r="AM70" i="48"/>
  <c r="X58" i="48"/>
  <c r="AM57" i="48"/>
  <c r="AJ60" i="48"/>
  <c r="U61" i="48"/>
  <c r="Y57" i="48"/>
  <c r="AL58" i="48"/>
  <c r="W59" i="48"/>
  <c r="AL59" i="48"/>
  <c r="W60" i="48"/>
  <c r="AO56" i="48"/>
  <c r="Z56" i="48"/>
  <c r="AO55" i="48"/>
  <c r="AB55" i="48"/>
  <c r="AB54" i="48"/>
  <c r="AQ54" i="48"/>
  <c r="AQ53" i="48"/>
  <c r="X62" i="47"/>
  <c r="AM61" i="47"/>
  <c r="Y61" i="47"/>
  <c r="AN60" i="47"/>
  <c r="AA59" i="47"/>
  <c r="W63" i="47"/>
  <c r="AL62" i="47"/>
  <c r="Z60" i="47"/>
  <c r="AO59" i="47"/>
  <c r="AL63" i="47"/>
  <c r="V64" i="47"/>
  <c r="AC75" i="47"/>
  <c r="AD75" i="47" s="1"/>
  <c r="AE75" i="47" s="1"/>
  <c r="AF75" i="47" s="1"/>
  <c r="AG75" i="47" s="1"/>
  <c r="AH75" i="47" s="1"/>
  <c r="AI75" i="47" s="1"/>
  <c r="AJ75" i="47" s="1"/>
  <c r="G29" i="48"/>
  <c r="E29" i="48"/>
  <c r="I29" i="48"/>
  <c r="K29" i="48"/>
  <c r="M29" i="48"/>
  <c r="O29" i="48"/>
  <c r="Q29" i="48"/>
  <c r="T25" i="48"/>
  <c r="S43" i="48" s="1"/>
  <c r="T28" i="48"/>
  <c r="S46" i="48" s="1"/>
  <c r="W33" i="48"/>
  <c r="X20" i="48"/>
  <c r="W38" i="48" s="1"/>
  <c r="Y20" i="48"/>
  <c r="N28" i="48"/>
  <c r="M46" i="48" s="1"/>
  <c r="F28" i="48"/>
  <c r="E46" i="48" s="1"/>
  <c r="T21" i="48"/>
  <c r="S39" i="48" s="1"/>
  <c r="C31" i="48"/>
  <c r="AH31" i="48" s="1"/>
  <c r="D30" i="48"/>
  <c r="C48" i="48" s="1"/>
  <c r="AC30" i="48"/>
  <c r="U30" i="48" s="1"/>
  <c r="T22" i="48"/>
  <c r="S40" i="48" s="1"/>
  <c r="T26" i="48"/>
  <c r="S44" i="48" s="1"/>
  <c r="S29" i="48"/>
  <c r="U27" i="48"/>
  <c r="U26" i="48"/>
  <c r="U25" i="48"/>
  <c r="U24" i="48"/>
  <c r="U23" i="48"/>
  <c r="U22" i="48"/>
  <c r="U29" i="48"/>
  <c r="U28" i="48"/>
  <c r="U21" i="48"/>
  <c r="L28" i="48"/>
  <c r="K46" i="48" s="1"/>
  <c r="T24" i="48"/>
  <c r="S42" i="48" s="1"/>
  <c r="P28" i="48"/>
  <c r="O46" i="48" s="1"/>
  <c r="H28" i="48"/>
  <c r="G46" i="48" s="1"/>
  <c r="T23" i="48"/>
  <c r="S41" i="48" s="1"/>
  <c r="T27" i="48"/>
  <c r="S45" i="48" s="1"/>
  <c r="J28" i="48"/>
  <c r="I46" i="48" s="1"/>
  <c r="O26" i="47"/>
  <c r="P26" i="47" s="1"/>
  <c r="L25" i="47"/>
  <c r="K43" i="47" s="1"/>
  <c r="J25" i="47"/>
  <c r="I43" i="47" s="1"/>
  <c r="R21" i="47"/>
  <c r="Q39" i="47" s="1"/>
  <c r="M43" i="47"/>
  <c r="H25" i="47"/>
  <c r="G43" i="47" s="1"/>
  <c r="I26" i="47"/>
  <c r="G26" i="47"/>
  <c r="H26" i="47" s="1"/>
  <c r="G44" i="47" s="1"/>
  <c r="K26" i="47"/>
  <c r="M26" i="47"/>
  <c r="C28" i="47"/>
  <c r="D27" i="47"/>
  <c r="C45" i="47" s="1"/>
  <c r="AH27" i="47"/>
  <c r="AC27" i="47" s="1"/>
  <c r="Q22" i="47"/>
  <c r="Q24" i="47"/>
  <c r="Q26" i="47"/>
  <c r="Q23" i="47"/>
  <c r="Q25" i="47"/>
  <c r="P24" i="47"/>
  <c r="O42" i="47" s="1"/>
  <c r="P25" i="47"/>
  <c r="O43" i="47" s="1"/>
  <c r="T20" i="47"/>
  <c r="S38" i="47" s="1"/>
  <c r="U20" i="47"/>
  <c r="S33" i="47"/>
  <c r="S21" i="47" s="1"/>
  <c r="P22" i="47"/>
  <c r="O40" i="47" s="1"/>
  <c r="P23" i="47"/>
  <c r="O41" i="47" s="1"/>
  <c r="AB67" i="48" l="1"/>
  <c r="AA52" i="48"/>
  <c r="AN74" i="48" a="1"/>
  <c r="AN74" i="48" s="1"/>
  <c r="AN78" i="48" s="1"/>
  <c r="AM74" i="48" a="1"/>
  <c r="AM74" i="48" s="1"/>
  <c r="AM78" i="48" s="1"/>
  <c r="O80" i="48"/>
  <c r="AE62" i="48"/>
  <c r="X60" i="48"/>
  <c r="AM59" i="48"/>
  <c r="V61" i="48"/>
  <c r="AK60" i="48"/>
  <c r="Z57" i="48"/>
  <c r="AJ61" i="48"/>
  <c r="U62" i="48"/>
  <c r="X59" i="48"/>
  <c r="AM58" i="48"/>
  <c r="Y58" i="48"/>
  <c r="AN57" i="48"/>
  <c r="AP56" i="48"/>
  <c r="AA56" i="48"/>
  <c r="AP55" i="48"/>
  <c r="Z61" i="47"/>
  <c r="AO60" i="47"/>
  <c r="X63" i="47"/>
  <c r="AM62" i="47"/>
  <c r="AB59" i="47"/>
  <c r="AA60" i="47"/>
  <c r="AP59" i="47"/>
  <c r="Y62" i="47"/>
  <c r="AN61" i="47"/>
  <c r="AM63" i="47"/>
  <c r="W64" i="47"/>
  <c r="AC76" i="47"/>
  <c r="AD76" i="47" s="1"/>
  <c r="AE76" i="47" s="1"/>
  <c r="AF76" i="47" s="1"/>
  <c r="AG76" i="47" s="1"/>
  <c r="AH76" i="47" s="1"/>
  <c r="AI76" i="47" s="1"/>
  <c r="AJ76" i="47" s="1"/>
  <c r="V30" i="48"/>
  <c r="U48" i="48" s="1"/>
  <c r="T29" i="48"/>
  <c r="S47" i="48" s="1"/>
  <c r="G30" i="48"/>
  <c r="E30" i="48"/>
  <c r="I30" i="48"/>
  <c r="K30" i="48"/>
  <c r="M30" i="48"/>
  <c r="O30" i="48"/>
  <c r="Q30" i="48"/>
  <c r="S30" i="48"/>
  <c r="W30" i="48"/>
  <c r="W29" i="48"/>
  <c r="W28" i="48"/>
  <c r="W21" i="48"/>
  <c r="W27" i="48"/>
  <c r="W26" i="48"/>
  <c r="W25" i="48"/>
  <c r="W24" i="48"/>
  <c r="W23" i="48"/>
  <c r="W22" i="48"/>
  <c r="R29" i="48"/>
  <c r="Q47" i="48" s="1"/>
  <c r="J29" i="48"/>
  <c r="I47" i="48" s="1"/>
  <c r="V26" i="48"/>
  <c r="U44" i="48" s="1"/>
  <c r="L29" i="48"/>
  <c r="K47" i="48" s="1"/>
  <c r="V21" i="48"/>
  <c r="U39" i="48" s="1"/>
  <c r="V23" i="48"/>
  <c r="U41" i="48" s="1"/>
  <c r="V27" i="48"/>
  <c r="U45" i="48" s="1"/>
  <c r="V28" i="48"/>
  <c r="U46" i="48" s="1"/>
  <c r="V24" i="48"/>
  <c r="U42" i="48" s="1"/>
  <c r="P29" i="48"/>
  <c r="O47" i="48" s="1"/>
  <c r="F29" i="48"/>
  <c r="E47" i="48" s="1"/>
  <c r="V22" i="48"/>
  <c r="U40" i="48" s="1"/>
  <c r="V29" i="48"/>
  <c r="U47" i="48" s="1"/>
  <c r="V25" i="48"/>
  <c r="U43" i="48" s="1"/>
  <c r="D31" i="48"/>
  <c r="C49" i="48" s="1"/>
  <c r="C32" i="48"/>
  <c r="AH32" i="48" s="1"/>
  <c r="AC31" i="48"/>
  <c r="W31" i="48" s="1"/>
  <c r="Y33" i="48"/>
  <c r="AA20" i="48"/>
  <c r="Z20" i="48"/>
  <c r="Y38" i="48" s="1"/>
  <c r="N29" i="48"/>
  <c r="M47" i="48" s="1"/>
  <c r="H29" i="48"/>
  <c r="G47" i="48" s="1"/>
  <c r="Q27" i="47"/>
  <c r="R27" i="47" s="1"/>
  <c r="E27" i="47"/>
  <c r="F27" i="47" s="1"/>
  <c r="E45" i="47" s="1"/>
  <c r="L26" i="47"/>
  <c r="K44" i="47" s="1"/>
  <c r="T21" i="47"/>
  <c r="S39" i="47" s="1"/>
  <c r="J26" i="47"/>
  <c r="I44" i="47" s="1"/>
  <c r="O44" i="47"/>
  <c r="C29" i="47"/>
  <c r="D28" i="47"/>
  <c r="C46" i="47" s="1"/>
  <c r="AH28" i="47"/>
  <c r="AC28" i="47" s="1"/>
  <c r="G27" i="47"/>
  <c r="H27" i="47" s="1"/>
  <c r="G45" i="47" s="1"/>
  <c r="K27" i="47"/>
  <c r="I27" i="47"/>
  <c r="M27" i="47"/>
  <c r="O27" i="47"/>
  <c r="N26" i="47"/>
  <c r="M44" i="47" s="1"/>
  <c r="R26" i="47"/>
  <c r="Q44" i="47" s="1"/>
  <c r="S23" i="47"/>
  <c r="S25" i="47"/>
  <c r="S27" i="47"/>
  <c r="S22" i="47"/>
  <c r="S24" i="47"/>
  <c r="S26" i="47"/>
  <c r="R25" i="47"/>
  <c r="Q43" i="47" s="1"/>
  <c r="R24" i="47"/>
  <c r="Q42" i="47" s="1"/>
  <c r="V20" i="47"/>
  <c r="U38" i="47" s="1"/>
  <c r="W20" i="47"/>
  <c r="U33" i="47"/>
  <c r="U21" i="47" s="1"/>
  <c r="R23" i="47"/>
  <c r="Q41" i="47" s="1"/>
  <c r="R22" i="47"/>
  <c r="Q40" i="47" s="1"/>
  <c r="O81" i="48" l="1"/>
  <c r="O82" i="48" s="1"/>
  <c r="O83" i="48" s="1"/>
  <c r="AE63" i="48"/>
  <c r="AC67" i="48"/>
  <c r="AD67" i="48" s="1"/>
  <c r="AE67" i="48" s="1"/>
  <c r="AF67" i="48" s="1"/>
  <c r="AG67" i="48" s="1"/>
  <c r="AH67" i="48" s="1"/>
  <c r="AI67" i="48" s="1"/>
  <c r="AJ67" i="48" s="1"/>
  <c r="AB52" i="48"/>
  <c r="AN58" i="48"/>
  <c r="Y59" i="48"/>
  <c r="AL60" i="48"/>
  <c r="W61" i="48"/>
  <c r="AJ62" i="48"/>
  <c r="U63" i="48"/>
  <c r="AN59" i="48"/>
  <c r="Y60" i="48"/>
  <c r="Z58" i="48"/>
  <c r="AO57" i="48"/>
  <c r="AB57" i="48"/>
  <c r="AA57" i="48"/>
  <c r="V62" i="48"/>
  <c r="AK61" i="48"/>
  <c r="AB56" i="48"/>
  <c r="AQ55" i="48"/>
  <c r="Y63" i="47"/>
  <c r="AN62" i="47"/>
  <c r="Z62" i="47"/>
  <c r="AO61" i="47"/>
  <c r="AB60" i="47"/>
  <c r="AQ59" i="47"/>
  <c r="AA61" i="47"/>
  <c r="AP60" i="47"/>
  <c r="AN63" i="47"/>
  <c r="X64" i="47"/>
  <c r="AC77" i="47"/>
  <c r="AD77" i="47" s="1"/>
  <c r="AE77" i="47" s="1"/>
  <c r="AF77" i="47" s="1"/>
  <c r="AG77" i="47" s="1"/>
  <c r="AH77" i="47" s="1"/>
  <c r="AI77" i="47" s="1"/>
  <c r="AJ77" i="47" s="1"/>
  <c r="X31" i="48"/>
  <c r="W49" i="48" s="1"/>
  <c r="Y31" i="48"/>
  <c r="Y27" i="48"/>
  <c r="Y26" i="48"/>
  <c r="Y25" i="48"/>
  <c r="Y24" i="48"/>
  <c r="Y23" i="48"/>
  <c r="Y22" i="48"/>
  <c r="Y30" i="48"/>
  <c r="Y29" i="48"/>
  <c r="Y21" i="48"/>
  <c r="Y28" i="48"/>
  <c r="X26" i="48"/>
  <c r="W44" i="48" s="1"/>
  <c r="L30" i="48"/>
  <c r="K48" i="48" s="1"/>
  <c r="X23" i="48"/>
  <c r="W41" i="48" s="1"/>
  <c r="X27" i="48"/>
  <c r="W45" i="48" s="1"/>
  <c r="X30" i="48"/>
  <c r="W48" i="48" s="1"/>
  <c r="R30" i="48"/>
  <c r="Q48" i="48" s="1"/>
  <c r="J30" i="48"/>
  <c r="I48" i="48" s="1"/>
  <c r="X22" i="48"/>
  <c r="W40" i="48" s="1"/>
  <c r="X29" i="48"/>
  <c r="W47" i="48" s="1"/>
  <c r="T30" i="48"/>
  <c r="S48" i="48" s="1"/>
  <c r="X24" i="48"/>
  <c r="W42" i="48" s="1"/>
  <c r="X21" i="48"/>
  <c r="W39" i="48" s="1"/>
  <c r="P30" i="48"/>
  <c r="O48" i="48" s="1"/>
  <c r="F30" i="48"/>
  <c r="E48" i="48" s="1"/>
  <c r="G31" i="48"/>
  <c r="E31" i="48"/>
  <c r="I31" i="48"/>
  <c r="K31" i="48"/>
  <c r="M31" i="48"/>
  <c r="O31" i="48"/>
  <c r="Q31" i="48"/>
  <c r="S31" i="48"/>
  <c r="U31" i="48"/>
  <c r="AB20" i="48"/>
  <c r="AA38" i="48" s="1"/>
  <c r="AA33" i="48"/>
  <c r="D32" i="48"/>
  <c r="C50" i="48" s="1"/>
  <c r="AC32" i="48"/>
  <c r="X25" i="48"/>
  <c r="W43" i="48" s="1"/>
  <c r="X28" i="48"/>
  <c r="W46" i="48" s="1"/>
  <c r="N30" i="48"/>
  <c r="M48" i="48" s="1"/>
  <c r="H30" i="48"/>
  <c r="G48" i="48" s="1"/>
  <c r="L27" i="47"/>
  <c r="K45" i="47" s="1"/>
  <c r="P27" i="47"/>
  <c r="O45" i="47" s="1"/>
  <c r="N27" i="47"/>
  <c r="M45" i="47" s="1"/>
  <c r="S28" i="47"/>
  <c r="T28" i="47" s="1"/>
  <c r="E28" i="47"/>
  <c r="F28" i="47" s="1"/>
  <c r="E46" i="47" s="1"/>
  <c r="Q45" i="47"/>
  <c r="V21" i="47"/>
  <c r="U39" i="47" s="1"/>
  <c r="J27" i="47"/>
  <c r="I45" i="47" s="1"/>
  <c r="K28" i="47"/>
  <c r="G28" i="47"/>
  <c r="H28" i="47" s="1"/>
  <c r="G46" i="47" s="1"/>
  <c r="I28" i="47"/>
  <c r="M28" i="47"/>
  <c r="O28" i="47"/>
  <c r="Q28" i="47"/>
  <c r="C30" i="47"/>
  <c r="D29" i="47"/>
  <c r="C47" i="47" s="1"/>
  <c r="AH29" i="47"/>
  <c r="AC29" i="47" s="1"/>
  <c r="E29" i="47" s="1"/>
  <c r="F29" i="47" s="1"/>
  <c r="E47" i="47" s="1"/>
  <c r="T26" i="47"/>
  <c r="S44" i="47" s="1"/>
  <c r="T27" i="47"/>
  <c r="S45" i="47" s="1"/>
  <c r="T24" i="47"/>
  <c r="S42" i="47" s="1"/>
  <c r="T25" i="47"/>
  <c r="S43" i="47" s="1"/>
  <c r="U22" i="47"/>
  <c r="U24" i="47"/>
  <c r="U26" i="47"/>
  <c r="U28" i="47"/>
  <c r="U23" i="47"/>
  <c r="U25" i="47"/>
  <c r="U27" i="47"/>
  <c r="X20" i="47"/>
  <c r="W38" i="47" s="1"/>
  <c r="Y20" i="47"/>
  <c r="W33" i="47"/>
  <c r="W21" i="47" s="1"/>
  <c r="T22" i="47"/>
  <c r="S40" i="47" s="1"/>
  <c r="T23" i="47"/>
  <c r="S41" i="47" s="1"/>
  <c r="O84" i="48" l="1"/>
  <c r="O85" i="48" s="1"/>
  <c r="O86" i="48" s="1"/>
  <c r="O87" i="48" s="1"/>
  <c r="O88" i="48" s="1"/>
  <c r="AM71" i="48"/>
  <c r="AQ56" i="48"/>
  <c r="AL61" i="48"/>
  <c r="W62" i="48"/>
  <c r="Z60" i="48"/>
  <c r="AO59" i="48"/>
  <c r="X61" i="48"/>
  <c r="AM60" i="48"/>
  <c r="V63" i="48"/>
  <c r="AK62" i="48"/>
  <c r="AJ63" i="48"/>
  <c r="U64" i="48"/>
  <c r="AP57" i="48"/>
  <c r="AA58" i="48"/>
  <c r="Z59" i="48"/>
  <c r="AO58" i="48"/>
  <c r="AA62" i="47"/>
  <c r="AP61" i="47"/>
  <c r="Z63" i="47"/>
  <c r="AO62" i="47"/>
  <c r="AB61" i="47"/>
  <c r="AQ60" i="47"/>
  <c r="AO63" i="47"/>
  <c r="Y64" i="47"/>
  <c r="AC78" i="47"/>
  <c r="AD78" i="47" s="1"/>
  <c r="AE78" i="47" s="1"/>
  <c r="AF78" i="47" s="1"/>
  <c r="AG78" i="47" s="1"/>
  <c r="AH78" i="47" s="1"/>
  <c r="AI78" i="47" s="1"/>
  <c r="AJ78" i="47" s="1"/>
  <c r="T31" i="48"/>
  <c r="S49" i="48" s="1"/>
  <c r="L31" i="48"/>
  <c r="K49" i="48" s="1"/>
  <c r="Z29" i="48"/>
  <c r="Y47" i="48" s="1"/>
  <c r="E32" i="48"/>
  <c r="G32" i="48"/>
  <c r="I32" i="48"/>
  <c r="K32" i="48"/>
  <c r="M32" i="48"/>
  <c r="O32" i="48"/>
  <c r="Q32" i="48"/>
  <c r="S32" i="48"/>
  <c r="U32" i="48"/>
  <c r="W32" i="48"/>
  <c r="AA32" i="48"/>
  <c r="AA31" i="48"/>
  <c r="AA30" i="48"/>
  <c r="AA29" i="48"/>
  <c r="AA28" i="48"/>
  <c r="AA21" i="48"/>
  <c r="AA27" i="48"/>
  <c r="AA26" i="48"/>
  <c r="AA25" i="48"/>
  <c r="AA24" i="48"/>
  <c r="AA23" i="48"/>
  <c r="AA22" i="48"/>
  <c r="R31" i="48"/>
  <c r="Q49" i="48" s="1"/>
  <c r="J31" i="48"/>
  <c r="I49" i="48" s="1"/>
  <c r="Z30" i="48"/>
  <c r="Y48" i="48" s="1"/>
  <c r="Z25" i="48"/>
  <c r="Y43" i="48" s="1"/>
  <c r="Y32" i="48"/>
  <c r="Z24" i="48"/>
  <c r="Y42" i="48" s="1"/>
  <c r="P31" i="48"/>
  <c r="O49" i="48" s="1"/>
  <c r="F31" i="48"/>
  <c r="E49" i="48" s="1"/>
  <c r="Z28" i="48"/>
  <c r="Y46" i="48" s="1"/>
  <c r="Z22" i="48"/>
  <c r="Y40" i="48" s="1"/>
  <c r="Z26" i="48"/>
  <c r="Y44" i="48" s="1"/>
  <c r="Z31" i="48"/>
  <c r="Y49" i="48" s="1"/>
  <c r="V31" i="48"/>
  <c r="U49" i="48" s="1"/>
  <c r="N31" i="48"/>
  <c r="M49" i="48" s="1"/>
  <c r="H31" i="48"/>
  <c r="G49" i="48" s="1"/>
  <c r="Z21" i="48"/>
  <c r="Y39" i="48" s="1"/>
  <c r="Z23" i="48"/>
  <c r="Y41" i="48" s="1"/>
  <c r="Z27" i="48"/>
  <c r="Y45" i="48" s="1"/>
  <c r="X21" i="47"/>
  <c r="W39" i="47" s="1"/>
  <c r="P28" i="47"/>
  <c r="O46" i="47" s="1"/>
  <c r="N28" i="47"/>
  <c r="M46" i="47" s="1"/>
  <c r="S46" i="47"/>
  <c r="J28" i="47"/>
  <c r="I46" i="47" s="1"/>
  <c r="U29" i="47"/>
  <c r="V29" i="47" s="1"/>
  <c r="C31" i="47"/>
  <c r="D30" i="47"/>
  <c r="C48" i="47" s="1"/>
  <c r="AH30" i="47"/>
  <c r="AC30" i="47" s="1"/>
  <c r="E30" i="47" s="1"/>
  <c r="F30" i="47" s="1"/>
  <c r="E48" i="47" s="1"/>
  <c r="R28" i="47"/>
  <c r="Q46" i="47" s="1"/>
  <c r="G29" i="47"/>
  <c r="K29" i="47"/>
  <c r="I29" i="47"/>
  <c r="M29" i="47"/>
  <c r="O29" i="47"/>
  <c r="Q29" i="47"/>
  <c r="S29" i="47"/>
  <c r="L28" i="47"/>
  <c r="K46" i="47" s="1"/>
  <c r="V28" i="47"/>
  <c r="U46" i="47" s="1"/>
  <c r="V27" i="47"/>
  <c r="U45" i="47" s="1"/>
  <c r="V26" i="47"/>
  <c r="U44" i="47" s="1"/>
  <c r="W23" i="47"/>
  <c r="W25" i="47"/>
  <c r="W27" i="47"/>
  <c r="W29" i="47"/>
  <c r="W22" i="47"/>
  <c r="W24" i="47"/>
  <c r="W26" i="47"/>
  <c r="W28" i="47"/>
  <c r="V25" i="47"/>
  <c r="U43" i="47" s="1"/>
  <c r="V24" i="47"/>
  <c r="U42" i="47" s="1"/>
  <c r="Z20" i="47"/>
  <c r="Y38" i="47" s="1"/>
  <c r="AA20" i="47"/>
  <c r="Y33" i="47"/>
  <c r="Y21" i="47" s="1"/>
  <c r="V23" i="47"/>
  <c r="U41" i="47" s="1"/>
  <c r="V22" i="47"/>
  <c r="U40" i="47" s="1"/>
  <c r="AL76" i="48" l="1" a="1"/>
  <c r="AL76" i="48" s="1"/>
  <c r="AL75" i="48" a="1"/>
  <c r="AL75" i="48" s="1"/>
  <c r="AL79" i="48" s="1"/>
  <c r="AM76" i="48" a="1"/>
  <c r="AM76" i="48" s="1"/>
  <c r="AN75" i="48" a="1"/>
  <c r="AN75" i="48" s="1"/>
  <c r="AN76" i="48" a="1"/>
  <c r="AN76" i="48" s="1"/>
  <c r="AL62" i="48"/>
  <c r="W63" i="48"/>
  <c r="V64" i="48"/>
  <c r="AK63" i="48"/>
  <c r="AN60" i="48"/>
  <c r="Y61" i="48"/>
  <c r="AP58" i="48"/>
  <c r="AA59" i="48"/>
  <c r="X62" i="48"/>
  <c r="AM61" i="48"/>
  <c r="AB58" i="48"/>
  <c r="AQ57" i="48"/>
  <c r="AP59" i="48"/>
  <c r="AA60" i="48"/>
  <c r="E78" i="48"/>
  <c r="E80" i="48"/>
  <c r="G78" i="48"/>
  <c r="G80" i="48"/>
  <c r="AB62" i="47"/>
  <c r="AQ61" i="47"/>
  <c r="AA63" i="47"/>
  <c r="AP62" i="47"/>
  <c r="AP63" i="47"/>
  <c r="Z64" i="47"/>
  <c r="AC79" i="47"/>
  <c r="AD79" i="47" s="1"/>
  <c r="AE79" i="47" s="1"/>
  <c r="AF79" i="47" s="1"/>
  <c r="AG79" i="47" s="1"/>
  <c r="AH79" i="47" s="1"/>
  <c r="AI79" i="47" s="1"/>
  <c r="AJ79" i="47" s="1"/>
  <c r="W30" i="47"/>
  <c r="AB22" i="48"/>
  <c r="AA40" i="48" s="1"/>
  <c r="AB26" i="48"/>
  <c r="AA44" i="48" s="1"/>
  <c r="AB29" i="48"/>
  <c r="AA47" i="48" s="1"/>
  <c r="X32" i="48"/>
  <c r="W50" i="48" s="1"/>
  <c r="P32" i="48"/>
  <c r="O50" i="48" s="1"/>
  <c r="H32" i="48"/>
  <c r="G50" i="48" s="1"/>
  <c r="AB23" i="48"/>
  <c r="AA41" i="48" s="1"/>
  <c r="AB27" i="48"/>
  <c r="AA45" i="48" s="1"/>
  <c r="AB30" i="48"/>
  <c r="AA48" i="48" s="1"/>
  <c r="V32" i="48"/>
  <c r="U50" i="48" s="1"/>
  <c r="N32" i="48"/>
  <c r="M50" i="48" s="1"/>
  <c r="F32" i="48"/>
  <c r="E50" i="48" s="1"/>
  <c r="AB24" i="48"/>
  <c r="AA42" i="48" s="1"/>
  <c r="AB21" i="48"/>
  <c r="AA39" i="48" s="1"/>
  <c r="AB31" i="48"/>
  <c r="AA49" i="48" s="1"/>
  <c r="T32" i="48"/>
  <c r="S50" i="48" s="1"/>
  <c r="L32" i="48"/>
  <c r="K50" i="48" s="1"/>
  <c r="Z32" i="48"/>
  <c r="Y50" i="48" s="1"/>
  <c r="AB25" i="48"/>
  <c r="AA43" i="48" s="1"/>
  <c r="AB28" i="48"/>
  <c r="AA46" i="48" s="1"/>
  <c r="AB32" i="48"/>
  <c r="AA50" i="48" s="1"/>
  <c r="R32" i="48"/>
  <c r="Q50" i="48" s="1"/>
  <c r="J32" i="48"/>
  <c r="I50" i="48" s="1"/>
  <c r="J29" i="47"/>
  <c r="I47" i="47" s="1"/>
  <c r="Z21" i="47"/>
  <c r="Y39" i="47" s="1"/>
  <c r="R29" i="47"/>
  <c r="Q47" i="47" s="1"/>
  <c r="L29" i="47"/>
  <c r="K47" i="47" s="1"/>
  <c r="U47" i="47"/>
  <c r="T29" i="47"/>
  <c r="S47" i="47" s="1"/>
  <c r="I30" i="47"/>
  <c r="G30" i="47"/>
  <c r="H30" i="47" s="1"/>
  <c r="G48" i="47" s="1"/>
  <c r="K30" i="47"/>
  <c r="M30" i="47"/>
  <c r="O30" i="47"/>
  <c r="Q30" i="47"/>
  <c r="S30" i="47"/>
  <c r="U30" i="47"/>
  <c r="P29" i="47"/>
  <c r="O47" i="47" s="1"/>
  <c r="H29" i="47"/>
  <c r="G47" i="47" s="1"/>
  <c r="N29" i="47"/>
  <c r="M47" i="47" s="1"/>
  <c r="AH31" i="47"/>
  <c r="AC31" i="47" s="1"/>
  <c r="E31" i="47" s="1"/>
  <c r="F31" i="47" s="1"/>
  <c r="E49" i="47" s="1"/>
  <c r="D31" i="47"/>
  <c r="C49" i="47" s="1"/>
  <c r="C32" i="47"/>
  <c r="Y22" i="47"/>
  <c r="Y24" i="47"/>
  <c r="Y26" i="47"/>
  <c r="Y28" i="47"/>
  <c r="Y23" i="47"/>
  <c r="Y25" i="47"/>
  <c r="Y27" i="47"/>
  <c r="Y29" i="47"/>
  <c r="Y30" i="47"/>
  <c r="X30" i="47"/>
  <c r="W48" i="47" s="1"/>
  <c r="X22" i="47"/>
  <c r="W40" i="47" s="1"/>
  <c r="X23" i="47"/>
  <c r="W41" i="47" s="1"/>
  <c r="AB20" i="47"/>
  <c r="AA38" i="47" s="1"/>
  <c r="AA33" i="47"/>
  <c r="AA21" i="47" s="1"/>
  <c r="X28" i="47"/>
  <c r="W46" i="47" s="1"/>
  <c r="X29" i="47"/>
  <c r="W47" i="47" s="1"/>
  <c r="X24" i="47"/>
  <c r="W42" i="47" s="1"/>
  <c r="X25" i="47"/>
  <c r="W43" i="47" s="1"/>
  <c r="X26" i="47"/>
  <c r="W44" i="47" s="1"/>
  <c r="X27" i="47"/>
  <c r="W45" i="47" s="1"/>
  <c r="AN79" i="48" l="1"/>
  <c r="AL63" i="48"/>
  <c r="W64" i="48"/>
  <c r="AB60" i="48"/>
  <c r="AQ59" i="48"/>
  <c r="AB59" i="48"/>
  <c r="AQ58" i="48"/>
  <c r="AN61" i="48"/>
  <c r="Y62" i="48"/>
  <c r="Z61" i="48"/>
  <c r="AO60" i="48"/>
  <c r="X63" i="48"/>
  <c r="AM62" i="48"/>
  <c r="G79" i="48"/>
  <c r="F80" i="48"/>
  <c r="E79" i="48"/>
  <c r="F78" i="48"/>
  <c r="AB63" i="47"/>
  <c r="AQ62" i="47"/>
  <c r="AC80" i="47"/>
  <c r="AD80" i="47" s="1"/>
  <c r="AE80" i="47" s="1"/>
  <c r="AF80" i="47" s="1"/>
  <c r="AG80" i="47" s="1"/>
  <c r="AH80" i="47" s="1"/>
  <c r="AI80" i="47" s="1"/>
  <c r="AJ80" i="47" s="1"/>
  <c r="AA64" i="47"/>
  <c r="Y31" i="47"/>
  <c r="Z31" i="47" s="1"/>
  <c r="Y49" i="47" s="1"/>
  <c r="R30" i="47"/>
  <c r="Q48" i="47" s="1"/>
  <c r="AB21" i="47"/>
  <c r="AA39" i="47" s="1"/>
  <c r="J30" i="47"/>
  <c r="I48" i="47" s="1"/>
  <c r="T30" i="47"/>
  <c r="S48" i="47" s="1"/>
  <c r="D32" i="47"/>
  <c r="C50" i="47" s="1"/>
  <c r="AH32" i="47"/>
  <c r="AC32" i="47" s="1"/>
  <c r="E32" i="47" s="1"/>
  <c r="F32" i="47" s="1"/>
  <c r="E50" i="47" s="1"/>
  <c r="P30" i="47"/>
  <c r="O48" i="47" s="1"/>
  <c r="V30" i="47"/>
  <c r="U48" i="47" s="1"/>
  <c r="N30" i="47"/>
  <c r="M48" i="47" s="1"/>
  <c r="G31" i="47"/>
  <c r="H31" i="47" s="1"/>
  <c r="G49" i="47" s="1"/>
  <c r="M31" i="47"/>
  <c r="I31" i="47"/>
  <c r="K31" i="47"/>
  <c r="O31" i="47"/>
  <c r="Q31" i="47"/>
  <c r="S31" i="47"/>
  <c r="U31" i="47"/>
  <c r="W31" i="47"/>
  <c r="L30" i="47"/>
  <c r="K48" i="47" s="1"/>
  <c r="Z23" i="47"/>
  <c r="Y41" i="47" s="1"/>
  <c r="Z22" i="47"/>
  <c r="Y40" i="47" s="1"/>
  <c r="Z25" i="47"/>
  <c r="Y43" i="47" s="1"/>
  <c r="Z24" i="47"/>
  <c r="Y42" i="47" s="1"/>
  <c r="Z29" i="47"/>
  <c r="Y47" i="47" s="1"/>
  <c r="Z28" i="47"/>
  <c r="Y46" i="47" s="1"/>
  <c r="AA23" i="47"/>
  <c r="AA25" i="47"/>
  <c r="AA27" i="47"/>
  <c r="AA29" i="47"/>
  <c r="AA22" i="47"/>
  <c r="AA24" i="47"/>
  <c r="AA26" i="47"/>
  <c r="AA28" i="47"/>
  <c r="AA30" i="47"/>
  <c r="AA31" i="47"/>
  <c r="Z30" i="47"/>
  <c r="Y48" i="47" s="1"/>
  <c r="Z27" i="47"/>
  <c r="Y45" i="47" s="1"/>
  <c r="Z26" i="47"/>
  <c r="Y44" i="47" s="1"/>
  <c r="Z62" i="48" l="1"/>
  <c r="AO61" i="48"/>
  <c r="AP60" i="48"/>
  <c r="AA61" i="48"/>
  <c r="AN62" i="48"/>
  <c r="Y63" i="48"/>
  <c r="X64" i="48"/>
  <c r="AM63" i="48"/>
  <c r="F79" i="48"/>
  <c r="D85" i="48" s="1"/>
  <c r="D89" i="48" s="1"/>
  <c r="AB64" i="47"/>
  <c r="AQ63" i="47"/>
  <c r="AA32" i="47"/>
  <c r="AB32" i="47" s="1"/>
  <c r="T31" i="47"/>
  <c r="S49" i="47" s="1"/>
  <c r="J31" i="47"/>
  <c r="I49" i="47" s="1"/>
  <c r="V31" i="47"/>
  <c r="U49" i="47" s="1"/>
  <c r="R31" i="47"/>
  <c r="Q49" i="47" s="1"/>
  <c r="N31" i="47"/>
  <c r="M49" i="47" s="1"/>
  <c r="X31" i="47"/>
  <c r="W49" i="47" s="1"/>
  <c r="P31" i="47"/>
  <c r="O49" i="47" s="1"/>
  <c r="M32" i="47"/>
  <c r="I32" i="47"/>
  <c r="K32" i="47"/>
  <c r="O32" i="47"/>
  <c r="G32" i="47"/>
  <c r="Q32" i="47"/>
  <c r="S32" i="47"/>
  <c r="U32" i="47"/>
  <c r="W32" i="47"/>
  <c r="Y32" i="47"/>
  <c r="L31" i="47"/>
  <c r="K49" i="47" s="1"/>
  <c r="AB31" i="47"/>
  <c r="AA49" i="47" s="1"/>
  <c r="AB26" i="47"/>
  <c r="AA44" i="47" s="1"/>
  <c r="AB27" i="47"/>
  <c r="AA45" i="47" s="1"/>
  <c r="AB28" i="47"/>
  <c r="AA46" i="47" s="1"/>
  <c r="AB24" i="47"/>
  <c r="AA42" i="47" s="1"/>
  <c r="AB25" i="47"/>
  <c r="AA43" i="47" s="1"/>
  <c r="AB29" i="47"/>
  <c r="AA47" i="47" s="1"/>
  <c r="AB30" i="47"/>
  <c r="AA48" i="47" s="1"/>
  <c r="AB22" i="47"/>
  <c r="AA40" i="47" s="1"/>
  <c r="AB23" i="47"/>
  <c r="AA41" i="47" s="1"/>
  <c r="AB61" i="48" l="1"/>
  <c r="AQ60" i="48"/>
  <c r="Z63" i="48"/>
  <c r="AO62" i="48"/>
  <c r="AN63" i="48"/>
  <c r="Y64" i="48"/>
  <c r="AP61" i="48"/>
  <c r="AA62" i="48"/>
  <c r="P5" i="48"/>
  <c r="D87" i="48"/>
  <c r="P6" i="48" s="1"/>
  <c r="P7" i="48"/>
  <c r="D91" i="48"/>
  <c r="P9" i="48" s="1"/>
  <c r="Z32" i="47"/>
  <c r="Y50" i="47" s="1"/>
  <c r="R32" i="47"/>
  <c r="Q50" i="47" s="1"/>
  <c r="J32" i="47"/>
  <c r="I50" i="47" s="1"/>
  <c r="X32" i="47"/>
  <c r="W50" i="47" s="1"/>
  <c r="N32" i="47"/>
  <c r="M50" i="47" s="1"/>
  <c r="V32" i="47"/>
  <c r="U50" i="47" s="1"/>
  <c r="P32" i="47"/>
  <c r="O50" i="47" s="1"/>
  <c r="AA50" i="47"/>
  <c r="T32" i="47"/>
  <c r="S50" i="47" s="1"/>
  <c r="L32" i="47"/>
  <c r="K50" i="47" s="1"/>
  <c r="H32" i="47"/>
  <c r="G50" i="47" s="1"/>
  <c r="N15" i="1"/>
  <c r="AP62" i="48" l="1"/>
  <c r="AA63" i="48"/>
  <c r="AO63" i="48"/>
  <c r="Z64" i="48"/>
  <c r="AB62" i="48"/>
  <c r="AQ61" i="48"/>
  <c r="P8" i="47"/>
  <c r="Y51" i="29"/>
  <c r="W51" i="29"/>
  <c r="V51" i="29"/>
  <c r="V50" i="29"/>
  <c r="U50" i="29"/>
  <c r="T50" i="29"/>
  <c r="AF51" i="29"/>
  <c r="AG51" i="29"/>
  <c r="U51" i="29"/>
  <c r="AP63" i="48" l="1"/>
  <c r="AA64" i="48"/>
  <c r="AB63" i="48"/>
  <c r="AQ62" i="48"/>
  <c r="F14" i="6"/>
  <c r="AM75" i="48" l="1" a="1"/>
  <c r="AM75" i="48" s="1"/>
  <c r="AM79" i="48" s="1"/>
  <c r="AN81" i="48" s="1"/>
  <c r="AB64" i="48"/>
  <c r="AQ63" i="48"/>
  <c r="O13" i="2"/>
  <c r="O12" i="2"/>
  <c r="O14" i="47"/>
  <c r="O13" i="47"/>
  <c r="O14" i="26"/>
  <c r="O13" i="26"/>
  <c r="O14" i="25"/>
  <c r="O13" i="25"/>
  <c r="O14" i="24"/>
  <c r="O13" i="24"/>
  <c r="O14" i="23"/>
  <c r="O13" i="23"/>
  <c r="O14" i="22"/>
  <c r="O13" i="22"/>
  <c r="O14" i="37"/>
  <c r="O13" i="37"/>
  <c r="O14" i="36"/>
  <c r="O13" i="36"/>
  <c r="O14" i="35"/>
  <c r="O13" i="35"/>
  <c r="O14" i="34"/>
  <c r="O13" i="34"/>
  <c r="O14" i="33"/>
  <c r="O13" i="33"/>
  <c r="O14" i="31"/>
  <c r="O13" i="31"/>
  <c r="O14" i="28"/>
  <c r="O13" i="28"/>
  <c r="O13" i="29"/>
  <c r="O14" i="29"/>
  <c r="AN82" i="48" l="1"/>
  <c r="AB96" i="48" s="1"/>
  <c r="AB100" i="48" s="1"/>
  <c r="O12" i="47"/>
  <c r="O12" i="26"/>
  <c r="O12" i="25"/>
  <c r="O12" i="24"/>
  <c r="O12" i="23"/>
  <c r="O12" i="22"/>
  <c r="O12" i="37"/>
  <c r="O12" i="36"/>
  <c r="O12" i="35"/>
  <c r="O12" i="34"/>
  <c r="O12" i="33"/>
  <c r="O12" i="31"/>
  <c r="AB101" i="48" l="1"/>
  <c r="P11" i="48" s="1"/>
  <c r="P12" i="48"/>
  <c r="E19" i="6"/>
  <c r="A23" i="1" l="1"/>
  <c r="X52" i="28" l="1"/>
  <c r="A33" i="6" l="1"/>
  <c r="O14" i="1" l="1"/>
  <c r="N14" i="1" s="1"/>
  <c r="O71" i="47" l="1"/>
  <c r="O72" i="47" s="1"/>
  <c r="O73" i="47" s="1"/>
  <c r="O74" i="47" s="1"/>
  <c r="O75" i="47" s="1"/>
  <c r="O76" i="47" s="1"/>
  <c r="O77" i="47" s="1"/>
  <c r="O78" i="47" s="1"/>
  <c r="O79" i="47" s="1"/>
  <c r="O80" i="47" s="1"/>
  <c r="O81" i="47" s="1"/>
  <c r="O82" i="47" s="1"/>
  <c r="O83" i="47" s="1"/>
  <c r="O84" i="47" s="1"/>
  <c r="O85" i="47" s="1"/>
  <c r="O86" i="47" s="1"/>
  <c r="O87" i="47" s="1"/>
  <c r="O88" i="47" s="1"/>
  <c r="S67" i="47"/>
  <c r="Q67" i="47"/>
  <c r="R52" i="47" s="1"/>
  <c r="O11" i="47"/>
  <c r="O10" i="47"/>
  <c r="O9" i="47"/>
  <c r="V8" i="47"/>
  <c r="O8" i="47"/>
  <c r="V7" i="47"/>
  <c r="O7" i="47"/>
  <c r="V6" i="47"/>
  <c r="O6" i="47"/>
  <c r="C6" i="47"/>
  <c r="V5" i="47"/>
  <c r="O5" i="47"/>
  <c r="C5" i="47"/>
  <c r="O4" i="47"/>
  <c r="C4" i="47"/>
  <c r="D4" i="47" s="1"/>
  <c r="C3" i="47"/>
  <c r="D3" i="47" s="1"/>
  <c r="U56" i="47" l="1"/>
  <c r="AJ55" i="47"/>
  <c r="U58" i="47"/>
  <c r="AJ58" i="47"/>
  <c r="U57" i="47"/>
  <c r="AJ56" i="47"/>
  <c r="AJ57" i="47"/>
  <c r="T67" i="47"/>
  <c r="S52" i="47"/>
  <c r="U55" i="47"/>
  <c r="J3" i="47"/>
  <c r="C8" i="47"/>
  <c r="C9" i="47" s="1"/>
  <c r="W6" i="47"/>
  <c r="F8" i="47"/>
  <c r="P105" i="47"/>
  <c r="P107" i="47" s="1"/>
  <c r="AB98" i="47" s="1"/>
  <c r="P98" i="47"/>
  <c r="D86" i="47"/>
  <c r="W5" i="47"/>
  <c r="F6" i="47"/>
  <c r="P100" i="47" l="1"/>
  <c r="AB97" i="47" s="1"/>
  <c r="V58" i="47"/>
  <c r="AK58" i="47"/>
  <c r="V56" i="47"/>
  <c r="AK55" i="47"/>
  <c r="V57" i="47"/>
  <c r="AK57" i="47"/>
  <c r="AK56" i="47"/>
  <c r="V55" i="47"/>
  <c r="U67" i="47"/>
  <c r="T52" i="47"/>
  <c r="J4" i="47"/>
  <c r="P14" i="47" s="1"/>
  <c r="P13" i="47"/>
  <c r="P16" i="2"/>
  <c r="O13" i="1" s="1"/>
  <c r="N13" i="1" s="1"/>
  <c r="C67" i="47"/>
  <c r="AL70" i="47" s="1"/>
  <c r="C11" i="47"/>
  <c r="P10" i="47" s="1"/>
  <c r="W7" i="47"/>
  <c r="W56" i="47" l="1"/>
  <c r="AL55" i="47"/>
  <c r="W58" i="47"/>
  <c r="AL58" i="47"/>
  <c r="W57" i="47"/>
  <c r="AL57" i="47"/>
  <c r="AL56" i="47"/>
  <c r="V67" i="47"/>
  <c r="U52" i="47"/>
  <c r="W55" i="47"/>
  <c r="D73" i="47"/>
  <c r="E73" i="47" s="1"/>
  <c r="W8" i="47"/>
  <c r="F9" i="47"/>
  <c r="C68" i="47" s="1"/>
  <c r="F77" i="47"/>
  <c r="F13" i="1"/>
  <c r="A22" i="6" l="1"/>
  <c r="O11" i="1"/>
  <c r="H73" i="47"/>
  <c r="I73" i="47" s="1"/>
  <c r="AL71" i="47"/>
  <c r="AM71" i="47" s="1"/>
  <c r="X58" i="47"/>
  <c r="AM58" i="47"/>
  <c r="X56" i="47"/>
  <c r="AM55" i="47"/>
  <c r="X57" i="47"/>
  <c r="AM57" i="47"/>
  <c r="AM56" i="47"/>
  <c r="X55" i="47"/>
  <c r="W67" i="47"/>
  <c r="V52" i="47"/>
  <c r="D79" i="47"/>
  <c r="E77" i="47"/>
  <c r="G19" i="6"/>
  <c r="AL75" i="47" l="1" a="1"/>
  <c r="AL75" i="47" s="1"/>
  <c r="AL76" i="47" a="1"/>
  <c r="AL76" i="47" s="1"/>
  <c r="AL79" i="47" s="1"/>
  <c r="Y56" i="47"/>
  <c r="AN55" i="47"/>
  <c r="Y58" i="47"/>
  <c r="AN58" i="47"/>
  <c r="Y57" i="47"/>
  <c r="AN56" i="47"/>
  <c r="AN57" i="47"/>
  <c r="X67" i="47"/>
  <c r="W52" i="47"/>
  <c r="Y55" i="47"/>
  <c r="D78" i="47"/>
  <c r="E78" i="47" s="1"/>
  <c r="G77" i="47"/>
  <c r="A12" i="6"/>
  <c r="C19" i="6"/>
  <c r="Z56" i="47" l="1"/>
  <c r="AO55" i="47"/>
  <c r="Z58" i="47"/>
  <c r="AO58" i="47"/>
  <c r="Z57" i="47"/>
  <c r="AO57" i="47"/>
  <c r="AO56" i="47"/>
  <c r="Z55" i="47"/>
  <c r="Y67" i="47"/>
  <c r="X52" i="47"/>
  <c r="G78" i="47"/>
  <c r="D80" i="47"/>
  <c r="E80" i="47" s="1"/>
  <c r="C13" i="1"/>
  <c r="AA58" i="47" l="1"/>
  <c r="AP58" i="47"/>
  <c r="AA56" i="47"/>
  <c r="AP55" i="47"/>
  <c r="AA57" i="47"/>
  <c r="AP57" i="47"/>
  <c r="AP56" i="47"/>
  <c r="AC73" i="47"/>
  <c r="AD73" i="47" s="1"/>
  <c r="AE73" i="47" s="1"/>
  <c r="AF73" i="47" s="1"/>
  <c r="AG73" i="47" s="1"/>
  <c r="AH73" i="47" s="1"/>
  <c r="AI73" i="47" s="1"/>
  <c r="AJ73" i="47" s="1"/>
  <c r="AC72" i="47"/>
  <c r="AD72" i="47" s="1"/>
  <c r="AE72" i="47" s="1"/>
  <c r="AF72" i="47" s="1"/>
  <c r="AG72" i="47" s="1"/>
  <c r="AH72" i="47" s="1"/>
  <c r="AI72" i="47" s="1"/>
  <c r="AJ72" i="47" s="1"/>
  <c r="Z67" i="47"/>
  <c r="Y52" i="47"/>
  <c r="AC74" i="47"/>
  <c r="AD74" i="47" s="1"/>
  <c r="AE74" i="47" s="1"/>
  <c r="AF74" i="47" s="1"/>
  <c r="AG74" i="47" s="1"/>
  <c r="AH74" i="47" s="1"/>
  <c r="AI74" i="47" s="1"/>
  <c r="AJ74" i="47" s="1"/>
  <c r="AC71" i="47"/>
  <c r="AD71" i="47" s="1"/>
  <c r="AE71" i="47" s="1"/>
  <c r="AF71" i="47" s="1"/>
  <c r="AG71" i="47" s="1"/>
  <c r="AH71" i="47" s="1"/>
  <c r="AI71" i="47" s="1"/>
  <c r="AJ71" i="47" s="1"/>
  <c r="AA55" i="47"/>
  <c r="G80" i="47"/>
  <c r="E79" i="47"/>
  <c r="F78" i="47"/>
  <c r="C5" i="37"/>
  <c r="AB55" i="47" l="1"/>
  <c r="AB56" i="47"/>
  <c r="AQ55" i="47"/>
  <c r="AB58" i="47"/>
  <c r="AQ58" i="47"/>
  <c r="AB57" i="47"/>
  <c r="AQ57" i="47"/>
  <c r="AQ56" i="47"/>
  <c r="AA67" i="47"/>
  <c r="Z52" i="47"/>
  <c r="F80" i="47"/>
  <c r="G79" i="47"/>
  <c r="C26" i="1"/>
  <c r="B26" i="1"/>
  <c r="C27" i="1"/>
  <c r="C5" i="28"/>
  <c r="B19" i="6"/>
  <c r="I14" i="6"/>
  <c r="H14" i="6"/>
  <c r="E14" i="6"/>
  <c r="D2" i="6"/>
  <c r="C2" i="6" s="1"/>
  <c r="D1" i="6"/>
  <c r="C1" i="6" s="1"/>
  <c r="C5" i="29"/>
  <c r="B15" i="6"/>
  <c r="B16" i="6" s="1"/>
  <c r="C5" i="26"/>
  <c r="C5" i="25"/>
  <c r="C5" i="24"/>
  <c r="C5" i="23"/>
  <c r="C5" i="22"/>
  <c r="C5" i="36"/>
  <c r="C5" i="35"/>
  <c r="C5" i="34"/>
  <c r="C5" i="33"/>
  <c r="C5" i="31"/>
  <c r="AB67" i="47" l="1"/>
  <c r="AA52" i="47"/>
  <c r="F79" i="47"/>
  <c r="D85" i="47" s="1"/>
  <c r="C4" i="25"/>
  <c r="AC67" i="47" l="1"/>
  <c r="AD67" i="47" s="1"/>
  <c r="AE67" i="47" s="1"/>
  <c r="AB52" i="47"/>
  <c r="P5" i="47"/>
  <c r="D87" i="47"/>
  <c r="P6" i="47" s="1"/>
  <c r="D89" i="47"/>
  <c r="D91" i="47" s="1"/>
  <c r="P9" i="47" s="1"/>
  <c r="AU22" i="22"/>
  <c r="O47" i="22"/>
  <c r="AU23" i="37"/>
  <c r="O48" i="37"/>
  <c r="O47" i="36"/>
  <c r="AU22" i="36"/>
  <c r="AU22" i="35"/>
  <c r="O47" i="35"/>
  <c r="AU22" i="34"/>
  <c r="O47" i="34"/>
  <c r="AU22" i="33"/>
  <c r="AU22" i="31"/>
  <c r="AU22" i="28"/>
  <c r="O47" i="28"/>
  <c r="AU22" i="29"/>
  <c r="O47" i="29"/>
  <c r="AU23" i="26"/>
  <c r="O48" i="26"/>
  <c r="AU22" i="25"/>
  <c r="O47" i="25"/>
  <c r="AU23" i="24"/>
  <c r="O48" i="24"/>
  <c r="AU22" i="23"/>
  <c r="O47" i="23"/>
  <c r="AF67" i="47" l="1"/>
  <c r="AG67" i="47" s="1"/>
  <c r="AH67" i="47" s="1"/>
  <c r="AI67" i="47" s="1"/>
  <c r="AJ67" i="47" s="1"/>
  <c r="AM70" i="47"/>
  <c r="P7" i="47"/>
  <c r="C11" i="1"/>
  <c r="C10" i="1"/>
  <c r="AN74" i="47" l="1" a="1"/>
  <c r="AN74" i="47" s="1"/>
  <c r="AN78" i="47" s="1"/>
  <c r="AM76" i="47" a="1"/>
  <c r="AM76" i="47" s="1"/>
  <c r="AM74" i="47" a="1"/>
  <c r="AM74" i="47" s="1"/>
  <c r="AM78" i="47" s="1"/>
  <c r="AN76" i="47" a="1"/>
  <c r="AN76" i="47" s="1"/>
  <c r="AN75" i="47" a="1"/>
  <c r="AN75" i="47" s="1"/>
  <c r="AM75" i="47" a="1"/>
  <c r="AM75" i="47" s="1"/>
  <c r="B14" i="6"/>
  <c r="C14" i="6"/>
  <c r="O103" i="40"/>
  <c r="O101" i="40"/>
  <c r="S99" i="40"/>
  <c r="Q99" i="40"/>
  <c r="O75" i="40"/>
  <c r="O76" i="40" s="1"/>
  <c r="O73" i="40"/>
  <c r="S71" i="40"/>
  <c r="Q71" i="40"/>
  <c r="B20" i="26"/>
  <c r="D17" i="26"/>
  <c r="B19" i="25"/>
  <c r="D17" i="25"/>
  <c r="B20" i="24"/>
  <c r="D17" i="24"/>
  <c r="B19" i="23"/>
  <c r="D17" i="23"/>
  <c r="B19" i="22"/>
  <c r="D17" i="22"/>
  <c r="B20" i="37"/>
  <c r="D17" i="37"/>
  <c r="B19" i="36"/>
  <c r="D17" i="36"/>
  <c r="B19" i="35"/>
  <c r="D17" i="35"/>
  <c r="B19" i="34"/>
  <c r="D17" i="34"/>
  <c r="B19" i="33"/>
  <c r="D17" i="33"/>
  <c r="O47" i="33"/>
  <c r="Q45" i="33"/>
  <c r="Q45" i="31"/>
  <c r="O47" i="31"/>
  <c r="B19" i="31"/>
  <c r="D17" i="31"/>
  <c r="Q45" i="28"/>
  <c r="B19" i="28"/>
  <c r="D17" i="28"/>
  <c r="B19" i="29"/>
  <c r="D17" i="29"/>
  <c r="AM79" i="47" l="1"/>
  <c r="AN79" i="47"/>
  <c r="O77" i="40"/>
  <c r="T71" i="40"/>
  <c r="T99" i="40"/>
  <c r="O104" i="40"/>
  <c r="AN81" i="47" l="1"/>
  <c r="AN82" i="47" s="1"/>
  <c r="AB96" i="47" s="1"/>
  <c r="AB100" i="47" s="1"/>
  <c r="U71" i="40"/>
  <c r="U99" i="40"/>
  <c r="O78" i="40"/>
  <c r="O105" i="40"/>
  <c r="P12" i="47" l="1"/>
  <c r="AB101" i="47"/>
  <c r="P11" i="47" s="1"/>
  <c r="O79" i="40"/>
  <c r="O106" i="40"/>
  <c r="V71" i="40"/>
  <c r="V99" i="40"/>
  <c r="W71" i="40" l="1"/>
  <c r="O107" i="40"/>
  <c r="W99" i="40"/>
  <c r="O80" i="40"/>
  <c r="O108" i="40" l="1"/>
  <c r="X71" i="40"/>
  <c r="O81" i="40"/>
  <c r="X99" i="40"/>
  <c r="Y99" i="40" l="1"/>
  <c r="O82" i="40"/>
  <c r="O109" i="40"/>
  <c r="Y71" i="40"/>
  <c r="O110" i="40" l="1"/>
  <c r="Z71" i="40"/>
  <c r="O83" i="40"/>
  <c r="Z99" i="40"/>
  <c r="AA99" i="40" l="1"/>
  <c r="O84" i="40"/>
  <c r="AA71" i="40"/>
  <c r="O111" i="40"/>
  <c r="AB99" i="40" l="1"/>
  <c r="O112" i="40"/>
  <c r="AB71" i="40"/>
  <c r="O85" i="40"/>
  <c r="O86" i="40" l="1"/>
  <c r="AC99" i="40"/>
  <c r="O113" i="40"/>
  <c r="AC71" i="40"/>
  <c r="AD71" i="40" l="1"/>
  <c r="AD99" i="40"/>
  <c r="O114" i="40"/>
  <c r="O87" i="40"/>
  <c r="AE99" i="40" l="1"/>
  <c r="AE71" i="40"/>
  <c r="O88" i="40"/>
  <c r="O115" i="40"/>
  <c r="O89" i="40" l="1"/>
  <c r="O116" i="40"/>
  <c r="AF71" i="40"/>
  <c r="AF99" i="40"/>
  <c r="AG99" i="40" l="1"/>
  <c r="O117" i="40"/>
  <c r="AG71" i="40"/>
  <c r="O90" i="40"/>
  <c r="O91" i="40" l="1"/>
  <c r="AH99" i="40"/>
  <c r="O118" i="40"/>
  <c r="AH71" i="40"/>
  <c r="AI71" i="40" l="1"/>
  <c r="O119" i="40"/>
  <c r="AI99" i="40"/>
  <c r="O92" i="40"/>
  <c r="O120" i="40" l="1"/>
  <c r="AJ71" i="40"/>
  <c r="AJ99" i="40"/>
  <c r="AU20" i="40" l="1"/>
  <c r="AX18" i="40"/>
  <c r="O45" i="40"/>
  <c r="Q43" i="40"/>
  <c r="B17" i="40"/>
  <c r="D15" i="40"/>
  <c r="FI22" i="36" l="1"/>
  <c r="O47" i="40" l="1"/>
  <c r="O48" i="40" s="1"/>
  <c r="O49" i="40" s="1"/>
  <c r="O50" i="40" s="1"/>
  <c r="O51" i="40" s="1"/>
  <c r="O52" i="40" s="1"/>
  <c r="O53" i="40" s="1"/>
  <c r="O54" i="40" s="1"/>
  <c r="O55" i="40" s="1"/>
  <c r="O56" i="40" s="1"/>
  <c r="O57" i="40" s="1"/>
  <c r="O58" i="40" s="1"/>
  <c r="O59" i="40" s="1"/>
  <c r="O60" i="40" s="1"/>
  <c r="O61" i="40" s="1"/>
  <c r="O62" i="40" s="1"/>
  <c r="O63" i="40" s="1"/>
  <c r="O64" i="40" s="1"/>
  <c r="S43" i="40"/>
  <c r="T43" i="40" s="1"/>
  <c r="U43" i="40" s="1"/>
  <c r="V43" i="40" s="1"/>
  <c r="W43" i="40" s="1"/>
  <c r="X43" i="40" s="1"/>
  <c r="Y43" i="40" s="1"/>
  <c r="Z43" i="40" s="1"/>
  <c r="AA43" i="40" s="1"/>
  <c r="AB43" i="40" s="1"/>
  <c r="AC43" i="40" s="1"/>
  <c r="AD43" i="40" s="1"/>
  <c r="AE43" i="40" s="1"/>
  <c r="AF43" i="40" s="1"/>
  <c r="AG43" i="40" s="1"/>
  <c r="AH43" i="40" s="1"/>
  <c r="AI43" i="40" s="1"/>
  <c r="AJ43" i="40" s="1"/>
  <c r="FK39" i="40"/>
  <c r="FI39" i="40"/>
  <c r="FG39" i="40"/>
  <c r="FA39" i="40"/>
  <c r="EY39" i="40"/>
  <c r="EW39" i="40"/>
  <c r="EQ39" i="40"/>
  <c r="EO39" i="40"/>
  <c r="EM39" i="40"/>
  <c r="EG39" i="40"/>
  <c r="EE39" i="40"/>
  <c r="EC39" i="40"/>
  <c r="DW39" i="40"/>
  <c r="DU39" i="40"/>
  <c r="DS39" i="40"/>
  <c r="DM39" i="40"/>
  <c r="DK39" i="40"/>
  <c r="DI39" i="40"/>
  <c r="DC39" i="40"/>
  <c r="DA39" i="40"/>
  <c r="CY39" i="40"/>
  <c r="CS39" i="40"/>
  <c r="CQ39" i="40"/>
  <c r="CO39" i="40"/>
  <c r="CI39" i="40"/>
  <c r="CG39" i="40"/>
  <c r="CE39" i="40"/>
  <c r="BY39" i="40"/>
  <c r="BW39" i="40"/>
  <c r="BU39" i="40"/>
  <c r="BO39" i="40"/>
  <c r="BM39" i="40"/>
  <c r="BK39" i="40"/>
  <c r="BE39" i="40"/>
  <c r="BC39" i="40"/>
  <c r="BA39" i="40"/>
  <c r="BF39" i="40" s="1"/>
  <c r="FK38" i="40"/>
  <c r="FI38" i="40"/>
  <c r="FG38" i="40"/>
  <c r="FA38" i="40"/>
  <c r="EY38" i="40"/>
  <c r="EW38" i="40"/>
  <c r="EQ38" i="40"/>
  <c r="EO38" i="40"/>
  <c r="EM38" i="40"/>
  <c r="EG38" i="40"/>
  <c r="EE38" i="40"/>
  <c r="EC38" i="40"/>
  <c r="DW38" i="40"/>
  <c r="DU38" i="40"/>
  <c r="DS38" i="40"/>
  <c r="DM38" i="40"/>
  <c r="DK38" i="40"/>
  <c r="DI38" i="40"/>
  <c r="DC38" i="40"/>
  <c r="DA38" i="40"/>
  <c r="CY38" i="40"/>
  <c r="CS38" i="40"/>
  <c r="CQ38" i="40"/>
  <c r="CO38" i="40"/>
  <c r="CI38" i="40"/>
  <c r="CG38" i="40"/>
  <c r="CE38" i="40"/>
  <c r="BY38" i="40"/>
  <c r="BW38" i="40"/>
  <c r="BU38" i="40"/>
  <c r="BO38" i="40"/>
  <c r="BM38" i="40"/>
  <c r="BK38" i="40"/>
  <c r="BE38" i="40"/>
  <c r="BC38" i="40"/>
  <c r="BA38" i="40"/>
  <c r="FK37" i="40"/>
  <c r="FI37" i="40"/>
  <c r="FG37" i="40"/>
  <c r="FA37" i="40"/>
  <c r="EY37" i="40"/>
  <c r="EW37" i="40"/>
  <c r="EQ37" i="40"/>
  <c r="EO37" i="40"/>
  <c r="EM37" i="40"/>
  <c r="EG37" i="40"/>
  <c r="EE37" i="40"/>
  <c r="EC37" i="40"/>
  <c r="DW37" i="40"/>
  <c r="DU37" i="40"/>
  <c r="DS37" i="40"/>
  <c r="DM37" i="40"/>
  <c r="DK37" i="40"/>
  <c r="DI37" i="40"/>
  <c r="DC37" i="40"/>
  <c r="DA37" i="40"/>
  <c r="CY37" i="40"/>
  <c r="CS37" i="40"/>
  <c r="CQ37" i="40"/>
  <c r="CO37" i="40"/>
  <c r="CI37" i="40"/>
  <c r="CG37" i="40"/>
  <c r="CE37" i="40"/>
  <c r="BY37" i="40"/>
  <c r="BW37" i="40"/>
  <c r="BU37" i="40"/>
  <c r="BZ37" i="40" s="1"/>
  <c r="BO37" i="40"/>
  <c r="BM37" i="40"/>
  <c r="BK37" i="40"/>
  <c r="BQ37" i="40" s="1"/>
  <c r="BH37" i="40" s="1"/>
  <c r="BI37" i="40" s="1"/>
  <c r="BE37" i="40"/>
  <c r="BC37" i="40"/>
  <c r="BA37" i="40"/>
  <c r="BG37" i="40" s="1"/>
  <c r="AX37" i="40" s="1"/>
  <c r="AY37" i="40" s="1"/>
  <c r="FK36" i="40"/>
  <c r="FI36" i="40"/>
  <c r="FG36" i="40"/>
  <c r="FA36" i="40"/>
  <c r="EY36" i="40"/>
  <c r="EW36" i="40"/>
  <c r="EQ36" i="40"/>
  <c r="EO36" i="40"/>
  <c r="EM36" i="40"/>
  <c r="EG36" i="40"/>
  <c r="EE36" i="40"/>
  <c r="EC36" i="40"/>
  <c r="DW36" i="40"/>
  <c r="DU36" i="40"/>
  <c r="DS36" i="40"/>
  <c r="DM36" i="40"/>
  <c r="DK36" i="40"/>
  <c r="DI36" i="40"/>
  <c r="DC36" i="40"/>
  <c r="DA36" i="40"/>
  <c r="CY36" i="40"/>
  <c r="CS36" i="40"/>
  <c r="CQ36" i="40"/>
  <c r="CO36" i="40"/>
  <c r="CI36" i="40"/>
  <c r="CG36" i="40"/>
  <c r="CE36" i="40"/>
  <c r="BY36" i="40"/>
  <c r="BW36" i="40"/>
  <c r="BU36" i="40"/>
  <c r="BO36" i="40"/>
  <c r="BM36" i="40"/>
  <c r="BK36" i="40"/>
  <c r="BE36" i="40"/>
  <c r="BC36" i="40"/>
  <c r="BA36" i="40"/>
  <c r="FK35" i="40"/>
  <c r="FI35" i="40"/>
  <c r="FG35" i="40"/>
  <c r="FA35" i="40"/>
  <c r="EY35" i="40"/>
  <c r="EW35" i="40"/>
  <c r="EQ35" i="40"/>
  <c r="EO35" i="40"/>
  <c r="EM35" i="40"/>
  <c r="EG35" i="40"/>
  <c r="EE35" i="40"/>
  <c r="EC35" i="40"/>
  <c r="EH35" i="40" s="1"/>
  <c r="DW35" i="40"/>
  <c r="DU35" i="40"/>
  <c r="DS35" i="40"/>
  <c r="DM35" i="40"/>
  <c r="DK35" i="40"/>
  <c r="DI35" i="40"/>
  <c r="DC35" i="40"/>
  <c r="DA35" i="40"/>
  <c r="CY35" i="40"/>
  <c r="CS35" i="40"/>
  <c r="CQ35" i="40"/>
  <c r="CO35" i="40"/>
  <c r="CI35" i="40"/>
  <c r="CG35" i="40"/>
  <c r="CE35" i="40"/>
  <c r="BY35" i="40"/>
  <c r="BW35" i="40"/>
  <c r="BU35" i="40"/>
  <c r="BO35" i="40"/>
  <c r="BM35" i="40"/>
  <c r="BK35" i="40"/>
  <c r="BE35" i="40"/>
  <c r="BC35" i="40"/>
  <c r="BA35" i="40"/>
  <c r="FK34" i="40"/>
  <c r="FI34" i="40"/>
  <c r="FG34" i="40"/>
  <c r="FA34" i="40"/>
  <c r="EY34" i="40"/>
  <c r="EW34" i="40"/>
  <c r="FB34" i="40" s="1"/>
  <c r="EQ34" i="40"/>
  <c r="EO34" i="40"/>
  <c r="EM34" i="40"/>
  <c r="EG34" i="40"/>
  <c r="EE34" i="40"/>
  <c r="EC34" i="40"/>
  <c r="DW34" i="40"/>
  <c r="DU34" i="40"/>
  <c r="DS34" i="40"/>
  <c r="DM34" i="40"/>
  <c r="DK34" i="40"/>
  <c r="DI34" i="40"/>
  <c r="DC34" i="40"/>
  <c r="DA34" i="40"/>
  <c r="CY34" i="40"/>
  <c r="CS34" i="40"/>
  <c r="CQ34" i="40"/>
  <c r="CO34" i="40"/>
  <c r="CT34" i="40" s="1"/>
  <c r="CI34" i="40"/>
  <c r="CG34" i="40"/>
  <c r="CE34" i="40"/>
  <c r="BY34" i="40"/>
  <c r="BW34" i="40"/>
  <c r="BU34" i="40"/>
  <c r="BO34" i="40"/>
  <c r="BM34" i="40"/>
  <c r="BK34" i="40"/>
  <c r="BE34" i="40"/>
  <c r="BC34" i="40"/>
  <c r="BA34" i="40"/>
  <c r="FK33" i="40"/>
  <c r="FI33" i="40"/>
  <c r="FG33" i="40"/>
  <c r="FA33" i="40"/>
  <c r="EY33" i="40"/>
  <c r="EW33" i="40"/>
  <c r="EQ33" i="40"/>
  <c r="EO33" i="40"/>
  <c r="EM33" i="40"/>
  <c r="EG33" i="40"/>
  <c r="EE33" i="40"/>
  <c r="EC33" i="40"/>
  <c r="DW33" i="40"/>
  <c r="DU33" i="40"/>
  <c r="DS33" i="40"/>
  <c r="DM33" i="40"/>
  <c r="DK33" i="40"/>
  <c r="DI33" i="40"/>
  <c r="DC33" i="40"/>
  <c r="DA33" i="40"/>
  <c r="CY33" i="40"/>
  <c r="CS33" i="40"/>
  <c r="CQ33" i="40"/>
  <c r="CO33" i="40"/>
  <c r="CI33" i="40"/>
  <c r="CG33" i="40"/>
  <c r="CE33" i="40"/>
  <c r="BZ33" i="40"/>
  <c r="BY33" i="40"/>
  <c r="BW33" i="40"/>
  <c r="BU33" i="40"/>
  <c r="BO33" i="40"/>
  <c r="BM33" i="40"/>
  <c r="BQ33" i="40" s="1"/>
  <c r="BH33" i="40" s="1"/>
  <c r="BK33" i="40"/>
  <c r="BE33" i="40"/>
  <c r="BC33" i="40"/>
  <c r="BA33" i="40"/>
  <c r="FK32" i="40"/>
  <c r="FI32" i="40"/>
  <c r="FG32" i="40"/>
  <c r="FA32" i="40"/>
  <c r="EY32" i="40"/>
  <c r="EW32" i="40"/>
  <c r="EQ32" i="40"/>
  <c r="EO32" i="40"/>
  <c r="EM32" i="40"/>
  <c r="EG32" i="40"/>
  <c r="EE32" i="40"/>
  <c r="EC32" i="40"/>
  <c r="DW32" i="40"/>
  <c r="DU32" i="40"/>
  <c r="DS32" i="40"/>
  <c r="DM32" i="40"/>
  <c r="DK32" i="40"/>
  <c r="DI32" i="40"/>
  <c r="DC32" i="40"/>
  <c r="DA32" i="40"/>
  <c r="CY32" i="40"/>
  <c r="DD32" i="40" s="1"/>
  <c r="CS32" i="40"/>
  <c r="CQ32" i="40"/>
  <c r="CO32" i="40"/>
  <c r="CI32" i="40"/>
  <c r="CG32" i="40"/>
  <c r="CE32" i="40"/>
  <c r="BY32" i="40"/>
  <c r="BW32" i="40"/>
  <c r="BU32" i="40"/>
  <c r="BO32" i="40"/>
  <c r="BM32" i="40"/>
  <c r="BK32" i="40"/>
  <c r="BE32" i="40"/>
  <c r="BC32" i="40"/>
  <c r="BA32" i="40"/>
  <c r="IM31" i="40"/>
  <c r="IK31" i="40"/>
  <c r="II31" i="40"/>
  <c r="IC31" i="40"/>
  <c r="IA31" i="40"/>
  <c r="HY31" i="40"/>
  <c r="HS31" i="40"/>
  <c r="HQ31" i="40"/>
  <c r="HO31" i="40"/>
  <c r="HI31" i="40"/>
  <c r="HG31" i="40"/>
  <c r="HJ31" i="40" s="1"/>
  <c r="HE31" i="40"/>
  <c r="GY31" i="40"/>
  <c r="GW31" i="40"/>
  <c r="GU31" i="40"/>
  <c r="GO31" i="40"/>
  <c r="GM31" i="40"/>
  <c r="GP31" i="40" s="1"/>
  <c r="GK31" i="40"/>
  <c r="GE31" i="40"/>
  <c r="GC31" i="40"/>
  <c r="GA31" i="40"/>
  <c r="FU31" i="40"/>
  <c r="FS31" i="40"/>
  <c r="FQ31" i="40"/>
  <c r="FK31" i="40"/>
  <c r="FI31" i="40"/>
  <c r="FG31" i="40"/>
  <c r="FA31" i="40"/>
  <c r="EY31" i="40"/>
  <c r="EW31" i="40"/>
  <c r="EQ31" i="40"/>
  <c r="EO31" i="40"/>
  <c r="EM31" i="40"/>
  <c r="EG31" i="40"/>
  <c r="EE31" i="40"/>
  <c r="EH31" i="40" s="1"/>
  <c r="EC31" i="40"/>
  <c r="DW31" i="40"/>
  <c r="DU31" i="40"/>
  <c r="DS31" i="40"/>
  <c r="DX31" i="40" s="1"/>
  <c r="DM31" i="40"/>
  <c r="DK31" i="40"/>
  <c r="DN31" i="40" s="1"/>
  <c r="DI31" i="40"/>
  <c r="DC31" i="40"/>
  <c r="DA31" i="40"/>
  <c r="CY31" i="40"/>
  <c r="CS31" i="40"/>
  <c r="CQ31" i="40"/>
  <c r="CO31" i="40"/>
  <c r="CI31" i="40"/>
  <c r="CG31" i="40"/>
  <c r="CE31" i="40"/>
  <c r="BY31" i="40"/>
  <c r="BW31" i="40"/>
  <c r="BU31" i="40"/>
  <c r="BO31" i="40"/>
  <c r="BM31" i="40"/>
  <c r="BK31" i="40"/>
  <c r="BE31" i="40"/>
  <c r="BC31" i="40"/>
  <c r="BF31" i="40" s="1"/>
  <c r="BA31" i="40"/>
  <c r="IM30" i="40"/>
  <c r="IK30" i="40"/>
  <c r="II30" i="40"/>
  <c r="IC30" i="40"/>
  <c r="IA30" i="40"/>
  <c r="HY30" i="40"/>
  <c r="HS30" i="40"/>
  <c r="HQ30" i="40"/>
  <c r="HT30" i="40" s="1"/>
  <c r="HO30" i="40"/>
  <c r="HI30" i="40"/>
  <c r="HG30" i="40"/>
  <c r="HE30" i="40"/>
  <c r="GY30" i="40"/>
  <c r="GW30" i="40"/>
  <c r="GZ30" i="40" s="1"/>
  <c r="GU30" i="40"/>
  <c r="GO30" i="40"/>
  <c r="GM30" i="40"/>
  <c r="GK30" i="40"/>
  <c r="GE30" i="40"/>
  <c r="GC30" i="40"/>
  <c r="GA30" i="40"/>
  <c r="FU30" i="40"/>
  <c r="FS30" i="40"/>
  <c r="FQ30" i="40"/>
  <c r="FK30" i="40"/>
  <c r="FI30" i="40"/>
  <c r="FG30" i="40"/>
  <c r="FA30" i="40"/>
  <c r="EY30" i="40"/>
  <c r="EW30" i="40"/>
  <c r="EQ30" i="40"/>
  <c r="EO30" i="40"/>
  <c r="EM30" i="40"/>
  <c r="EG30" i="40"/>
  <c r="EE30" i="40"/>
  <c r="EC30" i="40"/>
  <c r="DW30" i="40"/>
  <c r="DU30" i="40"/>
  <c r="DX30" i="40" s="1"/>
  <c r="DS30" i="40"/>
  <c r="DM30" i="40"/>
  <c r="DK30" i="40"/>
  <c r="DI30" i="40"/>
  <c r="DC30" i="40"/>
  <c r="DA30" i="40"/>
  <c r="CY30" i="40"/>
  <c r="CS30" i="40"/>
  <c r="CQ30" i="40"/>
  <c r="CO30" i="40"/>
  <c r="CI30" i="40"/>
  <c r="CG30" i="40"/>
  <c r="CE30" i="40"/>
  <c r="BY30" i="40"/>
  <c r="BW30" i="40"/>
  <c r="BU30" i="40"/>
  <c r="BO30" i="40"/>
  <c r="BM30" i="40"/>
  <c r="BK30" i="40"/>
  <c r="BE30" i="40"/>
  <c r="BC30" i="40"/>
  <c r="BA30" i="40"/>
  <c r="IM29" i="40"/>
  <c r="IK29" i="40"/>
  <c r="II29" i="40"/>
  <c r="IC29" i="40"/>
  <c r="IA29" i="40"/>
  <c r="HY29" i="40"/>
  <c r="HS29" i="40"/>
  <c r="HQ29" i="40"/>
  <c r="HO29" i="40"/>
  <c r="HI29" i="40"/>
  <c r="HG29" i="40"/>
  <c r="HE29" i="40"/>
  <c r="GY29" i="40"/>
  <c r="GW29" i="40"/>
  <c r="GZ29" i="40" s="1"/>
  <c r="GU29" i="40"/>
  <c r="GO29" i="40"/>
  <c r="GM29" i="40"/>
  <c r="GK29" i="40"/>
  <c r="GE29" i="40"/>
  <c r="GC29" i="40"/>
  <c r="GA29" i="40"/>
  <c r="FU29" i="40"/>
  <c r="FS29" i="40"/>
  <c r="FQ29" i="40"/>
  <c r="FK29" i="40"/>
  <c r="FI29" i="40"/>
  <c r="FL29" i="40" s="1"/>
  <c r="FG29" i="40"/>
  <c r="FA29" i="40"/>
  <c r="EY29" i="40"/>
  <c r="EW29" i="40"/>
  <c r="EQ29" i="40"/>
  <c r="EO29" i="40"/>
  <c r="EM29" i="40"/>
  <c r="EG29" i="40"/>
  <c r="EE29" i="40"/>
  <c r="EC29" i="40"/>
  <c r="DW29" i="40"/>
  <c r="DU29" i="40"/>
  <c r="DX29" i="40" s="1"/>
  <c r="DS29" i="40"/>
  <c r="DM29" i="40"/>
  <c r="DK29" i="40"/>
  <c r="DI29" i="40"/>
  <c r="DC29" i="40"/>
  <c r="DA29" i="40"/>
  <c r="CY29" i="40"/>
  <c r="CS29" i="40"/>
  <c r="CQ29" i="40"/>
  <c r="CO29" i="40"/>
  <c r="CI29" i="40"/>
  <c r="CG29" i="40"/>
  <c r="CJ29" i="40" s="1"/>
  <c r="CE29" i="40"/>
  <c r="BY29" i="40"/>
  <c r="BW29" i="40"/>
  <c r="BU29" i="40"/>
  <c r="BO29" i="40"/>
  <c r="BM29" i="40"/>
  <c r="BK29" i="40"/>
  <c r="BE29" i="40"/>
  <c r="BC29" i="40"/>
  <c r="BA29" i="40"/>
  <c r="IM28" i="40"/>
  <c r="IK28" i="40"/>
  <c r="II28" i="40"/>
  <c r="IC28" i="40"/>
  <c r="IA28" i="40"/>
  <c r="HY28" i="40"/>
  <c r="HS28" i="40"/>
  <c r="HQ28" i="40"/>
  <c r="HT28" i="40" s="1"/>
  <c r="HO28" i="40"/>
  <c r="HI28" i="40"/>
  <c r="HG28" i="40"/>
  <c r="HE28" i="40"/>
  <c r="GY28" i="40"/>
  <c r="GW28" i="40"/>
  <c r="GU28" i="40"/>
  <c r="GO28" i="40"/>
  <c r="GM28" i="40"/>
  <c r="GK28" i="40"/>
  <c r="GE28" i="40"/>
  <c r="GC28" i="40"/>
  <c r="GF28" i="40" s="1"/>
  <c r="GA28" i="40"/>
  <c r="FU28" i="40"/>
  <c r="FS28" i="40"/>
  <c r="FQ28" i="40"/>
  <c r="FK28" i="40"/>
  <c r="FI28" i="40"/>
  <c r="FG28" i="40"/>
  <c r="FA28" i="40"/>
  <c r="EY28" i="40"/>
  <c r="EW28" i="40"/>
  <c r="EQ28" i="40"/>
  <c r="EO28" i="40"/>
  <c r="ER28" i="40" s="1"/>
  <c r="EM28" i="40"/>
  <c r="EG28" i="40"/>
  <c r="EE28" i="40"/>
  <c r="EC28" i="40"/>
  <c r="DW28" i="40"/>
  <c r="DU28" i="40"/>
  <c r="DS28" i="40"/>
  <c r="DM28" i="40"/>
  <c r="DK28" i="40"/>
  <c r="DN28" i="40" s="1"/>
  <c r="DI28" i="40"/>
  <c r="DD28" i="40"/>
  <c r="DC28" i="40"/>
  <c r="DA28" i="40"/>
  <c r="CY28" i="40"/>
  <c r="CS28" i="40"/>
  <c r="CQ28" i="40"/>
  <c r="CO28" i="40"/>
  <c r="CI28" i="40"/>
  <c r="CG28" i="40"/>
  <c r="CE28" i="40"/>
  <c r="BY28" i="40"/>
  <c r="BW28" i="40"/>
  <c r="BU28" i="40"/>
  <c r="BO28" i="40"/>
  <c r="BM28" i="40"/>
  <c r="BP28" i="40" s="1"/>
  <c r="BK28" i="40"/>
  <c r="BE28" i="40"/>
  <c r="BC28" i="40"/>
  <c r="BA28" i="40"/>
  <c r="IM27" i="40"/>
  <c r="IK27" i="40"/>
  <c r="II27" i="40"/>
  <c r="IC27" i="40"/>
  <c r="IA27" i="40"/>
  <c r="HY27" i="40"/>
  <c r="HS27" i="40"/>
  <c r="HQ27" i="40"/>
  <c r="HO27" i="40"/>
  <c r="HI27" i="40"/>
  <c r="HG27" i="40"/>
  <c r="HE27" i="40"/>
  <c r="GY27" i="40"/>
  <c r="GW27" i="40"/>
  <c r="GU27" i="40"/>
  <c r="GO27" i="40"/>
  <c r="GM27" i="40"/>
  <c r="GK27" i="40"/>
  <c r="GE27" i="40"/>
  <c r="GC27" i="40"/>
  <c r="GA27" i="40"/>
  <c r="FU27" i="40"/>
  <c r="FS27" i="40"/>
  <c r="FQ27" i="40"/>
  <c r="FK27" i="40"/>
  <c r="FI27" i="40"/>
  <c r="FG27" i="40"/>
  <c r="FA27" i="40"/>
  <c r="EY27" i="40"/>
  <c r="EW27" i="40"/>
  <c r="EQ27" i="40"/>
  <c r="EO27" i="40"/>
  <c r="EM27" i="40"/>
  <c r="EG27" i="40"/>
  <c r="EE27" i="40"/>
  <c r="EC27" i="40"/>
  <c r="DW27" i="40"/>
  <c r="DU27" i="40"/>
  <c r="DS27" i="40"/>
  <c r="DM27" i="40"/>
  <c r="DK27" i="40"/>
  <c r="DI27" i="40"/>
  <c r="DC27" i="40"/>
  <c r="DA27" i="40"/>
  <c r="CY27" i="40"/>
  <c r="CS27" i="40"/>
  <c r="CQ27" i="40"/>
  <c r="CO27" i="40"/>
  <c r="CI27" i="40"/>
  <c r="CG27" i="40"/>
  <c r="CE27" i="40"/>
  <c r="BY27" i="40"/>
  <c r="BW27" i="40"/>
  <c r="BU27" i="40"/>
  <c r="BO27" i="40"/>
  <c r="BM27" i="40"/>
  <c r="BK27" i="40"/>
  <c r="BE27" i="40"/>
  <c r="BC27" i="40"/>
  <c r="BA27" i="40"/>
  <c r="IM26" i="40"/>
  <c r="IK26" i="40"/>
  <c r="IN26" i="40" s="1"/>
  <c r="II26" i="40"/>
  <c r="IC26" i="40"/>
  <c r="IA26" i="40"/>
  <c r="HY26" i="40"/>
  <c r="HS26" i="40"/>
  <c r="HQ26" i="40"/>
  <c r="HO26" i="40"/>
  <c r="HJ26" i="40"/>
  <c r="HI26" i="40"/>
  <c r="HG26" i="40"/>
  <c r="HE26" i="40"/>
  <c r="GY26" i="40"/>
  <c r="GW26" i="40"/>
  <c r="GZ26" i="40" s="1"/>
  <c r="GU26" i="40"/>
  <c r="GO26" i="40"/>
  <c r="GM26" i="40"/>
  <c r="GK26" i="40"/>
  <c r="GE26" i="40"/>
  <c r="GC26" i="40"/>
  <c r="GA26" i="40"/>
  <c r="FU26" i="40"/>
  <c r="FS26" i="40"/>
  <c r="FQ26" i="40"/>
  <c r="FK26" i="40"/>
  <c r="FI26" i="40"/>
  <c r="FL26" i="40" s="1"/>
  <c r="FG26" i="40"/>
  <c r="FA26" i="40"/>
  <c r="EY26" i="40"/>
  <c r="EW26" i="40"/>
  <c r="EQ26" i="40"/>
  <c r="EO26" i="40"/>
  <c r="EM26" i="40"/>
  <c r="EG26" i="40"/>
  <c r="EE26" i="40"/>
  <c r="EC26" i="40"/>
  <c r="DW26" i="40"/>
  <c r="DU26" i="40"/>
  <c r="DX26" i="40" s="1"/>
  <c r="DS26" i="40"/>
  <c r="DM26" i="40"/>
  <c r="DK26" i="40"/>
  <c r="DI26" i="40"/>
  <c r="DC26" i="40"/>
  <c r="DA26" i="40"/>
  <c r="CY26" i="40"/>
  <c r="CS26" i="40"/>
  <c r="CQ26" i="40"/>
  <c r="CO26" i="40"/>
  <c r="CI26" i="40"/>
  <c r="CG26" i="40"/>
  <c r="CJ26" i="40" s="1"/>
  <c r="CE26" i="40"/>
  <c r="BY26" i="40"/>
  <c r="BW26" i="40"/>
  <c r="BU26" i="40"/>
  <c r="BO26" i="40"/>
  <c r="BM26" i="40"/>
  <c r="BK26" i="40"/>
  <c r="BE26" i="40"/>
  <c r="BC26" i="40"/>
  <c r="BA26" i="40"/>
  <c r="IM25" i="40"/>
  <c r="IK25" i="40"/>
  <c r="II25" i="40"/>
  <c r="IC25" i="40"/>
  <c r="IA25" i="40"/>
  <c r="HY25" i="40"/>
  <c r="HS25" i="40"/>
  <c r="HQ25" i="40"/>
  <c r="HO25" i="40"/>
  <c r="HI25" i="40"/>
  <c r="HG25" i="40"/>
  <c r="HE25" i="40"/>
  <c r="GY25" i="40"/>
  <c r="GW25" i="40"/>
  <c r="GU25" i="40"/>
  <c r="GO25" i="40"/>
  <c r="GM25" i="40"/>
  <c r="GK25" i="40"/>
  <c r="GE25" i="40"/>
  <c r="GC25" i="40"/>
  <c r="GA25" i="40"/>
  <c r="FU25" i="40"/>
  <c r="FS25" i="40"/>
  <c r="FQ25" i="40"/>
  <c r="FK25" i="40"/>
  <c r="FI25" i="40"/>
  <c r="FG25" i="40"/>
  <c r="FA25" i="40"/>
  <c r="EY25" i="40"/>
  <c r="EW25" i="40"/>
  <c r="EQ25" i="40"/>
  <c r="EO25" i="40"/>
  <c r="EM25" i="40"/>
  <c r="EG25" i="40"/>
  <c r="EE25" i="40"/>
  <c r="EC25" i="40"/>
  <c r="DW25" i="40"/>
  <c r="DU25" i="40"/>
  <c r="DS25" i="40"/>
  <c r="DX25" i="40" s="1"/>
  <c r="DM25" i="40"/>
  <c r="DK25" i="40"/>
  <c r="DI25" i="40"/>
  <c r="DC25" i="40"/>
  <c r="DA25" i="40"/>
  <c r="CY25" i="40"/>
  <c r="CS25" i="40"/>
  <c r="CQ25" i="40"/>
  <c r="CO25" i="40"/>
  <c r="CI25" i="40"/>
  <c r="CG25" i="40"/>
  <c r="CE25" i="40"/>
  <c r="BY25" i="40"/>
  <c r="BW25" i="40"/>
  <c r="BU25" i="40"/>
  <c r="BO25" i="40"/>
  <c r="BM25" i="40"/>
  <c r="BK25" i="40"/>
  <c r="BE25" i="40"/>
  <c r="BC25" i="40"/>
  <c r="BA25" i="40"/>
  <c r="IM24" i="40"/>
  <c r="IK24" i="40"/>
  <c r="II24" i="40"/>
  <c r="IC24" i="40"/>
  <c r="IA24" i="40"/>
  <c r="HY24" i="40"/>
  <c r="HS24" i="40"/>
  <c r="HQ24" i="40"/>
  <c r="HO24" i="40"/>
  <c r="HI24" i="40"/>
  <c r="HG24" i="40"/>
  <c r="HE24" i="40"/>
  <c r="GY24" i="40"/>
  <c r="GW24" i="40"/>
  <c r="GU24" i="40"/>
  <c r="GO24" i="40"/>
  <c r="GM24" i="40"/>
  <c r="GK24" i="40"/>
  <c r="GE24" i="40"/>
  <c r="GC24" i="40"/>
  <c r="GA24" i="40"/>
  <c r="FU24" i="40"/>
  <c r="FS24" i="40"/>
  <c r="FQ24" i="40"/>
  <c r="FK24" i="40"/>
  <c r="FI24" i="40"/>
  <c r="FG24" i="40"/>
  <c r="FA24" i="40"/>
  <c r="EY24" i="40"/>
  <c r="EW24" i="40"/>
  <c r="ER24" i="40"/>
  <c r="EQ24" i="40"/>
  <c r="EO24" i="40"/>
  <c r="EM24" i="40"/>
  <c r="EG24" i="40"/>
  <c r="EE24" i="40"/>
  <c r="EC24" i="40"/>
  <c r="DW24" i="40"/>
  <c r="DU24" i="40"/>
  <c r="DS24" i="40"/>
  <c r="DM24" i="40"/>
  <c r="DK24" i="40"/>
  <c r="DI24" i="40"/>
  <c r="DN24" i="40" s="1"/>
  <c r="DC24" i="40"/>
  <c r="DA24" i="40"/>
  <c r="CY24" i="40"/>
  <c r="CS24" i="40"/>
  <c r="CQ24" i="40"/>
  <c r="CO24" i="40"/>
  <c r="CI24" i="40"/>
  <c r="CG24" i="40"/>
  <c r="CE24" i="40"/>
  <c r="BY24" i="40"/>
  <c r="BW24" i="40"/>
  <c r="BU24" i="40"/>
  <c r="BO24" i="40"/>
  <c r="BM24" i="40"/>
  <c r="BK24" i="40"/>
  <c r="BE24" i="40"/>
  <c r="BC24" i="40"/>
  <c r="BA24" i="40"/>
  <c r="IM23" i="40"/>
  <c r="IK23" i="40"/>
  <c r="II23" i="40"/>
  <c r="IC23" i="40"/>
  <c r="IA23" i="40"/>
  <c r="HY23" i="40"/>
  <c r="HS23" i="40"/>
  <c r="HQ23" i="40"/>
  <c r="HO23" i="40"/>
  <c r="HI23" i="40"/>
  <c r="HG23" i="40"/>
  <c r="HE23" i="40"/>
  <c r="GY23" i="40"/>
  <c r="GW23" i="40"/>
  <c r="GU23" i="40"/>
  <c r="GO23" i="40"/>
  <c r="GM23" i="40"/>
  <c r="GK23" i="40"/>
  <c r="GE23" i="40"/>
  <c r="GC23" i="40"/>
  <c r="GA23" i="40"/>
  <c r="FU23" i="40"/>
  <c r="FS23" i="40"/>
  <c r="FQ23" i="40"/>
  <c r="FK23" i="40"/>
  <c r="FI23" i="40"/>
  <c r="FG23" i="40"/>
  <c r="FA23" i="40"/>
  <c r="EY23" i="40"/>
  <c r="EW23" i="40"/>
  <c r="EQ23" i="40"/>
  <c r="EO23" i="40"/>
  <c r="EM23" i="40"/>
  <c r="EG23" i="40"/>
  <c r="EE23" i="40"/>
  <c r="EC23" i="40"/>
  <c r="DW23" i="40"/>
  <c r="DU23" i="40"/>
  <c r="DS23" i="40"/>
  <c r="DM23" i="40"/>
  <c r="DK23" i="40"/>
  <c r="DI23" i="40"/>
  <c r="DC23" i="40"/>
  <c r="DA23" i="40"/>
  <c r="CY23" i="40"/>
  <c r="CS23" i="40"/>
  <c r="CQ23" i="40"/>
  <c r="CO23" i="40"/>
  <c r="CI23" i="40"/>
  <c r="CG23" i="40"/>
  <c r="CE23" i="40"/>
  <c r="BY23" i="40"/>
  <c r="BW23" i="40"/>
  <c r="BU23" i="40"/>
  <c r="BO23" i="40"/>
  <c r="BM23" i="40"/>
  <c r="BK23" i="40"/>
  <c r="BE23" i="40"/>
  <c r="BC23" i="40"/>
  <c r="BA23" i="40"/>
  <c r="IM22" i="40"/>
  <c r="IK22" i="40"/>
  <c r="II22" i="40"/>
  <c r="IC22" i="40"/>
  <c r="IA22" i="40"/>
  <c r="HY22" i="40"/>
  <c r="HS22" i="40"/>
  <c r="HQ22" i="40"/>
  <c r="HO22" i="40"/>
  <c r="HI22" i="40"/>
  <c r="HG22" i="40"/>
  <c r="HE22" i="40"/>
  <c r="GY22" i="40"/>
  <c r="GW22" i="40"/>
  <c r="GU22" i="40"/>
  <c r="GO22" i="40"/>
  <c r="GM22" i="40"/>
  <c r="GK22" i="40"/>
  <c r="GE22" i="40"/>
  <c r="GC22" i="40"/>
  <c r="GA22" i="40"/>
  <c r="FU22" i="40"/>
  <c r="FS22" i="40"/>
  <c r="FQ22" i="40"/>
  <c r="FK22" i="40"/>
  <c r="FI22" i="40"/>
  <c r="FG22" i="40"/>
  <c r="FA22" i="40"/>
  <c r="EY22" i="40"/>
  <c r="EW22" i="40"/>
  <c r="EQ22" i="40"/>
  <c r="EO22" i="40"/>
  <c r="EM22" i="40"/>
  <c r="EG22" i="40"/>
  <c r="EE22" i="40"/>
  <c r="EC22" i="40"/>
  <c r="DW22" i="40"/>
  <c r="DU22" i="40"/>
  <c r="DS22" i="40"/>
  <c r="DM22" i="40"/>
  <c r="DK22" i="40"/>
  <c r="DI22" i="40"/>
  <c r="DC22" i="40"/>
  <c r="DA22" i="40"/>
  <c r="CY22" i="40"/>
  <c r="CS22" i="40"/>
  <c r="CQ22" i="40"/>
  <c r="CO22" i="40"/>
  <c r="CI22" i="40"/>
  <c r="CG22" i="40"/>
  <c r="CE22" i="40"/>
  <c r="BY22" i="40"/>
  <c r="BW22" i="40"/>
  <c r="BU22" i="40"/>
  <c r="BO22" i="40"/>
  <c r="BM22" i="40"/>
  <c r="BK22" i="40"/>
  <c r="BE22" i="40"/>
  <c r="BC22" i="40"/>
  <c r="BA22" i="40"/>
  <c r="AU22" i="40"/>
  <c r="AV22" i="40" s="1"/>
  <c r="IM21" i="40"/>
  <c r="IK21" i="40"/>
  <c r="II21" i="40"/>
  <c r="IC21" i="40"/>
  <c r="IA21" i="40"/>
  <c r="HY21" i="40"/>
  <c r="HS21" i="40"/>
  <c r="HQ21" i="40"/>
  <c r="HO21" i="40"/>
  <c r="HI21" i="40"/>
  <c r="HG21" i="40"/>
  <c r="HE21" i="40"/>
  <c r="GY21" i="40"/>
  <c r="GW21" i="40"/>
  <c r="GU21" i="40"/>
  <c r="GO21" i="40"/>
  <c r="GM21" i="40"/>
  <c r="GP21" i="40" s="1"/>
  <c r="GK21" i="40"/>
  <c r="GE21" i="40"/>
  <c r="GC21" i="40"/>
  <c r="GA21" i="40"/>
  <c r="FU21" i="40"/>
  <c r="FS21" i="40"/>
  <c r="FV21" i="40" s="1"/>
  <c r="FQ21" i="40"/>
  <c r="FK21" i="40"/>
  <c r="FI21" i="40"/>
  <c r="FG21" i="40"/>
  <c r="FA21" i="40"/>
  <c r="EY21" i="40"/>
  <c r="EW21" i="40"/>
  <c r="EQ21" i="40"/>
  <c r="EO21" i="40"/>
  <c r="EM21" i="40"/>
  <c r="ER21" i="40" s="1"/>
  <c r="EG21" i="40"/>
  <c r="EE21" i="40"/>
  <c r="EC21" i="40"/>
  <c r="DW21" i="40"/>
  <c r="DU21" i="40"/>
  <c r="DS21" i="40"/>
  <c r="DM21" i="40"/>
  <c r="DK21" i="40"/>
  <c r="DI21" i="40"/>
  <c r="DC21" i="40"/>
  <c r="DA21" i="40"/>
  <c r="CY21" i="40"/>
  <c r="DD21" i="40" s="1"/>
  <c r="CS21" i="40"/>
  <c r="CQ21" i="40"/>
  <c r="CO21" i="40"/>
  <c r="CI21" i="40"/>
  <c r="CG21" i="40"/>
  <c r="CE21" i="40"/>
  <c r="BY21" i="40"/>
  <c r="BW21" i="40"/>
  <c r="BZ21" i="40" s="1"/>
  <c r="BU21" i="40"/>
  <c r="BO21" i="40"/>
  <c r="BM21" i="40"/>
  <c r="BK21" i="40"/>
  <c r="BE21" i="40"/>
  <c r="BC21" i="40"/>
  <c r="BA21" i="40"/>
  <c r="AV21" i="40"/>
  <c r="IM20" i="40"/>
  <c r="IK20" i="40"/>
  <c r="II20" i="40"/>
  <c r="IC20" i="40"/>
  <c r="IA20" i="40"/>
  <c r="HY20" i="40"/>
  <c r="HS20" i="40"/>
  <c r="HQ20" i="40"/>
  <c r="HO20" i="40"/>
  <c r="HI20" i="40"/>
  <c r="HG20" i="40"/>
  <c r="HE20" i="40"/>
  <c r="GY20" i="40"/>
  <c r="GW20" i="40"/>
  <c r="GU20" i="40"/>
  <c r="GO20" i="40"/>
  <c r="GM20" i="40"/>
  <c r="GK20" i="40"/>
  <c r="GE20" i="40"/>
  <c r="GC20" i="40"/>
  <c r="GA20" i="40"/>
  <c r="FU20" i="40"/>
  <c r="FS20" i="40"/>
  <c r="FQ20" i="40"/>
  <c r="FK20" i="40"/>
  <c r="FI20" i="40"/>
  <c r="FG20" i="40"/>
  <c r="FA20" i="40"/>
  <c r="EY20" i="40"/>
  <c r="EW20" i="40"/>
  <c r="EQ20" i="40"/>
  <c r="EO20" i="40"/>
  <c r="EM20" i="40"/>
  <c r="EG20" i="40"/>
  <c r="EE20" i="40"/>
  <c r="EC20" i="40"/>
  <c r="DW20" i="40"/>
  <c r="DU20" i="40"/>
  <c r="DS20" i="40"/>
  <c r="DX20" i="40" s="1"/>
  <c r="DM20" i="40"/>
  <c r="DK20" i="40"/>
  <c r="DI20" i="40"/>
  <c r="DC20" i="40"/>
  <c r="DA20" i="40"/>
  <c r="CY20" i="40"/>
  <c r="CS20" i="40"/>
  <c r="CQ20" i="40"/>
  <c r="CO20" i="40"/>
  <c r="CI20" i="40"/>
  <c r="CG20" i="40"/>
  <c r="CE20" i="40"/>
  <c r="BY20" i="40"/>
  <c r="BW20" i="40"/>
  <c r="BU20" i="40"/>
  <c r="BO20" i="40"/>
  <c r="BM20" i="40"/>
  <c r="BK20" i="40"/>
  <c r="BE20" i="40"/>
  <c r="BC20" i="40"/>
  <c r="BA20" i="40"/>
  <c r="BF20" i="40" s="1"/>
  <c r="AV20" i="40"/>
  <c r="B19" i="40"/>
  <c r="B20" i="40" s="1"/>
  <c r="B21" i="40" s="1"/>
  <c r="B22" i="40" s="1"/>
  <c r="BR18" i="40"/>
  <c r="BI18" i="40"/>
  <c r="AY18" i="40"/>
  <c r="F15" i="40"/>
  <c r="G15" i="40" s="1"/>
  <c r="H15" i="40" s="1"/>
  <c r="I15" i="40" s="1"/>
  <c r="O12" i="40"/>
  <c r="O11" i="40"/>
  <c r="O10" i="40"/>
  <c r="O9" i="40"/>
  <c r="V8" i="40"/>
  <c r="O8" i="40"/>
  <c r="V7" i="40"/>
  <c r="O7" i="40"/>
  <c r="V6" i="40"/>
  <c r="O6" i="40"/>
  <c r="C6" i="40"/>
  <c r="V5" i="40"/>
  <c r="O5" i="40"/>
  <c r="C5" i="40"/>
  <c r="O4" i="40"/>
  <c r="C4" i="40"/>
  <c r="D4" i="40" s="1"/>
  <c r="W6" i="40" s="1"/>
  <c r="C3" i="40"/>
  <c r="D3" i="40" s="1"/>
  <c r="HJ20" i="40" l="1"/>
  <c r="CJ35" i="40"/>
  <c r="BP25" i="40"/>
  <c r="EH22" i="40"/>
  <c r="HJ22" i="40"/>
  <c r="GP20" i="40"/>
  <c r="DX23" i="40"/>
  <c r="ER25" i="40"/>
  <c r="GP28" i="40"/>
  <c r="DX34" i="40"/>
  <c r="DD37" i="40"/>
  <c r="FL39" i="40"/>
  <c r="BP22" i="40"/>
  <c r="GZ25" i="40"/>
  <c r="EH26" i="40"/>
  <c r="BP32" i="40"/>
  <c r="BQ35" i="40"/>
  <c r="BH35" i="40" s="1"/>
  <c r="DX35" i="40"/>
  <c r="FL36" i="40"/>
  <c r="BG38" i="40"/>
  <c r="AX38" i="40" s="1"/>
  <c r="CT20" i="40"/>
  <c r="BF21" i="40"/>
  <c r="FV22" i="40"/>
  <c r="GF25" i="40"/>
  <c r="BP34" i="40"/>
  <c r="ER34" i="40"/>
  <c r="BP37" i="40"/>
  <c r="AN109" i="40"/>
  <c r="AO111" i="40" s="1"/>
  <c r="AN81" i="40"/>
  <c r="AO83" i="40" s="1"/>
  <c r="GF20" i="40"/>
  <c r="FL21" i="40"/>
  <c r="ID21" i="40"/>
  <c r="CJ23" i="40"/>
  <c r="ID23" i="40"/>
  <c r="GF24" i="40"/>
  <c r="HT24" i="40"/>
  <c r="FL25" i="40"/>
  <c r="BG26" i="40"/>
  <c r="AX26" i="40" s="1"/>
  <c r="AY26" i="40" s="1"/>
  <c r="BZ27" i="40"/>
  <c r="CT27" i="40"/>
  <c r="DN27" i="40"/>
  <c r="EH27" i="40"/>
  <c r="FB27" i="40"/>
  <c r="FV27" i="40"/>
  <c r="GP27" i="40"/>
  <c r="HJ27" i="40"/>
  <c r="ID27" i="40"/>
  <c r="BG28" i="40"/>
  <c r="AX28" i="40" s="1"/>
  <c r="AY28" i="40" s="1"/>
  <c r="BF29" i="40"/>
  <c r="CT29" i="40"/>
  <c r="EH29" i="40"/>
  <c r="FV29" i="40"/>
  <c r="HJ29" i="40"/>
  <c r="BG30" i="40"/>
  <c r="AX30" i="40" s="1"/>
  <c r="AY30" i="40" s="1"/>
  <c r="CT30" i="40"/>
  <c r="EH30" i="40"/>
  <c r="BQ31" i="40"/>
  <c r="BH31" i="40" s="1"/>
  <c r="BI31" i="40" s="1"/>
  <c r="DN33" i="40"/>
  <c r="CJ34" i="40"/>
  <c r="BG35" i="40"/>
  <c r="AX35" i="40" s="1"/>
  <c r="AY35" i="40" s="1"/>
  <c r="DX36" i="40"/>
  <c r="BZ38" i="40"/>
  <c r="CJ38" i="40"/>
  <c r="DN38" i="40"/>
  <c r="DX39" i="40"/>
  <c r="EH20" i="40"/>
  <c r="FV20" i="40"/>
  <c r="DN21" i="40"/>
  <c r="FB21" i="40"/>
  <c r="GZ21" i="40"/>
  <c r="DD22" i="40"/>
  <c r="FL22" i="40"/>
  <c r="GF22" i="40"/>
  <c r="GZ22" i="40"/>
  <c r="FL23" i="40"/>
  <c r="GZ23" i="40"/>
  <c r="IN23" i="40"/>
  <c r="DD25" i="40"/>
  <c r="IN25" i="40"/>
  <c r="CT26" i="40"/>
  <c r="FB28" i="40"/>
  <c r="CT31" i="40"/>
  <c r="FV31" i="40"/>
  <c r="DX32" i="40"/>
  <c r="ER33" i="40"/>
  <c r="FB33" i="40"/>
  <c r="BZ34" i="40"/>
  <c r="FL34" i="40"/>
  <c r="ER35" i="40"/>
  <c r="FB35" i="40"/>
  <c r="BQ36" i="40"/>
  <c r="BH36" i="40" s="1"/>
  <c r="BI36" i="40" s="1"/>
  <c r="CJ36" i="40"/>
  <c r="EH37" i="40"/>
  <c r="ER37" i="40"/>
  <c r="BF38" i="40"/>
  <c r="CJ39" i="40"/>
  <c r="BZ23" i="40"/>
  <c r="CT23" i="40"/>
  <c r="DN23" i="40"/>
  <c r="BP24" i="40"/>
  <c r="DD24" i="40"/>
  <c r="BF25" i="40"/>
  <c r="HT25" i="40"/>
  <c r="BP26" i="40"/>
  <c r="FV26" i="40"/>
  <c r="BZ28" i="40"/>
  <c r="ID28" i="40"/>
  <c r="BP29" i="40"/>
  <c r="DD29" i="40"/>
  <c r="ER29" i="40"/>
  <c r="GF29" i="40"/>
  <c r="HT29" i="40"/>
  <c r="CJ30" i="40"/>
  <c r="ER30" i="40"/>
  <c r="GF30" i="40"/>
  <c r="EH32" i="40"/>
  <c r="ER32" i="40"/>
  <c r="BP33" i="40"/>
  <c r="DD34" i="40"/>
  <c r="CT35" i="40"/>
  <c r="ER38" i="40"/>
  <c r="BG20" i="40"/>
  <c r="AX20" i="40" s="1"/>
  <c r="D17" i="40" s="1"/>
  <c r="BP20" i="40"/>
  <c r="BZ20" i="40"/>
  <c r="FL20" i="40"/>
  <c r="HT20" i="40"/>
  <c r="ID20" i="40"/>
  <c r="HJ21" i="40"/>
  <c r="BQ22" i="40"/>
  <c r="BH22" i="40" s="1"/>
  <c r="E19" i="40" s="1"/>
  <c r="BZ22" i="40"/>
  <c r="CJ22" i="40"/>
  <c r="HT22" i="40"/>
  <c r="IN22" i="40"/>
  <c r="EH23" i="40"/>
  <c r="FB23" i="40"/>
  <c r="FB24" i="40"/>
  <c r="BQ25" i="40"/>
  <c r="BH25" i="40" s="1"/>
  <c r="BI25" i="40" s="1"/>
  <c r="BZ25" i="40"/>
  <c r="CT25" i="40"/>
  <c r="EH25" i="40"/>
  <c r="HJ25" i="40"/>
  <c r="BZ26" i="40"/>
  <c r="FB26" i="40"/>
  <c r="ID26" i="40"/>
  <c r="CJ27" i="40"/>
  <c r="DX27" i="40"/>
  <c r="FL27" i="40"/>
  <c r="GZ27" i="40"/>
  <c r="IN27" i="40"/>
  <c r="BF28" i="40"/>
  <c r="EH28" i="40"/>
  <c r="HJ28" i="40"/>
  <c r="FV30" i="40"/>
  <c r="IN30" i="40"/>
  <c r="BZ31" i="40"/>
  <c r="FL31" i="40"/>
  <c r="ID31" i="40"/>
  <c r="BQ32" i="40"/>
  <c r="BH32" i="40" s="1"/>
  <c r="BI32" i="40" s="1"/>
  <c r="CJ32" i="40"/>
  <c r="CT33" i="40"/>
  <c r="BP36" i="40"/>
  <c r="CJ37" i="40"/>
  <c r="DX38" i="40"/>
  <c r="EH38" i="40"/>
  <c r="BP39" i="40"/>
  <c r="BZ39" i="40"/>
  <c r="DD20" i="40"/>
  <c r="DN20" i="40"/>
  <c r="GZ20" i="40"/>
  <c r="CJ21" i="40"/>
  <c r="CT21" i="40"/>
  <c r="GF21" i="40"/>
  <c r="IN21" i="40"/>
  <c r="BG22" i="40"/>
  <c r="AX22" i="40" s="1"/>
  <c r="DN22" i="40"/>
  <c r="DX22" i="40"/>
  <c r="AU23" i="40"/>
  <c r="AU24" i="40" s="1"/>
  <c r="AU25" i="40" s="1"/>
  <c r="FV23" i="40"/>
  <c r="GP23" i="40"/>
  <c r="GP24" i="40"/>
  <c r="BG29" i="40"/>
  <c r="AX29" i="40" s="1"/>
  <c r="AY29" i="40" s="1"/>
  <c r="BQ29" i="40"/>
  <c r="BH29" i="40" s="1"/>
  <c r="IN29" i="40"/>
  <c r="HJ30" i="40"/>
  <c r="GZ31" i="40"/>
  <c r="BF33" i="40"/>
  <c r="EH33" i="40"/>
  <c r="EH34" i="40"/>
  <c r="BZ35" i="40"/>
  <c r="FL35" i="40"/>
  <c r="CT36" i="40"/>
  <c r="DD36" i="40"/>
  <c r="DN37" i="40"/>
  <c r="DX37" i="40"/>
  <c r="BP38" i="40"/>
  <c r="DD38" i="40"/>
  <c r="FB38" i="40"/>
  <c r="FL38" i="40"/>
  <c r="CT39" i="40"/>
  <c r="DN39" i="40"/>
  <c r="CJ20" i="40"/>
  <c r="ER20" i="40"/>
  <c r="FB20" i="40"/>
  <c r="IN20" i="40"/>
  <c r="BG21" i="40"/>
  <c r="AX21" i="40" s="1"/>
  <c r="D18" i="40" s="1"/>
  <c r="BQ21" i="40"/>
  <c r="BH21" i="40" s="1"/>
  <c r="DX21" i="40"/>
  <c r="EH21" i="40"/>
  <c r="HT21" i="40"/>
  <c r="CT22" i="40"/>
  <c r="ER22" i="40"/>
  <c r="BF23" i="40"/>
  <c r="HJ23" i="40"/>
  <c r="BZ24" i="40"/>
  <c r="ID24" i="40"/>
  <c r="FV25" i="40"/>
  <c r="BF26" i="40"/>
  <c r="BQ26" i="40"/>
  <c r="BH26" i="40" s="1"/>
  <c r="BI26" i="40" s="1"/>
  <c r="DN26" i="40"/>
  <c r="GP26" i="40"/>
  <c r="BQ27" i="40"/>
  <c r="BH27" i="40" s="1"/>
  <c r="BI27" i="40" s="1"/>
  <c r="BQ28" i="40"/>
  <c r="BH28" i="40" s="1"/>
  <c r="BI28" i="40" s="1"/>
  <c r="CT28" i="40"/>
  <c r="FV28" i="40"/>
  <c r="DD30" i="40"/>
  <c r="FL30" i="40"/>
  <c r="BG31" i="40"/>
  <c r="AX31" i="40" s="1"/>
  <c r="AY31" i="40" s="1"/>
  <c r="CJ31" i="40"/>
  <c r="FB31" i="40"/>
  <c r="IN31" i="40"/>
  <c r="CT32" i="40"/>
  <c r="FL32" i="40"/>
  <c r="DD33" i="40"/>
  <c r="DN34" i="40"/>
  <c r="BF35" i="40"/>
  <c r="DD35" i="40"/>
  <c r="DN35" i="40"/>
  <c r="BZ36" i="40"/>
  <c r="EH36" i="40"/>
  <c r="ER36" i="40"/>
  <c r="CT37" i="40"/>
  <c r="FB37" i="40"/>
  <c r="FL37" i="40"/>
  <c r="CT38" i="40"/>
  <c r="BG39" i="40"/>
  <c r="AX39" i="40" s="1"/>
  <c r="AY39" i="40" s="1"/>
  <c r="EH39" i="40"/>
  <c r="FB39" i="40"/>
  <c r="D63" i="40"/>
  <c r="C8" i="40"/>
  <c r="C9" i="40" s="1"/>
  <c r="W5" i="40"/>
  <c r="CA39" i="40"/>
  <c r="BR39" i="40" s="1"/>
  <c r="CA35" i="40"/>
  <c r="BR35" i="40" s="1"/>
  <c r="CA38" i="40"/>
  <c r="BR38" i="40" s="1"/>
  <c r="CA36" i="40"/>
  <c r="BR36" i="40" s="1"/>
  <c r="CA34" i="40"/>
  <c r="BR34" i="40" s="1"/>
  <c r="CA31" i="40"/>
  <c r="BR31" i="40" s="1"/>
  <c r="CA33" i="40"/>
  <c r="BR33" i="40" s="1"/>
  <c r="CA30" i="40"/>
  <c r="BR30" i="40" s="1"/>
  <c r="CA26" i="40"/>
  <c r="BR26" i="40" s="1"/>
  <c r="CA37" i="40"/>
  <c r="BR37" i="40" s="1"/>
  <c r="CA27" i="40"/>
  <c r="BR27" i="40" s="1"/>
  <c r="CA32" i="40"/>
  <c r="BR32" i="40" s="1"/>
  <c r="CA28" i="40"/>
  <c r="BR28" i="40" s="1"/>
  <c r="CA23" i="40"/>
  <c r="BR23" i="40" s="1"/>
  <c r="CA29" i="40"/>
  <c r="BR29" i="40" s="1"/>
  <c r="CA20" i="40"/>
  <c r="BR20" i="40" s="1"/>
  <c r="CA25" i="40"/>
  <c r="BR25" i="40" s="1"/>
  <c r="CB18" i="40"/>
  <c r="CA21" i="40"/>
  <c r="BR21" i="40" s="1"/>
  <c r="BS18" i="40"/>
  <c r="CA22" i="40"/>
  <c r="BR22" i="40" s="1"/>
  <c r="CA24" i="40"/>
  <c r="BR24" i="40" s="1"/>
  <c r="B23" i="40"/>
  <c r="AY20" i="40"/>
  <c r="BQ20" i="40"/>
  <c r="BH20" i="40" s="1"/>
  <c r="E18" i="40"/>
  <c r="BI21" i="40"/>
  <c r="AY22" i="40"/>
  <c r="D19" i="40"/>
  <c r="AU26" i="40"/>
  <c r="AV25" i="40"/>
  <c r="BP21" i="40"/>
  <c r="BF22" i="40"/>
  <c r="FB22" i="40"/>
  <c r="GP22" i="40"/>
  <c r="ID22" i="40"/>
  <c r="BG23" i="40"/>
  <c r="AX23" i="40" s="1"/>
  <c r="CJ24" i="40"/>
  <c r="DX24" i="40"/>
  <c r="FL24" i="40"/>
  <c r="GZ24" i="40"/>
  <c r="IN24" i="40"/>
  <c r="BF27" i="40"/>
  <c r="BG27" i="40"/>
  <c r="AX27" i="40" s="1"/>
  <c r="BG24" i="40"/>
  <c r="AX24" i="40" s="1"/>
  <c r="CT24" i="40"/>
  <c r="EH24" i="40"/>
  <c r="FV24" i="40"/>
  <c r="HJ24" i="40"/>
  <c r="BG25" i="40"/>
  <c r="AX25" i="40" s="1"/>
  <c r="BQ23" i="40"/>
  <c r="BH23" i="40" s="1"/>
  <c r="DD23" i="40"/>
  <c r="ER23" i="40"/>
  <c r="GF23" i="40"/>
  <c r="HT23" i="40"/>
  <c r="BQ24" i="40"/>
  <c r="BH24" i="40" s="1"/>
  <c r="CJ25" i="40"/>
  <c r="BI29" i="40"/>
  <c r="BP30" i="40"/>
  <c r="BQ30" i="40"/>
  <c r="BH30" i="40" s="1"/>
  <c r="BF34" i="40"/>
  <c r="BG34" i="40"/>
  <c r="AX34" i="40" s="1"/>
  <c r="BP23" i="40"/>
  <c r="BF24" i="40"/>
  <c r="DD26" i="40"/>
  <c r="ER26" i="40"/>
  <c r="GF26" i="40"/>
  <c r="HT26" i="40"/>
  <c r="BP27" i="40"/>
  <c r="DD27" i="40"/>
  <c r="ER27" i="40"/>
  <c r="GF27" i="40"/>
  <c r="HT27" i="40"/>
  <c r="BZ29" i="40"/>
  <c r="DN29" i="40"/>
  <c r="FB29" i="40"/>
  <c r="GP29" i="40"/>
  <c r="ID29" i="40"/>
  <c r="BF30" i="40"/>
  <c r="BZ30" i="40"/>
  <c r="BI33" i="40"/>
  <c r="DN25" i="40"/>
  <c r="FB25" i="40"/>
  <c r="GP25" i="40"/>
  <c r="ID25" i="40"/>
  <c r="CJ28" i="40"/>
  <c r="DX28" i="40"/>
  <c r="FL28" i="40"/>
  <c r="GZ28" i="40"/>
  <c r="IN28" i="40"/>
  <c r="BF32" i="40"/>
  <c r="BG32" i="40"/>
  <c r="AX32" i="40" s="1"/>
  <c r="BG33" i="40"/>
  <c r="AX33" i="40" s="1"/>
  <c r="BI35" i="40"/>
  <c r="BP31" i="40"/>
  <c r="DD31" i="40"/>
  <c r="ER31" i="40"/>
  <c r="GF31" i="40"/>
  <c r="HT31" i="40"/>
  <c r="BZ32" i="40"/>
  <c r="DN32" i="40"/>
  <c r="FB32" i="40"/>
  <c r="FL33" i="40"/>
  <c r="DN36" i="40"/>
  <c r="AY38" i="40"/>
  <c r="DN30" i="40"/>
  <c r="FB30" i="40"/>
  <c r="GP30" i="40"/>
  <c r="ID30" i="40"/>
  <c r="CJ33" i="40"/>
  <c r="DX33" i="40"/>
  <c r="BF36" i="40"/>
  <c r="BG36" i="40"/>
  <c r="AX36" i="40" s="1"/>
  <c r="FB36" i="40"/>
  <c r="BQ38" i="40"/>
  <c r="BH38" i="40" s="1"/>
  <c r="BQ34" i="40"/>
  <c r="BH34" i="40" s="1"/>
  <c r="BP35" i="40"/>
  <c r="BF37" i="40"/>
  <c r="BQ39" i="40"/>
  <c r="BH39" i="40" s="1"/>
  <c r="DD39" i="40"/>
  <c r="ER39" i="40"/>
  <c r="O11" i="2"/>
  <c r="O10" i="2"/>
  <c r="O9" i="2"/>
  <c r="A20" i="6"/>
  <c r="AY21" i="40" l="1"/>
  <c r="AV23" i="40"/>
  <c r="BI22" i="40"/>
  <c r="E22" i="40"/>
  <c r="AV24" i="40"/>
  <c r="C43" i="40"/>
  <c r="F8" i="40"/>
  <c r="C11" i="40" s="1"/>
  <c r="P10" i="40" s="1"/>
  <c r="BI39" i="40"/>
  <c r="BI30" i="40"/>
  <c r="AY34" i="40"/>
  <c r="BI24" i="40"/>
  <c r="E21" i="40"/>
  <c r="D22" i="40"/>
  <c r="AY25" i="40"/>
  <c r="BI20" i="40"/>
  <c r="E17" i="40"/>
  <c r="BS20" i="40"/>
  <c r="F17" i="40"/>
  <c r="BS32" i="40"/>
  <c r="BS30" i="40"/>
  <c r="BS36" i="40"/>
  <c r="BI34" i="40"/>
  <c r="AY32" i="40"/>
  <c r="BI23" i="40"/>
  <c r="E20" i="40"/>
  <c r="AY24" i="40"/>
  <c r="D21" i="40"/>
  <c r="BS21" i="40"/>
  <c r="F18" i="40"/>
  <c r="BS29" i="40"/>
  <c r="BS27" i="40"/>
  <c r="BS33" i="40"/>
  <c r="BS38" i="40"/>
  <c r="BI38" i="40"/>
  <c r="BS24" i="40"/>
  <c r="F21" i="40"/>
  <c r="CK39" i="40"/>
  <c r="CB39" i="40" s="1"/>
  <c r="CK37" i="40"/>
  <c r="CB37" i="40" s="1"/>
  <c r="CK34" i="40"/>
  <c r="CB34" i="40" s="1"/>
  <c r="CK35" i="40"/>
  <c r="CB35" i="40" s="1"/>
  <c r="CK38" i="40"/>
  <c r="CB38" i="40" s="1"/>
  <c r="CK36" i="40"/>
  <c r="CB36" i="40" s="1"/>
  <c r="CK32" i="40"/>
  <c r="CB32" i="40" s="1"/>
  <c r="CK31" i="40"/>
  <c r="CB31" i="40" s="1"/>
  <c r="CK29" i="40"/>
  <c r="CB29" i="40" s="1"/>
  <c r="CK33" i="40"/>
  <c r="CB33" i="40" s="1"/>
  <c r="CK30" i="40"/>
  <c r="CB30" i="40" s="1"/>
  <c r="CK26" i="40"/>
  <c r="CB26" i="40" s="1"/>
  <c r="CK27" i="40"/>
  <c r="CB27" i="40" s="1"/>
  <c r="CK25" i="40"/>
  <c r="CB25" i="40" s="1"/>
  <c r="CK28" i="40"/>
  <c r="CB28" i="40" s="1"/>
  <c r="CK22" i="40"/>
  <c r="CB22" i="40" s="1"/>
  <c r="CC18" i="40"/>
  <c r="CK20" i="40"/>
  <c r="CB20" i="40" s="1"/>
  <c r="CK23" i="40"/>
  <c r="CB23" i="40" s="1"/>
  <c r="CK24" i="40"/>
  <c r="CB24" i="40" s="1"/>
  <c r="CK21" i="40"/>
  <c r="CB21" i="40" s="1"/>
  <c r="CL18" i="40"/>
  <c r="BS23" i="40"/>
  <c r="F20" i="40"/>
  <c r="BS37" i="40"/>
  <c r="BS31" i="40"/>
  <c r="BS35" i="40"/>
  <c r="W7" i="40"/>
  <c r="AY36" i="40"/>
  <c r="AY23" i="40"/>
  <c r="D20" i="40"/>
  <c r="AY33" i="40"/>
  <c r="AY27" i="40"/>
  <c r="AV26" i="40"/>
  <c r="AU27" i="40"/>
  <c r="B24" i="40"/>
  <c r="F24" i="40" s="1"/>
  <c r="E23" i="40"/>
  <c r="D23" i="40"/>
  <c r="BS22" i="40"/>
  <c r="F19" i="40"/>
  <c r="BS25" i="40"/>
  <c r="F22" i="40"/>
  <c r="BS28" i="40"/>
  <c r="BS26" i="40"/>
  <c r="F23" i="40"/>
  <c r="BS34" i="40"/>
  <c r="BS39" i="40"/>
  <c r="D49" i="40" l="1"/>
  <c r="AN74" i="40"/>
  <c r="AN102" i="40"/>
  <c r="D24" i="40"/>
  <c r="CC26" i="40"/>
  <c r="G23" i="40"/>
  <c r="CC35" i="40"/>
  <c r="G20" i="40"/>
  <c r="CC23" i="40"/>
  <c r="CC28" i="40"/>
  <c r="CC30" i="40"/>
  <c r="CC32" i="40"/>
  <c r="CC34" i="40"/>
  <c r="CC24" i="40"/>
  <c r="G21" i="40"/>
  <c r="CC31" i="40"/>
  <c r="B25" i="40"/>
  <c r="G25" i="40" s="1"/>
  <c r="E24" i="40"/>
  <c r="AU28" i="40"/>
  <c r="AV27" i="40"/>
  <c r="CU37" i="40"/>
  <c r="CL37" i="40" s="1"/>
  <c r="CU35" i="40"/>
  <c r="CL35" i="40" s="1"/>
  <c r="CU36" i="40"/>
  <c r="CL36" i="40" s="1"/>
  <c r="CU33" i="40"/>
  <c r="CL33" i="40" s="1"/>
  <c r="CU39" i="40"/>
  <c r="CL39" i="40" s="1"/>
  <c r="CU34" i="40"/>
  <c r="CL34" i="40" s="1"/>
  <c r="CU31" i="40"/>
  <c r="CL31" i="40" s="1"/>
  <c r="CU32" i="40"/>
  <c r="CL32" i="40" s="1"/>
  <c r="CU28" i="40"/>
  <c r="CL28" i="40" s="1"/>
  <c r="CU38" i="40"/>
  <c r="CL38" i="40" s="1"/>
  <c r="CU29" i="40"/>
  <c r="CL29" i="40" s="1"/>
  <c r="CU30" i="40"/>
  <c r="CL30" i="40" s="1"/>
  <c r="CU27" i="40"/>
  <c r="CL27" i="40" s="1"/>
  <c r="CU24" i="40"/>
  <c r="CL24" i="40" s="1"/>
  <c r="CU25" i="40"/>
  <c r="CL25" i="40" s="1"/>
  <c r="CU26" i="40"/>
  <c r="CL26" i="40" s="1"/>
  <c r="CU21" i="40"/>
  <c r="CL21" i="40" s="1"/>
  <c r="CU22" i="40"/>
  <c r="CL22" i="40" s="1"/>
  <c r="CV18" i="40"/>
  <c r="CU23" i="40"/>
  <c r="CL23" i="40" s="1"/>
  <c r="CU20" i="40"/>
  <c r="CL20" i="40" s="1"/>
  <c r="CM18" i="40"/>
  <c r="CC20" i="40"/>
  <c r="G17" i="40"/>
  <c r="CC25" i="40"/>
  <c r="G22" i="40"/>
  <c r="CC33" i="40"/>
  <c r="CC36" i="40"/>
  <c r="CC37" i="40"/>
  <c r="W8" i="40"/>
  <c r="F9" i="40"/>
  <c r="C44" i="40" s="1"/>
  <c r="CC22" i="40"/>
  <c r="G19" i="40"/>
  <c r="CC21" i="40"/>
  <c r="G18" i="40"/>
  <c r="CC27" i="40"/>
  <c r="G24" i="40"/>
  <c r="CC29" i="40"/>
  <c r="CC38" i="40"/>
  <c r="CC39" i="40"/>
  <c r="AN46" i="40"/>
  <c r="F54" i="40"/>
  <c r="H49" i="40" l="1"/>
  <c r="AL104" i="40"/>
  <c r="AL76" i="40"/>
  <c r="E49" i="40"/>
  <c r="AM74" i="40"/>
  <c r="AM102" i="40"/>
  <c r="CM22" i="40"/>
  <c r="H19" i="40"/>
  <c r="CM24" i="40"/>
  <c r="H21" i="40"/>
  <c r="CM38" i="40"/>
  <c r="CM34" i="40"/>
  <c r="CM35" i="40"/>
  <c r="D56" i="40"/>
  <c r="AL48" i="40"/>
  <c r="H17" i="40"/>
  <c r="CM20" i="40"/>
  <c r="CM27" i="40"/>
  <c r="H24" i="40"/>
  <c r="CM39" i="40"/>
  <c r="CM37" i="40"/>
  <c r="B26" i="40"/>
  <c r="H26" i="40" s="1"/>
  <c r="D25" i="40"/>
  <c r="E25" i="40"/>
  <c r="F25" i="40"/>
  <c r="E54" i="40"/>
  <c r="AM46" i="40"/>
  <c r="D50" i="40"/>
  <c r="CM23" i="40"/>
  <c r="H20" i="40"/>
  <c r="CM26" i="40"/>
  <c r="H23" i="40"/>
  <c r="CM30" i="40"/>
  <c r="CM32" i="40"/>
  <c r="CM33" i="40"/>
  <c r="CM21" i="40"/>
  <c r="H18" i="40"/>
  <c r="CM28" i="40"/>
  <c r="H25" i="40"/>
  <c r="DE39" i="40"/>
  <c r="CV39" i="40" s="1"/>
  <c r="DE36" i="40"/>
  <c r="CV36" i="40" s="1"/>
  <c r="DE38" i="40"/>
  <c r="CV38" i="40" s="1"/>
  <c r="DE37" i="40"/>
  <c r="CV37" i="40" s="1"/>
  <c r="DE34" i="40"/>
  <c r="CV34" i="40" s="1"/>
  <c r="DE32" i="40"/>
  <c r="CV32" i="40" s="1"/>
  <c r="DE27" i="40"/>
  <c r="CV27" i="40" s="1"/>
  <c r="DE28" i="40"/>
  <c r="CV28" i="40" s="1"/>
  <c r="DE35" i="40"/>
  <c r="CV35" i="40" s="1"/>
  <c r="DE30" i="40"/>
  <c r="CV30" i="40" s="1"/>
  <c r="DE23" i="40"/>
  <c r="CV23" i="40" s="1"/>
  <c r="DE33" i="40"/>
  <c r="CV33" i="40" s="1"/>
  <c r="DE24" i="40"/>
  <c r="CV24" i="40" s="1"/>
  <c r="DE29" i="40"/>
  <c r="CV29" i="40" s="1"/>
  <c r="DE26" i="40"/>
  <c r="CV26" i="40" s="1"/>
  <c r="DE25" i="40"/>
  <c r="CV25" i="40" s="1"/>
  <c r="CW18" i="40"/>
  <c r="DE21" i="40"/>
  <c r="CV21" i="40" s="1"/>
  <c r="DE31" i="40"/>
  <c r="CV31" i="40" s="1"/>
  <c r="DE22" i="40"/>
  <c r="CV22" i="40" s="1"/>
  <c r="DF18" i="40"/>
  <c r="DE20" i="40"/>
  <c r="CV20" i="40" s="1"/>
  <c r="CM25" i="40"/>
  <c r="H22" i="40"/>
  <c r="CM29" i="40"/>
  <c r="CM31" i="40"/>
  <c r="CM36" i="40"/>
  <c r="AU29" i="40"/>
  <c r="AV28" i="40"/>
  <c r="AO102" i="40" l="1"/>
  <c r="AO74" i="40"/>
  <c r="AL75" i="40"/>
  <c r="AL103" i="40"/>
  <c r="H50" i="40"/>
  <c r="I22" i="40"/>
  <c r="CW25" i="40"/>
  <c r="I25" i="40"/>
  <c r="CW28" i="40"/>
  <c r="CW37" i="40"/>
  <c r="AL47" i="40"/>
  <c r="I49" i="40"/>
  <c r="D55" i="40"/>
  <c r="AV29" i="40"/>
  <c r="AU30" i="40"/>
  <c r="CW31" i="40"/>
  <c r="CW26" i="40"/>
  <c r="I23" i="40"/>
  <c r="CW23" i="40"/>
  <c r="I20" i="40"/>
  <c r="CW27" i="40"/>
  <c r="I24" i="40"/>
  <c r="CW38" i="40"/>
  <c r="I19" i="40"/>
  <c r="CW22" i="40"/>
  <c r="CW33" i="40"/>
  <c r="CW20" i="40"/>
  <c r="I17" i="40"/>
  <c r="I18" i="40"/>
  <c r="CW21" i="40"/>
  <c r="I26" i="40"/>
  <c r="CW29" i="40"/>
  <c r="CW30" i="40"/>
  <c r="CW32" i="40"/>
  <c r="CW36" i="40"/>
  <c r="G54" i="40"/>
  <c r="E50" i="40"/>
  <c r="AO46" i="40"/>
  <c r="DO39" i="40"/>
  <c r="DF39" i="40" s="1"/>
  <c r="DO38" i="40"/>
  <c r="DF38" i="40" s="1"/>
  <c r="DO35" i="40"/>
  <c r="DF35" i="40" s="1"/>
  <c r="DO36" i="40"/>
  <c r="DF36" i="40" s="1"/>
  <c r="DO34" i="40"/>
  <c r="DF34" i="40" s="1"/>
  <c r="DO31" i="40"/>
  <c r="DF31" i="40" s="1"/>
  <c r="DO33" i="40"/>
  <c r="DF33" i="40" s="1"/>
  <c r="DO26" i="40"/>
  <c r="DF26" i="40" s="1"/>
  <c r="DO37" i="40"/>
  <c r="DF37" i="40" s="1"/>
  <c r="DO30" i="40"/>
  <c r="DF30" i="40" s="1"/>
  <c r="DO27" i="40"/>
  <c r="DF27" i="40" s="1"/>
  <c r="DO32" i="40"/>
  <c r="DF32" i="40" s="1"/>
  <c r="DO28" i="40"/>
  <c r="DF28" i="40" s="1"/>
  <c r="DO25" i="40"/>
  <c r="DF25" i="40" s="1"/>
  <c r="DO23" i="40"/>
  <c r="DF23" i="40" s="1"/>
  <c r="DO29" i="40"/>
  <c r="DF29" i="40" s="1"/>
  <c r="DO20" i="40"/>
  <c r="DF20" i="40" s="1"/>
  <c r="DP18" i="40"/>
  <c r="DO21" i="40"/>
  <c r="DF21" i="40" s="1"/>
  <c r="DG18" i="40"/>
  <c r="DO24" i="40"/>
  <c r="DF24" i="40" s="1"/>
  <c r="DO22" i="40"/>
  <c r="DF22" i="40" s="1"/>
  <c r="CW24" i="40"/>
  <c r="I21" i="40"/>
  <c r="CW35" i="40"/>
  <c r="CW34" i="40"/>
  <c r="CW39" i="40"/>
  <c r="B27" i="40"/>
  <c r="D26" i="40"/>
  <c r="E26" i="40"/>
  <c r="F26" i="40"/>
  <c r="G26" i="40"/>
  <c r="EM36" i="26"/>
  <c r="EO27" i="26"/>
  <c r="EO24" i="26"/>
  <c r="EP24" i="26" s="1"/>
  <c r="EO25" i="26"/>
  <c r="EP25" i="26" s="1"/>
  <c r="EO26" i="26"/>
  <c r="EP26" i="26"/>
  <c r="EP27" i="26"/>
  <c r="EO28" i="26"/>
  <c r="EP28" i="26" s="1"/>
  <c r="EO29" i="26"/>
  <c r="EP29" i="26" s="1"/>
  <c r="EO30" i="26"/>
  <c r="EP30" i="26" s="1"/>
  <c r="EO31" i="26"/>
  <c r="EP31" i="26"/>
  <c r="EO32" i="26"/>
  <c r="EP32" i="26" s="1"/>
  <c r="EO33" i="26"/>
  <c r="EP33" i="26"/>
  <c r="EO34" i="26"/>
  <c r="EP34" i="26" s="1"/>
  <c r="EO35" i="26"/>
  <c r="EP35" i="26"/>
  <c r="EO36" i="26"/>
  <c r="EP36" i="26" s="1"/>
  <c r="EO23" i="26"/>
  <c r="EP23" i="26" s="1"/>
  <c r="EQ23" i="26" s="1"/>
  <c r="EM24" i="26"/>
  <c r="EM25" i="26"/>
  <c r="EM26" i="26"/>
  <c r="EM27" i="26"/>
  <c r="EM28" i="26"/>
  <c r="EM29" i="26"/>
  <c r="EM30" i="26"/>
  <c r="EM31" i="26"/>
  <c r="EM32" i="26"/>
  <c r="EM33" i="26"/>
  <c r="EM34" i="26"/>
  <c r="EM35" i="26"/>
  <c r="EM23" i="26"/>
  <c r="F17" i="37"/>
  <c r="G17" i="37" s="1"/>
  <c r="S45" i="37"/>
  <c r="T45" i="37" s="1"/>
  <c r="U45" i="37" s="1"/>
  <c r="V45" i="37" s="1"/>
  <c r="W45" i="37" s="1"/>
  <c r="X45" i="37" s="1"/>
  <c r="Y45" i="37" s="1"/>
  <c r="Z45" i="37" s="1"/>
  <c r="AA45" i="37" s="1"/>
  <c r="AB45" i="37" s="1"/>
  <c r="AC45" i="37" s="1"/>
  <c r="AD45" i="37" s="1"/>
  <c r="AE45" i="37" s="1"/>
  <c r="AF45" i="37" s="1"/>
  <c r="AG45" i="37" s="1"/>
  <c r="AH45" i="37" s="1"/>
  <c r="AI45" i="37" s="1"/>
  <c r="AJ45" i="37" s="1"/>
  <c r="U49" i="37"/>
  <c r="V49" i="37" s="1"/>
  <c r="W49" i="37" s="1"/>
  <c r="X49" i="37" s="1"/>
  <c r="Y49" i="37" s="1"/>
  <c r="Z49" i="37" s="1"/>
  <c r="AA49" i="37" s="1"/>
  <c r="B22" i="37"/>
  <c r="O50" i="37"/>
  <c r="U50" i="37"/>
  <c r="V50" i="37"/>
  <c r="W50" i="37" s="1"/>
  <c r="X50" i="37" s="1"/>
  <c r="Y50" i="37" s="1"/>
  <c r="Z50" i="37" s="1"/>
  <c r="AA50" i="37" s="1"/>
  <c r="AB50" i="37" s="1"/>
  <c r="B23" i="37"/>
  <c r="B24" i="37" s="1"/>
  <c r="O51" i="37"/>
  <c r="O52" i="37" s="1"/>
  <c r="O53" i="37" s="1"/>
  <c r="O54" i="37" s="1"/>
  <c r="O55" i="37" s="1"/>
  <c r="O56" i="37" s="1"/>
  <c r="O57" i="37" s="1"/>
  <c r="O58" i="37" s="1"/>
  <c r="O59" i="37" s="1"/>
  <c r="O60" i="37" s="1"/>
  <c r="O61" i="37" s="1"/>
  <c r="O62" i="37" s="1"/>
  <c r="O63" i="37" s="1"/>
  <c r="O64" i="37" s="1"/>
  <c r="O65" i="37" s="1"/>
  <c r="O66" i="37" s="1"/>
  <c r="U51" i="37"/>
  <c r="V51" i="37" s="1"/>
  <c r="W51" i="37" s="1"/>
  <c r="X51" i="37" s="1"/>
  <c r="Y51" i="37" s="1"/>
  <c r="Z51" i="37" s="1"/>
  <c r="AA51" i="37" s="1"/>
  <c r="AB51" i="37" s="1"/>
  <c r="U52" i="37"/>
  <c r="V52" i="37" s="1"/>
  <c r="W52" i="37" s="1"/>
  <c r="X52" i="37" s="1"/>
  <c r="Y52" i="37" s="1"/>
  <c r="Z52" i="37" s="1"/>
  <c r="AA52" i="37" s="1"/>
  <c r="AB52" i="37" s="1"/>
  <c r="U53" i="37"/>
  <c r="V53" i="37" s="1"/>
  <c r="W53" i="37" s="1"/>
  <c r="X53" i="37" s="1"/>
  <c r="Y53" i="37" s="1"/>
  <c r="Z53" i="37" s="1"/>
  <c r="AA53" i="37" s="1"/>
  <c r="U54" i="37"/>
  <c r="V54" i="37" s="1"/>
  <c r="W54" i="37"/>
  <c r="X54" i="37" s="1"/>
  <c r="Y54" i="37" s="1"/>
  <c r="Z54" i="37" s="1"/>
  <c r="AA54" i="37" s="1"/>
  <c r="AB54" i="37" s="1"/>
  <c r="U55" i="37"/>
  <c r="V55" i="37" s="1"/>
  <c r="W55" i="37" s="1"/>
  <c r="X55" i="37" s="1"/>
  <c r="Y55" i="37" s="1"/>
  <c r="Z55" i="37" s="1"/>
  <c r="AA55" i="37" s="1"/>
  <c r="AB55" i="37" s="1"/>
  <c r="U56" i="37"/>
  <c r="V56" i="37" s="1"/>
  <c r="W56" i="37" s="1"/>
  <c r="X56" i="37" s="1"/>
  <c r="Y56" i="37" s="1"/>
  <c r="Z56" i="37" s="1"/>
  <c r="AA56" i="37" s="1"/>
  <c r="AB56" i="37" s="1"/>
  <c r="U57" i="37"/>
  <c r="V57" i="37" s="1"/>
  <c r="W57" i="37" s="1"/>
  <c r="X57" i="37" s="1"/>
  <c r="Y57" i="37" s="1"/>
  <c r="Z57" i="37" s="1"/>
  <c r="AA57" i="37" s="1"/>
  <c r="AB57" i="37" s="1"/>
  <c r="U58" i="37"/>
  <c r="V58" i="37"/>
  <c r="W58" i="37" s="1"/>
  <c r="X58" i="37" s="1"/>
  <c r="Y58" i="37" s="1"/>
  <c r="Z58" i="37" s="1"/>
  <c r="AA58" i="37" s="1"/>
  <c r="AB58" i="37" s="1"/>
  <c r="U59" i="37"/>
  <c r="V59" i="37" s="1"/>
  <c r="W59" i="37" s="1"/>
  <c r="X59" i="37" s="1"/>
  <c r="Y59" i="37" s="1"/>
  <c r="Z59" i="37" s="1"/>
  <c r="AA59" i="37" s="1"/>
  <c r="AB59" i="37" s="1"/>
  <c r="U60" i="37"/>
  <c r="V60" i="37" s="1"/>
  <c r="W60" i="37" s="1"/>
  <c r="X60" i="37" s="1"/>
  <c r="Y60" i="37" s="1"/>
  <c r="Z60" i="37" s="1"/>
  <c r="AA60" i="37" s="1"/>
  <c r="AB60" i="37" s="1"/>
  <c r="U61" i="37"/>
  <c r="V61" i="37" s="1"/>
  <c r="W61" i="37" s="1"/>
  <c r="X61" i="37" s="1"/>
  <c r="Y61" i="37" s="1"/>
  <c r="Z61" i="37" s="1"/>
  <c r="AA61" i="37" s="1"/>
  <c r="AB61" i="37" s="1"/>
  <c r="U62" i="37"/>
  <c r="V62" i="37" s="1"/>
  <c r="W62" i="37" s="1"/>
  <c r="X62" i="37" s="1"/>
  <c r="Y62" i="37" s="1"/>
  <c r="Z62" i="37" s="1"/>
  <c r="AA62" i="37" s="1"/>
  <c r="AB62" i="37" s="1"/>
  <c r="U63" i="37"/>
  <c r="V63" i="37" s="1"/>
  <c r="W63" i="37" s="1"/>
  <c r="X63" i="37" s="1"/>
  <c r="Y63" i="37" s="1"/>
  <c r="Z63" i="37" s="1"/>
  <c r="AA63" i="37" s="1"/>
  <c r="AB63" i="37" s="1"/>
  <c r="U64" i="37"/>
  <c r="V64" i="37" s="1"/>
  <c r="W64" i="37" s="1"/>
  <c r="X64" i="37" s="1"/>
  <c r="Y64" i="37" s="1"/>
  <c r="Z64" i="37" s="1"/>
  <c r="AA64" i="37" s="1"/>
  <c r="AB64" i="37" s="1"/>
  <c r="U65" i="37"/>
  <c r="V65" i="37" s="1"/>
  <c r="W65" i="37"/>
  <c r="X65" i="37" s="1"/>
  <c r="Y65" i="37" s="1"/>
  <c r="Z65" i="37" s="1"/>
  <c r="AA65" i="37" s="1"/>
  <c r="AB65" i="37" s="1"/>
  <c r="U66" i="37"/>
  <c r="V66" i="37" s="1"/>
  <c r="W66" i="37" s="1"/>
  <c r="X66" i="37" s="1"/>
  <c r="Y66" i="37" s="1"/>
  <c r="Z66" i="37" s="1"/>
  <c r="AA66" i="37" s="1"/>
  <c r="AM103" i="40" l="1"/>
  <c r="AM75" i="40"/>
  <c r="AO103" i="40"/>
  <c r="AO75" i="40"/>
  <c r="AL105" i="40"/>
  <c r="AL77" i="40"/>
  <c r="G55" i="40"/>
  <c r="E55" i="40"/>
  <c r="B28" i="40"/>
  <c r="D27" i="40"/>
  <c r="E27" i="40"/>
  <c r="F27" i="40"/>
  <c r="G27" i="40"/>
  <c r="H27" i="40"/>
  <c r="J18" i="40"/>
  <c r="DG21" i="40"/>
  <c r="DG23" i="40"/>
  <c r="J20" i="40"/>
  <c r="DG27" i="40"/>
  <c r="J24" i="40"/>
  <c r="DG33" i="40"/>
  <c r="DG35" i="40"/>
  <c r="I27" i="40"/>
  <c r="AU31" i="40"/>
  <c r="AV30" i="40"/>
  <c r="AO47" i="40"/>
  <c r="AM47" i="40"/>
  <c r="DG22" i="40"/>
  <c r="J19" i="40"/>
  <c r="DY38" i="40"/>
  <c r="DP38" i="40" s="1"/>
  <c r="DY39" i="40"/>
  <c r="DP39" i="40" s="1"/>
  <c r="DY37" i="40"/>
  <c r="DP37" i="40" s="1"/>
  <c r="DY34" i="40"/>
  <c r="DP34" i="40" s="1"/>
  <c r="DY35" i="40"/>
  <c r="DP35" i="40" s="1"/>
  <c r="DY36" i="40"/>
  <c r="DP36" i="40" s="1"/>
  <c r="DY30" i="40"/>
  <c r="DP30" i="40" s="1"/>
  <c r="DY32" i="40"/>
  <c r="DP32" i="40" s="1"/>
  <c r="DY31" i="40"/>
  <c r="DP31" i="40" s="1"/>
  <c r="DY29" i="40"/>
  <c r="DP29" i="40" s="1"/>
  <c r="DY25" i="40"/>
  <c r="DP25" i="40" s="1"/>
  <c r="DY33" i="40"/>
  <c r="DP33" i="40" s="1"/>
  <c r="DY26" i="40"/>
  <c r="DP26" i="40" s="1"/>
  <c r="DY27" i="40"/>
  <c r="DP27" i="40" s="1"/>
  <c r="DY28" i="40"/>
  <c r="DP28" i="40" s="1"/>
  <c r="DY22" i="40"/>
  <c r="DP22" i="40" s="1"/>
  <c r="DQ18" i="40"/>
  <c r="DY20" i="40"/>
  <c r="DP20" i="40" s="1"/>
  <c r="DY23" i="40"/>
  <c r="DP23" i="40" s="1"/>
  <c r="DY24" i="40"/>
  <c r="DP24" i="40" s="1"/>
  <c r="DY21" i="40"/>
  <c r="DP21" i="40" s="1"/>
  <c r="DZ18" i="40"/>
  <c r="DG25" i="40"/>
  <c r="J22" i="40"/>
  <c r="DG30" i="40"/>
  <c r="J27" i="40"/>
  <c r="DG31" i="40"/>
  <c r="J28" i="40"/>
  <c r="DG38" i="40"/>
  <c r="DG24" i="40"/>
  <c r="J21" i="40"/>
  <c r="DG20" i="40"/>
  <c r="J17" i="40"/>
  <c r="DG28" i="40"/>
  <c r="J25" i="40"/>
  <c r="DG37" i="40"/>
  <c r="DG34" i="40"/>
  <c r="DG39" i="40"/>
  <c r="DG29" i="40"/>
  <c r="J26" i="40"/>
  <c r="DG32" i="40"/>
  <c r="DG26" i="40"/>
  <c r="J23" i="40"/>
  <c r="DG36" i="40"/>
  <c r="I50" i="40"/>
  <c r="D57" i="40"/>
  <c r="AL49" i="40"/>
  <c r="H17" i="37"/>
  <c r="B25" i="37"/>
  <c r="T3" i="2"/>
  <c r="T4" i="2"/>
  <c r="T5" i="2"/>
  <c r="T6" i="2"/>
  <c r="T7" i="2"/>
  <c r="T8" i="2"/>
  <c r="T9" i="2"/>
  <c r="T10" i="2"/>
  <c r="T11" i="2"/>
  <c r="T12" i="2"/>
  <c r="T13" i="2"/>
  <c r="T14" i="2"/>
  <c r="T2" i="2"/>
  <c r="D20" i="26"/>
  <c r="AF17" i="2" l="1"/>
  <c r="X17" i="2"/>
  <c r="AD17" i="2"/>
  <c r="AE17" i="2"/>
  <c r="AC17" i="2"/>
  <c r="AB17" i="2"/>
  <c r="AA17" i="2"/>
  <c r="AA18" i="2" s="1"/>
  <c r="Z17" i="2"/>
  <c r="Y17" i="2"/>
  <c r="W17" i="2"/>
  <c r="V17" i="2"/>
  <c r="U17" i="2"/>
  <c r="U18" i="2" s="1"/>
  <c r="A20" i="1" s="1"/>
  <c r="AN75" i="40"/>
  <c r="AN103" i="40"/>
  <c r="AM77" i="40"/>
  <c r="AM76" i="40" s="1"/>
  <c r="AM105" i="40"/>
  <c r="AM104" i="40" s="1"/>
  <c r="AO105" i="40"/>
  <c r="AO77" i="40"/>
  <c r="F55" i="40"/>
  <c r="E57" i="40"/>
  <c r="E56" i="40" s="1"/>
  <c r="G57" i="40"/>
  <c r="G56" i="40" s="1"/>
  <c r="AN47" i="40"/>
  <c r="EI38" i="40"/>
  <c r="DZ38" i="40" s="1"/>
  <c r="EI37" i="40"/>
  <c r="DZ37" i="40" s="1"/>
  <c r="EI35" i="40"/>
  <c r="DZ35" i="40" s="1"/>
  <c r="EI36" i="40"/>
  <c r="DZ36" i="40" s="1"/>
  <c r="EI33" i="40"/>
  <c r="DZ33" i="40" s="1"/>
  <c r="EI39" i="40"/>
  <c r="DZ39" i="40" s="1"/>
  <c r="EI34" i="40"/>
  <c r="DZ34" i="40" s="1"/>
  <c r="EI31" i="40"/>
  <c r="DZ31" i="40" s="1"/>
  <c r="EI32" i="40"/>
  <c r="DZ32" i="40" s="1"/>
  <c r="EI28" i="40"/>
  <c r="DZ28" i="40" s="1"/>
  <c r="EI29" i="40"/>
  <c r="DZ29" i="40" s="1"/>
  <c r="EI30" i="40"/>
  <c r="DZ30" i="40" s="1"/>
  <c r="EI27" i="40"/>
  <c r="DZ27" i="40" s="1"/>
  <c r="EI25" i="40"/>
  <c r="DZ25" i="40" s="1"/>
  <c r="EI24" i="40"/>
  <c r="DZ24" i="40" s="1"/>
  <c r="EI26" i="40"/>
  <c r="DZ26" i="40" s="1"/>
  <c r="EI21" i="40"/>
  <c r="DZ21" i="40" s="1"/>
  <c r="EI22" i="40"/>
  <c r="DZ22" i="40" s="1"/>
  <c r="EJ18" i="40"/>
  <c r="EI23" i="40"/>
  <c r="DZ23" i="40" s="1"/>
  <c r="EI20" i="40"/>
  <c r="DZ20" i="40" s="1"/>
  <c r="EA18" i="40"/>
  <c r="DQ29" i="40"/>
  <c r="K26" i="40"/>
  <c r="DQ39" i="40"/>
  <c r="DQ21" i="40"/>
  <c r="K18" i="40"/>
  <c r="DQ26" i="40"/>
  <c r="K23" i="40"/>
  <c r="DQ31" i="40"/>
  <c r="K28" i="40"/>
  <c r="DQ35" i="40"/>
  <c r="DQ38" i="40"/>
  <c r="AV31" i="40"/>
  <c r="AU32" i="40"/>
  <c r="DQ20" i="40"/>
  <c r="K17" i="40"/>
  <c r="DQ24" i="40"/>
  <c r="K21" i="40"/>
  <c r="DQ22" i="40"/>
  <c r="K19" i="40"/>
  <c r="DQ33" i="40"/>
  <c r="DQ32" i="40"/>
  <c r="DQ34" i="40"/>
  <c r="B29" i="40"/>
  <c r="K29" i="40" s="1"/>
  <c r="E28" i="40"/>
  <c r="D28" i="40"/>
  <c r="F28" i="40"/>
  <c r="G28" i="40"/>
  <c r="H28" i="40"/>
  <c r="I28" i="40"/>
  <c r="DQ27" i="40"/>
  <c r="K24" i="40"/>
  <c r="DQ36" i="40"/>
  <c r="AO49" i="40"/>
  <c r="AO48" i="40" s="1"/>
  <c r="AM49" i="40"/>
  <c r="AM48" i="40" s="1"/>
  <c r="K20" i="40"/>
  <c r="DQ23" i="40"/>
  <c r="DQ28" i="40"/>
  <c r="K25" i="40"/>
  <c r="DQ25" i="40"/>
  <c r="K22" i="40"/>
  <c r="DQ30" i="40"/>
  <c r="K27" i="40"/>
  <c r="DQ37" i="40"/>
  <c r="B26" i="37"/>
  <c r="I17" i="37"/>
  <c r="O9" i="1" l="1"/>
  <c r="A10" i="6" s="1"/>
  <c r="O10" i="1"/>
  <c r="N10" i="1" s="1"/>
  <c r="AN105" i="40"/>
  <c r="AN77" i="40"/>
  <c r="AO76" i="40"/>
  <c r="AN76" i="40" s="1"/>
  <c r="AO104" i="40"/>
  <c r="AN104" i="40" s="1"/>
  <c r="F56" i="40"/>
  <c r="F57" i="40"/>
  <c r="AN49" i="40"/>
  <c r="AN48" i="40"/>
  <c r="AO55" i="40" s="1"/>
  <c r="P11" i="40" s="1"/>
  <c r="EA22" i="40"/>
  <c r="L19" i="40"/>
  <c r="EA25" i="40"/>
  <c r="L22" i="40"/>
  <c r="EA28" i="40"/>
  <c r="L25" i="40"/>
  <c r="EA39" i="40"/>
  <c r="EA37" i="40"/>
  <c r="AU33" i="40"/>
  <c r="AV32" i="40"/>
  <c r="EA24" i="40"/>
  <c r="L21" i="40"/>
  <c r="EA35" i="40"/>
  <c r="L17" i="40"/>
  <c r="EA20" i="40"/>
  <c r="EA21" i="40"/>
  <c r="L18" i="40"/>
  <c r="EA27" i="40"/>
  <c r="L24" i="40"/>
  <c r="EA32" i="40"/>
  <c r="L29" i="40"/>
  <c r="EA33" i="40"/>
  <c r="EA38" i="40"/>
  <c r="ES39" i="40"/>
  <c r="EJ39" i="40" s="1"/>
  <c r="ES38" i="40"/>
  <c r="EJ38" i="40" s="1"/>
  <c r="ES36" i="40"/>
  <c r="EJ36" i="40" s="1"/>
  <c r="ES37" i="40"/>
  <c r="EJ37" i="40" s="1"/>
  <c r="ES34" i="40"/>
  <c r="EJ34" i="40" s="1"/>
  <c r="ES32" i="40"/>
  <c r="EJ32" i="40" s="1"/>
  <c r="ES30" i="40"/>
  <c r="EJ30" i="40" s="1"/>
  <c r="ES27" i="40"/>
  <c r="EJ27" i="40" s="1"/>
  <c r="ES28" i="40"/>
  <c r="EJ28" i="40" s="1"/>
  <c r="ES35" i="40"/>
  <c r="EJ35" i="40" s="1"/>
  <c r="ES23" i="40"/>
  <c r="EJ23" i="40" s="1"/>
  <c r="ES33" i="40"/>
  <c r="EJ33" i="40" s="1"/>
  <c r="ES24" i="40"/>
  <c r="EJ24" i="40" s="1"/>
  <c r="ES29" i="40"/>
  <c r="EJ29" i="40" s="1"/>
  <c r="ES26" i="40"/>
  <c r="EJ26" i="40" s="1"/>
  <c r="ES25" i="40"/>
  <c r="EJ25" i="40" s="1"/>
  <c r="ES22" i="40"/>
  <c r="EJ22" i="40" s="1"/>
  <c r="EK18" i="40"/>
  <c r="ES21" i="40"/>
  <c r="EJ21" i="40" s="1"/>
  <c r="ES31" i="40"/>
  <c r="EJ31" i="40" s="1"/>
  <c r="ES20" i="40"/>
  <c r="EJ20" i="40" s="1"/>
  <c r="ET18" i="40"/>
  <c r="EA29" i="40"/>
  <c r="L26" i="40"/>
  <c r="EA34" i="40"/>
  <c r="B30" i="40"/>
  <c r="L30" i="40" s="1"/>
  <c r="E29" i="40"/>
  <c r="F29" i="40"/>
  <c r="D29" i="40"/>
  <c r="G29" i="40"/>
  <c r="H29" i="40"/>
  <c r="I29" i="40"/>
  <c r="J29" i="40"/>
  <c r="EA23" i="40"/>
  <c r="L20" i="40"/>
  <c r="L23" i="40"/>
  <c r="EA26" i="40"/>
  <c r="EA30" i="40"/>
  <c r="L27" i="40"/>
  <c r="L28" i="40"/>
  <c r="EA31" i="40"/>
  <c r="EA36" i="40"/>
  <c r="B27" i="37"/>
  <c r="BA22" i="25"/>
  <c r="BC22" i="25"/>
  <c r="BE22" i="25"/>
  <c r="BK22" i="25"/>
  <c r="BM22" i="25"/>
  <c r="BO22" i="25"/>
  <c r="BU22" i="25"/>
  <c r="BW22" i="25"/>
  <c r="BY22" i="25"/>
  <c r="CE22" i="25"/>
  <c r="CG22" i="25"/>
  <c r="CI22" i="25"/>
  <c r="CO22" i="25"/>
  <c r="CQ22" i="25"/>
  <c r="CS22" i="25"/>
  <c r="CY22" i="25"/>
  <c r="DA22" i="25"/>
  <c r="DC22" i="25"/>
  <c r="DI22" i="25"/>
  <c r="DK22" i="25"/>
  <c r="DM22" i="25"/>
  <c r="DS22" i="25"/>
  <c r="DU22" i="25"/>
  <c r="DW22" i="25"/>
  <c r="EC22" i="25"/>
  <c r="EE22" i="25"/>
  <c r="EG22" i="25"/>
  <c r="EM22" i="25"/>
  <c r="EO22" i="25"/>
  <c r="EQ22" i="25"/>
  <c r="EW22" i="25"/>
  <c r="EY22" i="25"/>
  <c r="FA22" i="25"/>
  <c r="N20" i="24"/>
  <c r="BA24" i="24"/>
  <c r="BA22" i="23"/>
  <c r="BC22" i="23"/>
  <c r="BE22" i="23"/>
  <c r="BK22" i="23"/>
  <c r="BM22" i="23"/>
  <c r="BO22" i="23"/>
  <c r="BU22" i="23"/>
  <c r="BW22" i="23"/>
  <c r="BY22" i="23"/>
  <c r="CE22" i="23"/>
  <c r="CG22" i="23"/>
  <c r="CI22" i="23"/>
  <c r="CO22" i="23"/>
  <c r="CQ22" i="23"/>
  <c r="CS22" i="23"/>
  <c r="CY22" i="23"/>
  <c r="DA22" i="23"/>
  <c r="DC22" i="23"/>
  <c r="DI22" i="23"/>
  <c r="DK22" i="23"/>
  <c r="DM22" i="23"/>
  <c r="DS22" i="23"/>
  <c r="DU22" i="23"/>
  <c r="DW22" i="23"/>
  <c r="EC22" i="23"/>
  <c r="EE22" i="23"/>
  <c r="EG22" i="23"/>
  <c r="EM22" i="23"/>
  <c r="EO22" i="23"/>
  <c r="EQ22" i="23"/>
  <c r="EW22" i="23"/>
  <c r="EY22" i="23"/>
  <c r="FA22" i="23"/>
  <c r="BA23" i="23"/>
  <c r="BC23" i="23"/>
  <c r="BE23" i="23"/>
  <c r="BK23" i="23"/>
  <c r="BM23" i="23"/>
  <c r="BO23" i="23"/>
  <c r="BU23" i="23"/>
  <c r="BW23" i="23"/>
  <c r="BY23" i="23"/>
  <c r="CE23" i="23"/>
  <c r="CG23" i="23"/>
  <c r="CI23" i="23"/>
  <c r="CO23" i="23"/>
  <c r="CQ23" i="23"/>
  <c r="CS23" i="23"/>
  <c r="CY23" i="23"/>
  <c r="DA23" i="23"/>
  <c r="DC23" i="23"/>
  <c r="DI23" i="23"/>
  <c r="DK23" i="23"/>
  <c r="DM23" i="23"/>
  <c r="DS23" i="23"/>
  <c r="DU23" i="23"/>
  <c r="DW23" i="23"/>
  <c r="EC23" i="23"/>
  <c r="EE23" i="23"/>
  <c r="EG23" i="23"/>
  <c r="EM23" i="23"/>
  <c r="EO23" i="23"/>
  <c r="EQ23" i="23"/>
  <c r="EW23" i="23"/>
  <c r="EY23" i="23"/>
  <c r="FA23" i="23"/>
  <c r="D19" i="22"/>
  <c r="EU22" i="22"/>
  <c r="EK22" i="22"/>
  <c r="DG22" i="22"/>
  <c r="EA22" i="22"/>
  <c r="DQ22" i="22"/>
  <c r="CW22" i="22"/>
  <c r="CM22" i="22"/>
  <c r="CC22" i="22"/>
  <c r="BS22" i="22"/>
  <c r="AY22" i="22"/>
  <c r="BI22" i="22"/>
  <c r="N9" i="1" l="1"/>
  <c r="BF22" i="23"/>
  <c r="FB23" i="23"/>
  <c r="CT22" i="23"/>
  <c r="DN22" i="23"/>
  <c r="BP22" i="23"/>
  <c r="A11" i="6"/>
  <c r="DN22" i="25"/>
  <c r="BZ22" i="25"/>
  <c r="AO56" i="40"/>
  <c r="P12" i="40" s="1"/>
  <c r="FC39" i="40"/>
  <c r="ET39" i="40" s="1"/>
  <c r="FC38" i="40"/>
  <c r="ET38" i="40" s="1"/>
  <c r="FC35" i="40"/>
  <c r="ET35" i="40" s="1"/>
  <c r="FC36" i="40"/>
  <c r="ET36" i="40" s="1"/>
  <c r="FC33" i="40"/>
  <c r="ET33" i="40" s="1"/>
  <c r="FC34" i="40"/>
  <c r="ET34" i="40" s="1"/>
  <c r="FC31" i="40"/>
  <c r="ET31" i="40" s="1"/>
  <c r="FC26" i="40"/>
  <c r="ET26" i="40" s="1"/>
  <c r="FC37" i="40"/>
  <c r="ET37" i="40" s="1"/>
  <c r="FC30" i="40"/>
  <c r="ET30" i="40" s="1"/>
  <c r="FC27" i="40"/>
  <c r="ET27" i="40" s="1"/>
  <c r="FC32" i="40"/>
  <c r="ET32" i="40" s="1"/>
  <c r="FC22" i="40"/>
  <c r="ET22" i="40" s="1"/>
  <c r="FC28" i="40"/>
  <c r="ET28" i="40" s="1"/>
  <c r="FC25" i="40"/>
  <c r="ET25" i="40" s="1"/>
  <c r="FC23" i="40"/>
  <c r="ET23" i="40" s="1"/>
  <c r="FC29" i="40"/>
  <c r="ET29" i="40" s="1"/>
  <c r="FC20" i="40"/>
  <c r="ET20" i="40" s="1"/>
  <c r="FD18" i="40"/>
  <c r="FC21" i="40"/>
  <c r="ET21" i="40" s="1"/>
  <c r="EU18" i="40"/>
  <c r="FC24" i="40"/>
  <c r="ET24" i="40" s="1"/>
  <c r="M26" i="40"/>
  <c r="EK29" i="40"/>
  <c r="EK35" i="40"/>
  <c r="M29" i="40"/>
  <c r="EK32" i="40"/>
  <c r="EK38" i="40"/>
  <c r="EK20" i="40"/>
  <c r="M17" i="40"/>
  <c r="EK22" i="40"/>
  <c r="M19" i="40"/>
  <c r="EK24" i="40"/>
  <c r="M21" i="40"/>
  <c r="M25" i="40"/>
  <c r="EK28" i="40"/>
  <c r="EK34" i="40"/>
  <c r="EK39" i="40"/>
  <c r="EK31" i="40"/>
  <c r="M28" i="40"/>
  <c r="M22" i="40"/>
  <c r="EK25" i="40"/>
  <c r="EK33" i="40"/>
  <c r="M30" i="40"/>
  <c r="EK27" i="40"/>
  <c r="M24" i="40"/>
  <c r="EK37" i="40"/>
  <c r="B31" i="40"/>
  <c r="E30" i="40"/>
  <c r="F30" i="40"/>
  <c r="D30" i="40"/>
  <c r="G30" i="40"/>
  <c r="H30" i="40"/>
  <c r="I30" i="40"/>
  <c r="J30" i="40"/>
  <c r="K30" i="40"/>
  <c r="M18" i="40"/>
  <c r="EK21" i="40"/>
  <c r="EK26" i="40"/>
  <c r="M23" i="40"/>
  <c r="EK23" i="40"/>
  <c r="M20" i="40"/>
  <c r="M27" i="40"/>
  <c r="EK30" i="40"/>
  <c r="EK36" i="40"/>
  <c r="AV33" i="40"/>
  <c r="AU34" i="40"/>
  <c r="CJ22" i="25"/>
  <c r="CT22" i="25"/>
  <c r="BG22" i="25"/>
  <c r="AY22" i="25" s="1"/>
  <c r="BF22" i="25"/>
  <c r="DD22" i="25"/>
  <c r="ER22" i="25"/>
  <c r="BP22" i="25"/>
  <c r="CJ23" i="23"/>
  <c r="EH22" i="23"/>
  <c r="DN23" i="23"/>
  <c r="ER22" i="23"/>
  <c r="DD23" i="23"/>
  <c r="CT23" i="23"/>
  <c r="CJ22" i="23"/>
  <c r="FB22" i="23"/>
  <c r="DD22" i="23"/>
  <c r="BZ22" i="23"/>
  <c r="BZ23" i="23"/>
  <c r="DX22" i="23"/>
  <c r="B28" i="37"/>
  <c r="ER23" i="23"/>
  <c r="EH23" i="23"/>
  <c r="DX23" i="23"/>
  <c r="BP23" i="23"/>
  <c r="BG23" i="23"/>
  <c r="AX23" i="23" s="1"/>
  <c r="AY23" i="23" s="1"/>
  <c r="CC22" i="25"/>
  <c r="FB22" i="25"/>
  <c r="EH22" i="25"/>
  <c r="DX22" i="25"/>
  <c r="BG22" i="23"/>
  <c r="AY22" i="23" s="1"/>
  <c r="BF23" i="23"/>
  <c r="D64" i="40" l="1"/>
  <c r="P6" i="40" s="1"/>
  <c r="D62" i="40"/>
  <c r="AV34" i="40"/>
  <c r="AU35" i="40"/>
  <c r="B32" i="40"/>
  <c r="F31" i="40"/>
  <c r="E31" i="40"/>
  <c r="D31" i="40"/>
  <c r="G31" i="40"/>
  <c r="H31" i="40"/>
  <c r="I31" i="40"/>
  <c r="J31" i="40"/>
  <c r="K31" i="40"/>
  <c r="L31" i="40"/>
  <c r="EU21" i="40"/>
  <c r="N18" i="40"/>
  <c r="EU23" i="40"/>
  <c r="N20" i="40"/>
  <c r="EU32" i="40"/>
  <c r="N29" i="40"/>
  <c r="EU26" i="40"/>
  <c r="N23" i="40"/>
  <c r="EU36" i="40"/>
  <c r="FM38" i="40"/>
  <c r="FD38" i="40" s="1"/>
  <c r="FM39" i="40"/>
  <c r="FD39" i="40" s="1"/>
  <c r="FM37" i="40"/>
  <c r="FD37" i="40" s="1"/>
  <c r="FM34" i="40"/>
  <c r="FD34" i="40" s="1"/>
  <c r="FM35" i="40"/>
  <c r="FD35" i="40" s="1"/>
  <c r="FM36" i="40"/>
  <c r="FD36" i="40" s="1"/>
  <c r="FM30" i="40"/>
  <c r="FD30" i="40" s="1"/>
  <c r="FM33" i="40"/>
  <c r="FD33" i="40" s="1"/>
  <c r="FM32" i="40"/>
  <c r="FD32" i="40" s="1"/>
  <c r="FM31" i="40"/>
  <c r="FD31" i="40" s="1"/>
  <c r="FM29" i="40"/>
  <c r="FD29" i="40" s="1"/>
  <c r="FM25" i="40"/>
  <c r="FD25" i="40" s="1"/>
  <c r="FM26" i="40"/>
  <c r="FD26" i="40" s="1"/>
  <c r="FM27" i="40"/>
  <c r="FD27" i="40" s="1"/>
  <c r="FM28" i="40"/>
  <c r="FD28" i="40" s="1"/>
  <c r="FM22" i="40"/>
  <c r="FD22" i="40" s="1"/>
  <c r="FE18" i="40"/>
  <c r="FM20" i="40"/>
  <c r="FD20" i="40" s="1"/>
  <c r="FM23" i="40"/>
  <c r="FD23" i="40" s="1"/>
  <c r="FM24" i="40"/>
  <c r="FD24" i="40" s="1"/>
  <c r="FM21" i="40"/>
  <c r="FD21" i="40" s="1"/>
  <c r="FN18" i="40"/>
  <c r="EU25" i="40"/>
  <c r="N22" i="40"/>
  <c r="EU27" i="40"/>
  <c r="N24" i="40"/>
  <c r="EU31" i="40"/>
  <c r="N28" i="40"/>
  <c r="EU35" i="40"/>
  <c r="N32" i="40"/>
  <c r="M31" i="40"/>
  <c r="EU24" i="40"/>
  <c r="N21" i="40"/>
  <c r="EU20" i="40"/>
  <c r="N17" i="40"/>
  <c r="EU28" i="40"/>
  <c r="N25" i="40"/>
  <c r="EU30" i="40"/>
  <c r="N27" i="40"/>
  <c r="EU34" i="40"/>
  <c r="N31" i="40"/>
  <c r="EU38" i="40"/>
  <c r="EU29" i="40"/>
  <c r="N26" i="40"/>
  <c r="EU22" i="40"/>
  <c r="N19" i="40"/>
  <c r="EU37" i="40"/>
  <c r="N30" i="40"/>
  <c r="EU33" i="40"/>
  <c r="EU39" i="40"/>
  <c r="B29" i="37"/>
  <c r="FK41" i="37"/>
  <c r="FI41" i="37"/>
  <c r="FG41" i="37"/>
  <c r="FA41" i="37"/>
  <c r="EY41" i="37"/>
  <c r="EW41" i="37"/>
  <c r="EQ41" i="37"/>
  <c r="EO41" i="37"/>
  <c r="EM41" i="37"/>
  <c r="EG41" i="37"/>
  <c r="EE41" i="37"/>
  <c r="EC41" i="37"/>
  <c r="DW41" i="37"/>
  <c r="DU41" i="37"/>
  <c r="DS41" i="37"/>
  <c r="DM41" i="37"/>
  <c r="DK41" i="37"/>
  <c r="DI41" i="37"/>
  <c r="DC41" i="37"/>
  <c r="DA41" i="37"/>
  <c r="CY41" i="37"/>
  <c r="CS41" i="37"/>
  <c r="CQ41" i="37"/>
  <c r="CO41" i="37"/>
  <c r="CI41" i="37"/>
  <c r="CG41" i="37"/>
  <c r="CE41" i="37"/>
  <c r="BY41" i="37"/>
  <c r="BW41" i="37"/>
  <c r="BU41" i="37"/>
  <c r="BO41" i="37"/>
  <c r="BM41" i="37"/>
  <c r="BK41" i="37"/>
  <c r="BE41" i="37"/>
  <c r="BC41" i="37"/>
  <c r="BA41" i="37"/>
  <c r="FK40" i="37"/>
  <c r="FI40" i="37"/>
  <c r="FG40" i="37"/>
  <c r="FA40" i="37"/>
  <c r="EY40" i="37"/>
  <c r="EW40" i="37"/>
  <c r="EQ40" i="37"/>
  <c r="EO40" i="37"/>
  <c r="EM40" i="37"/>
  <c r="EG40" i="37"/>
  <c r="EE40" i="37"/>
  <c r="EC40" i="37"/>
  <c r="DW40" i="37"/>
  <c r="DU40" i="37"/>
  <c r="DS40" i="37"/>
  <c r="DM40" i="37"/>
  <c r="DK40" i="37"/>
  <c r="DI40" i="37"/>
  <c r="DC40" i="37"/>
  <c r="DA40" i="37"/>
  <c r="CY40" i="37"/>
  <c r="CS40" i="37"/>
  <c r="CQ40" i="37"/>
  <c r="CO40" i="37"/>
  <c r="CI40" i="37"/>
  <c r="CG40" i="37"/>
  <c r="CE40" i="37"/>
  <c r="BY40" i="37"/>
  <c r="BW40" i="37"/>
  <c r="BU40" i="37"/>
  <c r="BO40" i="37"/>
  <c r="BM40" i="37"/>
  <c r="BK40" i="37"/>
  <c r="BE40" i="37"/>
  <c r="BC40" i="37"/>
  <c r="BA40" i="37"/>
  <c r="FK39" i="37"/>
  <c r="FI39" i="37"/>
  <c r="FG39" i="37"/>
  <c r="FA39" i="37"/>
  <c r="EY39" i="37"/>
  <c r="EW39" i="37"/>
  <c r="EQ39" i="37"/>
  <c r="EO39" i="37"/>
  <c r="EM39" i="37"/>
  <c r="EG39" i="37"/>
  <c r="EE39" i="37"/>
  <c r="EC39" i="37"/>
  <c r="DW39" i="37"/>
  <c r="DU39" i="37"/>
  <c r="DS39" i="37"/>
  <c r="DM39" i="37"/>
  <c r="DK39" i="37"/>
  <c r="DI39" i="37"/>
  <c r="DC39" i="37"/>
  <c r="DA39" i="37"/>
  <c r="CY39" i="37"/>
  <c r="CS39" i="37"/>
  <c r="CQ39" i="37"/>
  <c r="CO39" i="37"/>
  <c r="CI39" i="37"/>
  <c r="CG39" i="37"/>
  <c r="CE39" i="37"/>
  <c r="BY39" i="37"/>
  <c r="BW39" i="37"/>
  <c r="BU39" i="37"/>
  <c r="BO39" i="37"/>
  <c r="BM39" i="37"/>
  <c r="BK39" i="37"/>
  <c r="BE39" i="37"/>
  <c r="BC39" i="37"/>
  <c r="BA39" i="37"/>
  <c r="FK38" i="37"/>
  <c r="FI38" i="37"/>
  <c r="FG38" i="37"/>
  <c r="FA38" i="37"/>
  <c r="EY38" i="37"/>
  <c r="EW38" i="37"/>
  <c r="EQ38" i="37"/>
  <c r="EO38" i="37"/>
  <c r="EM38" i="37"/>
  <c r="EG38" i="37"/>
  <c r="EE38" i="37"/>
  <c r="EC38" i="37"/>
  <c r="DW38" i="37"/>
  <c r="DU38" i="37"/>
  <c r="DS38" i="37"/>
  <c r="DM38" i="37"/>
  <c r="DK38" i="37"/>
  <c r="DI38" i="37"/>
  <c r="DC38" i="37"/>
  <c r="DA38" i="37"/>
  <c r="CY38" i="37"/>
  <c r="CS38" i="37"/>
  <c r="CQ38" i="37"/>
  <c r="CO38" i="37"/>
  <c r="CI38" i="37"/>
  <c r="CG38" i="37"/>
  <c r="CE38" i="37"/>
  <c r="BY38" i="37"/>
  <c r="BW38" i="37"/>
  <c r="BU38" i="37"/>
  <c r="BO38" i="37"/>
  <c r="BM38" i="37"/>
  <c r="BK38" i="37"/>
  <c r="BE38" i="37"/>
  <c r="BC38" i="37"/>
  <c r="BA38" i="37"/>
  <c r="FK37" i="37"/>
  <c r="FI37" i="37"/>
  <c r="FG37" i="37"/>
  <c r="FA37" i="37"/>
  <c r="EY37" i="37"/>
  <c r="EW37" i="37"/>
  <c r="EQ37" i="37"/>
  <c r="EO37" i="37"/>
  <c r="EM37" i="37"/>
  <c r="EG37" i="37"/>
  <c r="EE37" i="37"/>
  <c r="EC37" i="37"/>
  <c r="DW37" i="37"/>
  <c r="DU37" i="37"/>
  <c r="DS37" i="37"/>
  <c r="DM37" i="37"/>
  <c r="DK37" i="37"/>
  <c r="DI37" i="37"/>
  <c r="DC37" i="37"/>
  <c r="DA37" i="37"/>
  <c r="CY37" i="37"/>
  <c r="CS37" i="37"/>
  <c r="CQ37" i="37"/>
  <c r="CO37" i="37"/>
  <c r="CI37" i="37"/>
  <c r="CG37" i="37"/>
  <c r="CE37" i="37"/>
  <c r="BY37" i="37"/>
  <c r="BW37" i="37"/>
  <c r="BU37" i="37"/>
  <c r="BO37" i="37"/>
  <c r="BM37" i="37"/>
  <c r="BK37" i="37"/>
  <c r="BE37" i="37"/>
  <c r="BC37" i="37"/>
  <c r="BA37" i="37"/>
  <c r="FK36" i="37"/>
  <c r="FI36" i="37"/>
  <c r="FG36" i="37"/>
  <c r="FA36" i="37"/>
  <c r="EY36" i="37"/>
  <c r="EW36" i="37"/>
  <c r="EQ36" i="37"/>
  <c r="EO36" i="37"/>
  <c r="EM36" i="37"/>
  <c r="EG36" i="37"/>
  <c r="EE36" i="37"/>
  <c r="EC36" i="37"/>
  <c r="DW36" i="37"/>
  <c r="DU36" i="37"/>
  <c r="DS36" i="37"/>
  <c r="DM36" i="37"/>
  <c r="DK36" i="37"/>
  <c r="DI36" i="37"/>
  <c r="DC36" i="37"/>
  <c r="DA36" i="37"/>
  <c r="CY36" i="37"/>
  <c r="CS36" i="37"/>
  <c r="CQ36" i="37"/>
  <c r="CO36" i="37"/>
  <c r="CI36" i="37"/>
  <c r="CG36" i="37"/>
  <c r="CE36" i="37"/>
  <c r="BY36" i="37"/>
  <c r="BW36" i="37"/>
  <c r="BU36" i="37"/>
  <c r="BO36" i="37"/>
  <c r="BM36" i="37"/>
  <c r="BK36" i="37"/>
  <c r="BE36" i="37"/>
  <c r="BC36" i="37"/>
  <c r="BA36" i="37"/>
  <c r="FK35" i="37"/>
  <c r="FI35" i="37"/>
  <c r="FG35" i="37"/>
  <c r="FA35" i="37"/>
  <c r="EY35" i="37"/>
  <c r="EW35" i="37"/>
  <c r="EQ35" i="37"/>
  <c r="EO35" i="37"/>
  <c r="EM35" i="37"/>
  <c r="EG35" i="37"/>
  <c r="EE35" i="37"/>
  <c r="EC35" i="37"/>
  <c r="DW35" i="37"/>
  <c r="DU35" i="37"/>
  <c r="DS35" i="37"/>
  <c r="DM35" i="37"/>
  <c r="DK35" i="37"/>
  <c r="DI35" i="37"/>
  <c r="DC35" i="37"/>
  <c r="DA35" i="37"/>
  <c r="CY35" i="37"/>
  <c r="CS35" i="37"/>
  <c r="CQ35" i="37"/>
  <c r="CO35" i="37"/>
  <c r="CI35" i="37"/>
  <c r="CG35" i="37"/>
  <c r="CE35" i="37"/>
  <c r="BY35" i="37"/>
  <c r="BW35" i="37"/>
  <c r="BU35" i="37"/>
  <c r="BO35" i="37"/>
  <c r="BM35" i="37"/>
  <c r="BK35" i="37"/>
  <c r="BE35" i="37"/>
  <c r="BC35" i="37"/>
  <c r="BA35" i="37"/>
  <c r="FK34" i="37"/>
  <c r="FI34" i="37"/>
  <c r="FG34" i="37"/>
  <c r="FA34" i="37"/>
  <c r="EY34" i="37"/>
  <c r="EW34" i="37"/>
  <c r="EQ34" i="37"/>
  <c r="EO34" i="37"/>
  <c r="EM34" i="37"/>
  <c r="EG34" i="37"/>
  <c r="EE34" i="37"/>
  <c r="EC34" i="37"/>
  <c r="DW34" i="37"/>
  <c r="DU34" i="37"/>
  <c r="DS34" i="37"/>
  <c r="DM34" i="37"/>
  <c r="DK34" i="37"/>
  <c r="DI34" i="37"/>
  <c r="DC34" i="37"/>
  <c r="DA34" i="37"/>
  <c r="CY34" i="37"/>
  <c r="CS34" i="37"/>
  <c r="CQ34" i="37"/>
  <c r="CO34" i="37"/>
  <c r="CI34" i="37"/>
  <c r="CG34" i="37"/>
  <c r="CE34" i="37"/>
  <c r="BY34" i="37"/>
  <c r="BW34" i="37"/>
  <c r="BU34" i="37"/>
  <c r="BO34" i="37"/>
  <c r="BM34" i="37"/>
  <c r="BK34" i="37"/>
  <c r="BE34" i="37"/>
  <c r="BC34" i="37"/>
  <c r="BA34" i="37"/>
  <c r="FK33" i="37"/>
  <c r="FI33" i="37"/>
  <c r="FG33" i="37"/>
  <c r="FA33" i="37"/>
  <c r="EY33" i="37"/>
  <c r="EW33" i="37"/>
  <c r="EQ33" i="37"/>
  <c r="EO33" i="37"/>
  <c r="EM33" i="37"/>
  <c r="EG33" i="37"/>
  <c r="EE33" i="37"/>
  <c r="EC33" i="37"/>
  <c r="DW33" i="37"/>
  <c r="DU33" i="37"/>
  <c r="DS33" i="37"/>
  <c r="DM33" i="37"/>
  <c r="DK33" i="37"/>
  <c r="DI33" i="37"/>
  <c r="DC33" i="37"/>
  <c r="DA33" i="37"/>
  <c r="CY33" i="37"/>
  <c r="CS33" i="37"/>
  <c r="CQ33" i="37"/>
  <c r="CO33" i="37"/>
  <c r="CI33" i="37"/>
  <c r="CG33" i="37"/>
  <c r="CE33" i="37"/>
  <c r="BY33" i="37"/>
  <c r="BW33" i="37"/>
  <c r="BU33" i="37"/>
  <c r="BO33" i="37"/>
  <c r="BM33" i="37"/>
  <c r="BK33" i="37"/>
  <c r="BE33" i="37"/>
  <c r="BC33" i="37"/>
  <c r="BA33" i="37"/>
  <c r="FK32" i="37"/>
  <c r="FI32" i="37"/>
  <c r="FG32" i="37"/>
  <c r="FA32" i="37"/>
  <c r="EY32" i="37"/>
  <c r="EW32" i="37"/>
  <c r="EQ32" i="37"/>
  <c r="EO32" i="37"/>
  <c r="EM32" i="37"/>
  <c r="EG32" i="37"/>
  <c r="EE32" i="37"/>
  <c r="EC32" i="37"/>
  <c r="DW32" i="37"/>
  <c r="DU32" i="37"/>
  <c r="DS32" i="37"/>
  <c r="DM32" i="37"/>
  <c r="DK32" i="37"/>
  <c r="DI32" i="37"/>
  <c r="DC32" i="37"/>
  <c r="DA32" i="37"/>
  <c r="CY32" i="37"/>
  <c r="CS32" i="37"/>
  <c r="CQ32" i="37"/>
  <c r="CO32" i="37"/>
  <c r="CI32" i="37"/>
  <c r="CG32" i="37"/>
  <c r="CE32" i="37"/>
  <c r="BY32" i="37"/>
  <c r="BW32" i="37"/>
  <c r="BU32" i="37"/>
  <c r="BO32" i="37"/>
  <c r="BM32" i="37"/>
  <c r="BK32" i="37"/>
  <c r="BE32" i="37"/>
  <c r="BC32" i="37"/>
  <c r="BA32" i="37"/>
  <c r="FK31" i="37"/>
  <c r="FI31" i="37"/>
  <c r="FG31" i="37"/>
  <c r="FA31" i="37"/>
  <c r="EY31" i="37"/>
  <c r="EW31" i="37"/>
  <c r="EQ31" i="37"/>
  <c r="EO31" i="37"/>
  <c r="EM31" i="37"/>
  <c r="EG31" i="37"/>
  <c r="EE31" i="37"/>
  <c r="EC31" i="37"/>
  <c r="DW31" i="37"/>
  <c r="DU31" i="37"/>
  <c r="DS31" i="37"/>
  <c r="DM31" i="37"/>
  <c r="DK31" i="37"/>
  <c r="DI31" i="37"/>
  <c r="DC31" i="37"/>
  <c r="DA31" i="37"/>
  <c r="CY31" i="37"/>
  <c r="CS31" i="37"/>
  <c r="CQ31" i="37"/>
  <c r="CO31" i="37"/>
  <c r="CI31" i="37"/>
  <c r="CG31" i="37"/>
  <c r="CE31" i="37"/>
  <c r="BY31" i="37"/>
  <c r="BW31" i="37"/>
  <c r="BU31" i="37"/>
  <c r="BO31" i="37"/>
  <c r="BM31" i="37"/>
  <c r="BK31" i="37"/>
  <c r="BE31" i="37"/>
  <c r="BC31" i="37"/>
  <c r="BA31" i="37"/>
  <c r="FK30" i="37"/>
  <c r="FI30" i="37"/>
  <c r="FG30" i="37"/>
  <c r="FA30" i="37"/>
  <c r="EY30" i="37"/>
  <c r="EW30" i="37"/>
  <c r="EQ30" i="37"/>
  <c r="EO30" i="37"/>
  <c r="EM30" i="37"/>
  <c r="EG30" i="37"/>
  <c r="EE30" i="37"/>
  <c r="EC30" i="37"/>
  <c r="DW30" i="37"/>
  <c r="DU30" i="37"/>
  <c r="DS30" i="37"/>
  <c r="DM30" i="37"/>
  <c r="DK30" i="37"/>
  <c r="DI30" i="37"/>
  <c r="DC30" i="37"/>
  <c r="DA30" i="37"/>
  <c r="CY30" i="37"/>
  <c r="CS30" i="37"/>
  <c r="CQ30" i="37"/>
  <c r="CO30" i="37"/>
  <c r="CI30" i="37"/>
  <c r="CG30" i="37"/>
  <c r="CE30" i="37"/>
  <c r="BY30" i="37"/>
  <c r="BW30" i="37"/>
  <c r="BU30" i="37"/>
  <c r="BO30" i="37"/>
  <c r="BM30" i="37"/>
  <c r="BK30" i="37"/>
  <c r="BE30" i="37"/>
  <c r="BC30" i="37"/>
  <c r="BA30" i="37"/>
  <c r="FK29" i="37"/>
  <c r="FI29" i="37"/>
  <c r="FG29" i="37"/>
  <c r="FA29" i="37"/>
  <c r="EY29" i="37"/>
  <c r="EW29" i="37"/>
  <c r="EQ29" i="37"/>
  <c r="EO29" i="37"/>
  <c r="EM29" i="37"/>
  <c r="EG29" i="37"/>
  <c r="EE29" i="37"/>
  <c r="EC29" i="37"/>
  <c r="DW29" i="37"/>
  <c r="DU29" i="37"/>
  <c r="DS29" i="37"/>
  <c r="DM29" i="37"/>
  <c r="DK29" i="37"/>
  <c r="DI29" i="37"/>
  <c r="DC29" i="37"/>
  <c r="DA29" i="37"/>
  <c r="CY29" i="37"/>
  <c r="CS29" i="37"/>
  <c r="CQ29" i="37"/>
  <c r="CO29" i="37"/>
  <c r="CI29" i="37"/>
  <c r="CG29" i="37"/>
  <c r="CE29" i="37"/>
  <c r="BY29" i="37"/>
  <c r="BW29" i="37"/>
  <c r="BU29" i="37"/>
  <c r="BO29" i="37"/>
  <c r="BM29" i="37"/>
  <c r="BK29" i="37"/>
  <c r="BE29" i="37"/>
  <c r="BC29" i="37"/>
  <c r="BA29" i="37"/>
  <c r="FK28" i="37"/>
  <c r="FI28" i="37"/>
  <c r="FG28" i="37"/>
  <c r="FA28" i="37"/>
  <c r="EY28" i="37"/>
  <c r="EW28" i="37"/>
  <c r="EQ28" i="37"/>
  <c r="EO28" i="37"/>
  <c r="EM28" i="37"/>
  <c r="EG28" i="37"/>
  <c r="EE28" i="37"/>
  <c r="EC28" i="37"/>
  <c r="DW28" i="37"/>
  <c r="DU28" i="37"/>
  <c r="DS28" i="37"/>
  <c r="DM28" i="37"/>
  <c r="DK28" i="37"/>
  <c r="DI28" i="37"/>
  <c r="DC28" i="37"/>
  <c r="DA28" i="37"/>
  <c r="CY28" i="37"/>
  <c r="CS28" i="37"/>
  <c r="CQ28" i="37"/>
  <c r="CO28" i="37"/>
  <c r="CI28" i="37"/>
  <c r="CG28" i="37"/>
  <c r="CE28" i="37"/>
  <c r="BY28" i="37"/>
  <c r="BW28" i="37"/>
  <c r="BU28" i="37"/>
  <c r="BO28" i="37"/>
  <c r="BM28" i="37"/>
  <c r="BK28" i="37"/>
  <c r="BE28" i="37"/>
  <c r="BC28" i="37"/>
  <c r="BA28" i="37"/>
  <c r="FK27" i="37"/>
  <c r="FI27" i="37"/>
  <c r="FG27" i="37"/>
  <c r="FA27" i="37"/>
  <c r="EY27" i="37"/>
  <c r="EW27" i="37"/>
  <c r="EQ27" i="37"/>
  <c r="EO27" i="37"/>
  <c r="EM27" i="37"/>
  <c r="EG27" i="37"/>
  <c r="EE27" i="37"/>
  <c r="EC27" i="37"/>
  <c r="DW27" i="37"/>
  <c r="DU27" i="37"/>
  <c r="DS27" i="37"/>
  <c r="DM27" i="37"/>
  <c r="DK27" i="37"/>
  <c r="DI27" i="37"/>
  <c r="DC27" i="37"/>
  <c r="DA27" i="37"/>
  <c r="CY27" i="37"/>
  <c r="CS27" i="37"/>
  <c r="CQ27" i="37"/>
  <c r="CO27" i="37"/>
  <c r="CI27" i="37"/>
  <c r="CG27" i="37"/>
  <c r="CE27" i="37"/>
  <c r="BY27" i="37"/>
  <c r="BW27" i="37"/>
  <c r="BU27" i="37"/>
  <c r="BO27" i="37"/>
  <c r="BM27" i="37"/>
  <c r="BK27" i="37"/>
  <c r="BE27" i="37"/>
  <c r="BC27" i="37"/>
  <c r="BA27" i="37"/>
  <c r="FK26" i="37"/>
  <c r="FI26" i="37"/>
  <c r="FG26" i="37"/>
  <c r="FA26" i="37"/>
  <c r="EY26" i="37"/>
  <c r="EW26" i="37"/>
  <c r="EQ26" i="37"/>
  <c r="EO26" i="37"/>
  <c r="EM26" i="37"/>
  <c r="EG26" i="37"/>
  <c r="EE26" i="37"/>
  <c r="EC26" i="37"/>
  <c r="DW26" i="37"/>
  <c r="DU26" i="37"/>
  <c r="DS26" i="37"/>
  <c r="DM26" i="37"/>
  <c r="DK26" i="37"/>
  <c r="DI26" i="37"/>
  <c r="DC26" i="37"/>
  <c r="DA26" i="37"/>
  <c r="CY26" i="37"/>
  <c r="CS26" i="37"/>
  <c r="CQ26" i="37"/>
  <c r="CO26" i="37"/>
  <c r="CI26" i="37"/>
  <c r="CG26" i="37"/>
  <c r="CE26" i="37"/>
  <c r="BY26" i="37"/>
  <c r="BW26" i="37"/>
  <c r="BU26" i="37"/>
  <c r="BO26" i="37"/>
  <c r="BM26" i="37"/>
  <c r="BK26" i="37"/>
  <c r="BE26" i="37"/>
  <c r="BC26" i="37"/>
  <c r="BA26" i="37"/>
  <c r="FK25" i="37"/>
  <c r="FI25" i="37"/>
  <c r="FG25" i="37"/>
  <c r="FA25" i="37"/>
  <c r="EY25" i="37"/>
  <c r="EW25" i="37"/>
  <c r="EQ25" i="37"/>
  <c r="EO25" i="37"/>
  <c r="EM25" i="37"/>
  <c r="EG25" i="37"/>
  <c r="EE25" i="37"/>
  <c r="EC25" i="37"/>
  <c r="DW25" i="37"/>
  <c r="DU25" i="37"/>
  <c r="DS25" i="37"/>
  <c r="DM25" i="37"/>
  <c r="DK25" i="37"/>
  <c r="DI25" i="37"/>
  <c r="DC25" i="37"/>
  <c r="DA25" i="37"/>
  <c r="CY25" i="37"/>
  <c r="CS25" i="37"/>
  <c r="CQ25" i="37"/>
  <c r="CO25" i="37"/>
  <c r="CI25" i="37"/>
  <c r="CG25" i="37"/>
  <c r="CE25" i="37"/>
  <c r="BY25" i="37"/>
  <c r="BW25" i="37"/>
  <c r="BU25" i="37"/>
  <c r="BO25" i="37"/>
  <c r="BM25" i="37"/>
  <c r="BK25" i="37"/>
  <c r="BE25" i="37"/>
  <c r="BC25" i="37"/>
  <c r="BA25" i="37"/>
  <c r="FK24" i="37"/>
  <c r="FI24" i="37"/>
  <c r="FG24" i="37"/>
  <c r="FA24" i="37"/>
  <c r="EY24" i="37"/>
  <c r="EW24" i="37"/>
  <c r="EQ24" i="37"/>
  <c r="EO24" i="37"/>
  <c r="EM24" i="37"/>
  <c r="EG24" i="37"/>
  <c r="EE24" i="37"/>
  <c r="EC24" i="37"/>
  <c r="DW24" i="37"/>
  <c r="DU24" i="37"/>
  <c r="DS24" i="37"/>
  <c r="DM24" i="37"/>
  <c r="DK24" i="37"/>
  <c r="DI24" i="37"/>
  <c r="DC24" i="37"/>
  <c r="DA24" i="37"/>
  <c r="CY24" i="37"/>
  <c r="CS24" i="37"/>
  <c r="CQ24" i="37"/>
  <c r="CO24" i="37"/>
  <c r="CI24" i="37"/>
  <c r="CG24" i="37"/>
  <c r="CE24" i="37"/>
  <c r="BY24" i="37"/>
  <c r="BW24" i="37"/>
  <c r="BU24" i="37"/>
  <c r="BO24" i="37"/>
  <c r="BM24" i="37"/>
  <c r="BK24" i="37"/>
  <c r="BE24" i="37"/>
  <c r="BC24" i="37"/>
  <c r="BA24" i="37"/>
  <c r="AW24" i="37"/>
  <c r="AW25" i="37" s="1"/>
  <c r="AW26" i="37" s="1"/>
  <c r="AW27" i="37" s="1"/>
  <c r="AW28" i="37" s="1"/>
  <c r="AW29" i="37" s="1"/>
  <c r="AW30" i="37" s="1"/>
  <c r="AW31" i="37" s="1"/>
  <c r="AW32" i="37" s="1"/>
  <c r="AW33" i="37" s="1"/>
  <c r="AW34" i="37" s="1"/>
  <c r="AW35" i="37" s="1"/>
  <c r="AW36" i="37" s="1"/>
  <c r="AW37" i="37" s="1"/>
  <c r="AW38" i="37" s="1"/>
  <c r="AW39" i="37" s="1"/>
  <c r="AW40" i="37" s="1"/>
  <c r="AW41" i="37" s="1"/>
  <c r="AV24" i="37"/>
  <c r="AU25" i="37"/>
  <c r="FK23" i="37"/>
  <c r="FI23" i="37"/>
  <c r="FG23" i="37"/>
  <c r="FA23" i="37"/>
  <c r="EY23" i="37"/>
  <c r="EW23" i="37"/>
  <c r="EQ23" i="37"/>
  <c r="EO23" i="37"/>
  <c r="EM23" i="37"/>
  <c r="EG23" i="37"/>
  <c r="EE23" i="37"/>
  <c r="EC23" i="37"/>
  <c r="DW23" i="37"/>
  <c r="DU23" i="37"/>
  <c r="DS23" i="37"/>
  <c r="DM23" i="37"/>
  <c r="DK23" i="37"/>
  <c r="DI23" i="37"/>
  <c r="DC23" i="37"/>
  <c r="DA23" i="37"/>
  <c r="CY23" i="37"/>
  <c r="CS23" i="37"/>
  <c r="CQ23" i="37"/>
  <c r="CO23" i="37"/>
  <c r="CI23" i="37"/>
  <c r="CG23" i="37"/>
  <c r="CE23" i="37"/>
  <c r="BY23" i="37"/>
  <c r="BW23" i="37"/>
  <c r="BU23" i="37"/>
  <c r="BO23" i="37"/>
  <c r="BM23" i="37"/>
  <c r="BK23" i="37"/>
  <c r="BE23" i="37"/>
  <c r="BC23" i="37"/>
  <c r="BA23" i="37"/>
  <c r="AV23" i="37"/>
  <c r="BI21" i="37"/>
  <c r="BJ21" i="37" s="1"/>
  <c r="BK21" i="37" s="1"/>
  <c r="BL21" i="37" s="1"/>
  <c r="BM21" i="37" s="1"/>
  <c r="BN21" i="37" s="1"/>
  <c r="BO21" i="37" s="1"/>
  <c r="BP21" i="37" s="1"/>
  <c r="BQ21" i="37" s="1"/>
  <c r="BR21" i="37" s="1"/>
  <c r="BS21" i="37" s="1"/>
  <c r="BT21" i="37" s="1"/>
  <c r="BU21" i="37" s="1"/>
  <c r="BV21" i="37" s="1"/>
  <c r="BW21" i="37" s="1"/>
  <c r="BX21" i="37" s="1"/>
  <c r="BY21" i="37" s="1"/>
  <c r="BZ21" i="37" s="1"/>
  <c r="CA21" i="37" s="1"/>
  <c r="CB21" i="37" s="1"/>
  <c r="CC21" i="37" s="1"/>
  <c r="CD21" i="37" s="1"/>
  <c r="CE21" i="37" s="1"/>
  <c r="CF21" i="37" s="1"/>
  <c r="CG21" i="37" s="1"/>
  <c r="CH21" i="37" s="1"/>
  <c r="CI21" i="37" s="1"/>
  <c r="CJ21" i="37" s="1"/>
  <c r="CK21" i="37" s="1"/>
  <c r="CL21" i="37" s="1"/>
  <c r="CM21" i="37" s="1"/>
  <c r="CN21" i="37" s="1"/>
  <c r="CO21" i="37" s="1"/>
  <c r="CP21" i="37" s="1"/>
  <c r="CQ21" i="37" s="1"/>
  <c r="CR21" i="37" s="1"/>
  <c r="CS21" i="37" s="1"/>
  <c r="CT21" i="37" s="1"/>
  <c r="CU21" i="37" s="1"/>
  <c r="CV21" i="37" s="1"/>
  <c r="CW21" i="37" s="1"/>
  <c r="CX21" i="37" s="1"/>
  <c r="CY21" i="37" s="1"/>
  <c r="CZ21" i="37" s="1"/>
  <c r="DA21" i="37" s="1"/>
  <c r="DB21" i="37" s="1"/>
  <c r="DC21" i="37" s="1"/>
  <c r="DD21" i="37" s="1"/>
  <c r="DE21" i="37" s="1"/>
  <c r="DF21" i="37" s="1"/>
  <c r="DG21" i="37" s="1"/>
  <c r="DH21" i="37" s="1"/>
  <c r="DI21" i="37" s="1"/>
  <c r="DJ21" i="37" s="1"/>
  <c r="DK21" i="37" s="1"/>
  <c r="DL21" i="37" s="1"/>
  <c r="DM21" i="37" s="1"/>
  <c r="DN21" i="37" s="1"/>
  <c r="DO21" i="37" s="1"/>
  <c r="DP21" i="37" s="1"/>
  <c r="DQ21" i="37" s="1"/>
  <c r="DR21" i="37" s="1"/>
  <c r="DS21" i="37" s="1"/>
  <c r="DT21" i="37" s="1"/>
  <c r="DU21" i="37" s="1"/>
  <c r="DV21" i="37" s="1"/>
  <c r="DW21" i="37" s="1"/>
  <c r="DX21" i="37" s="1"/>
  <c r="DY21" i="37" s="1"/>
  <c r="DZ21" i="37" s="1"/>
  <c r="EA21" i="37" s="1"/>
  <c r="EB21" i="37" s="1"/>
  <c r="EC21" i="37" s="1"/>
  <c r="ED21" i="37" s="1"/>
  <c r="EE21" i="37" s="1"/>
  <c r="EF21" i="37" s="1"/>
  <c r="EG21" i="37" s="1"/>
  <c r="EH21" i="37" s="1"/>
  <c r="EI21" i="37" s="1"/>
  <c r="EJ21" i="37" s="1"/>
  <c r="EK21" i="37" s="1"/>
  <c r="EL21" i="37" s="1"/>
  <c r="EM21" i="37" s="1"/>
  <c r="EN21" i="37" s="1"/>
  <c r="EO21" i="37" s="1"/>
  <c r="EP21" i="37" s="1"/>
  <c r="EQ21" i="37" s="1"/>
  <c r="ER21" i="37" s="1"/>
  <c r="ES21" i="37" s="1"/>
  <c r="ET21" i="37" s="1"/>
  <c r="EU21" i="37" s="1"/>
  <c r="EV21" i="37" s="1"/>
  <c r="EW21" i="37" s="1"/>
  <c r="EX21" i="37" s="1"/>
  <c r="EY21" i="37" s="1"/>
  <c r="EZ21" i="37" s="1"/>
  <c r="FA21" i="37" s="1"/>
  <c r="FB21" i="37" s="1"/>
  <c r="FC21" i="37" s="1"/>
  <c r="FD21" i="37" s="1"/>
  <c r="FE21" i="37" s="1"/>
  <c r="FF21" i="37" s="1"/>
  <c r="FG21" i="37" s="1"/>
  <c r="FH21" i="37" s="1"/>
  <c r="FI21" i="37" s="1"/>
  <c r="FJ21" i="37" s="1"/>
  <c r="FK21" i="37" s="1"/>
  <c r="FL21" i="37" s="1"/>
  <c r="FM21" i="37" s="1"/>
  <c r="FN21" i="37" s="1"/>
  <c r="FO21" i="37" s="1"/>
  <c r="FP21" i="37" s="1"/>
  <c r="FQ21" i="37" s="1"/>
  <c r="FR21" i="37" s="1"/>
  <c r="FS21" i="37" s="1"/>
  <c r="FT21" i="37" s="1"/>
  <c r="FU21" i="37" s="1"/>
  <c r="FV21" i="37" s="1"/>
  <c r="FW21" i="37" s="1"/>
  <c r="FX21" i="37" s="1"/>
  <c r="FY21" i="37" s="1"/>
  <c r="FZ21" i="37" s="1"/>
  <c r="GA21" i="37" s="1"/>
  <c r="GB21" i="37" s="1"/>
  <c r="GC21" i="37" s="1"/>
  <c r="GD21" i="37" s="1"/>
  <c r="GE21" i="37" s="1"/>
  <c r="GF21" i="37" s="1"/>
  <c r="GG21" i="37" s="1"/>
  <c r="GH21" i="37" s="1"/>
  <c r="GI21" i="37" s="1"/>
  <c r="GJ21" i="37" s="1"/>
  <c r="GK21" i="37" s="1"/>
  <c r="GL21" i="37" s="1"/>
  <c r="GM21" i="37" s="1"/>
  <c r="GN21" i="37" s="1"/>
  <c r="GO21" i="37" s="1"/>
  <c r="GP21" i="37" s="1"/>
  <c r="GQ21" i="37" s="1"/>
  <c r="GR21" i="37" s="1"/>
  <c r="GS21" i="37" s="1"/>
  <c r="GT21" i="37" s="1"/>
  <c r="GU21" i="37" s="1"/>
  <c r="GV21" i="37" s="1"/>
  <c r="GW21" i="37" s="1"/>
  <c r="GX21" i="37" s="1"/>
  <c r="GY21" i="37" s="1"/>
  <c r="GZ21" i="37" s="1"/>
  <c r="HA21" i="37" s="1"/>
  <c r="HB21" i="37" s="1"/>
  <c r="HC21" i="37" s="1"/>
  <c r="HD21" i="37" s="1"/>
  <c r="HE21" i="37" s="1"/>
  <c r="HF21" i="37" s="1"/>
  <c r="HG21" i="37" s="1"/>
  <c r="HH21" i="37" s="1"/>
  <c r="HI21" i="37" s="1"/>
  <c r="HJ21" i="37" s="1"/>
  <c r="HK21" i="37" s="1"/>
  <c r="HL21" i="37" s="1"/>
  <c r="HM21" i="37" s="1"/>
  <c r="HN21" i="37" s="1"/>
  <c r="HO21" i="37" s="1"/>
  <c r="HP21" i="37" s="1"/>
  <c r="HQ21" i="37" s="1"/>
  <c r="HR21" i="37" s="1"/>
  <c r="HS21" i="37" s="1"/>
  <c r="HT21" i="37" s="1"/>
  <c r="HU21" i="37" s="1"/>
  <c r="HV21" i="37" s="1"/>
  <c r="HW21" i="37" s="1"/>
  <c r="HX21" i="37" s="1"/>
  <c r="HY21" i="37" s="1"/>
  <c r="HZ21" i="37" s="1"/>
  <c r="IA21" i="37" s="1"/>
  <c r="IB21" i="37" s="1"/>
  <c r="IC21" i="37" s="1"/>
  <c r="ID21" i="37" s="1"/>
  <c r="IE21" i="37" s="1"/>
  <c r="IF21" i="37" s="1"/>
  <c r="IG21" i="37" s="1"/>
  <c r="IH21" i="37" s="1"/>
  <c r="II21" i="37" s="1"/>
  <c r="IJ21" i="37" s="1"/>
  <c r="IK21" i="37" s="1"/>
  <c r="IL21" i="37" s="1"/>
  <c r="IM21" i="37" s="1"/>
  <c r="IN21" i="37" s="1"/>
  <c r="IO21" i="37" s="1"/>
  <c r="AZ21" i="37"/>
  <c r="BA21" i="37" s="1"/>
  <c r="BB21" i="37" s="1"/>
  <c r="BC21" i="37" s="1"/>
  <c r="BD21" i="37" s="1"/>
  <c r="BE21" i="37" s="1"/>
  <c r="BF21" i="37" s="1"/>
  <c r="BG21" i="37" s="1"/>
  <c r="BR20" i="37"/>
  <c r="BI20" i="37"/>
  <c r="AY20" i="37"/>
  <c r="O11" i="37"/>
  <c r="O10" i="37"/>
  <c r="O9" i="37"/>
  <c r="V8" i="37"/>
  <c r="O8" i="37"/>
  <c r="V7" i="37"/>
  <c r="O7" i="37"/>
  <c r="V6" i="37"/>
  <c r="O6" i="37"/>
  <c r="C6" i="37"/>
  <c r="V5" i="37"/>
  <c r="O5" i="37"/>
  <c r="O4" i="37"/>
  <c r="C4" i="37"/>
  <c r="D4" i="37" s="1"/>
  <c r="F8" i="37" s="1"/>
  <c r="C3" i="37"/>
  <c r="D3" i="37" s="1"/>
  <c r="U58" i="36"/>
  <c r="V58" i="36" s="1"/>
  <c r="W58" i="36" s="1"/>
  <c r="X58" i="36" s="1"/>
  <c r="Y58" i="36" s="1"/>
  <c r="Z58" i="36" s="1"/>
  <c r="AA58" i="36" s="1"/>
  <c r="AB58" i="36" s="1"/>
  <c r="U57" i="36"/>
  <c r="V57" i="36" s="1"/>
  <c r="W57" i="36" s="1"/>
  <c r="X57" i="36" s="1"/>
  <c r="Y57" i="36" s="1"/>
  <c r="Z57" i="36" s="1"/>
  <c r="AA57" i="36" s="1"/>
  <c r="AB57" i="36" s="1"/>
  <c r="U56" i="36"/>
  <c r="V56" i="36" s="1"/>
  <c r="W56" i="36" s="1"/>
  <c r="X56" i="36" s="1"/>
  <c r="Y56" i="36" s="1"/>
  <c r="Z56" i="36" s="1"/>
  <c r="AA56" i="36" s="1"/>
  <c r="AB56" i="36" s="1"/>
  <c r="U55" i="36"/>
  <c r="V55" i="36" s="1"/>
  <c r="W55" i="36" s="1"/>
  <c r="X55" i="36" s="1"/>
  <c r="Y55" i="36" s="1"/>
  <c r="Z55" i="36" s="1"/>
  <c r="AA55" i="36" s="1"/>
  <c r="AB55" i="36" s="1"/>
  <c r="U54" i="36"/>
  <c r="V54" i="36" s="1"/>
  <c r="W54" i="36" s="1"/>
  <c r="X54" i="36" s="1"/>
  <c r="Y54" i="36" s="1"/>
  <c r="Z54" i="36" s="1"/>
  <c r="AA54" i="36" s="1"/>
  <c r="AB54" i="36" s="1"/>
  <c r="Z53" i="36"/>
  <c r="AA53" i="36" s="1"/>
  <c r="AB53" i="36" s="1"/>
  <c r="U53" i="36"/>
  <c r="V53" i="36" s="1"/>
  <c r="W53" i="36" s="1"/>
  <c r="X53" i="36" s="1"/>
  <c r="U52" i="36"/>
  <c r="V52" i="36" s="1"/>
  <c r="W52" i="36" s="1"/>
  <c r="X52" i="36" s="1"/>
  <c r="Y52" i="36" s="1"/>
  <c r="Z52" i="36" s="1"/>
  <c r="AA52" i="36" s="1"/>
  <c r="AB52" i="36" s="1"/>
  <c r="U51" i="36"/>
  <c r="V51" i="36" s="1"/>
  <c r="W51" i="36" s="1"/>
  <c r="X51" i="36" s="1"/>
  <c r="Y51" i="36" s="1"/>
  <c r="Z51" i="36" s="1"/>
  <c r="AA51" i="36" s="1"/>
  <c r="AB51" i="36" s="1"/>
  <c r="Z50" i="36"/>
  <c r="AA50" i="36" s="1"/>
  <c r="AB50" i="36" s="1"/>
  <c r="U50" i="36"/>
  <c r="V50" i="36" s="1"/>
  <c r="W50" i="36" s="1"/>
  <c r="X50" i="36" s="1"/>
  <c r="U49" i="36"/>
  <c r="V49" i="36" s="1"/>
  <c r="W49" i="36" s="1"/>
  <c r="X49" i="36" s="1"/>
  <c r="Y49" i="36" s="1"/>
  <c r="Z49" i="36" s="1"/>
  <c r="AA49" i="36" s="1"/>
  <c r="AB49" i="36" s="1"/>
  <c r="U48" i="36"/>
  <c r="V48" i="36" s="1"/>
  <c r="W48" i="36" s="1"/>
  <c r="X48" i="36" s="1"/>
  <c r="Y48" i="36" s="1"/>
  <c r="Z48" i="36" s="1"/>
  <c r="AA48" i="36" s="1"/>
  <c r="AB48" i="36" s="1"/>
  <c r="O49" i="36"/>
  <c r="O50" i="36" s="1"/>
  <c r="O51" i="36" s="1"/>
  <c r="O52" i="36" s="1"/>
  <c r="O53" i="36" s="1"/>
  <c r="O54" i="36" s="1"/>
  <c r="O55" i="36" s="1"/>
  <c r="O56" i="36" s="1"/>
  <c r="O57" i="36" s="1"/>
  <c r="O58" i="36" s="1"/>
  <c r="O59" i="36" s="1"/>
  <c r="O60" i="36" s="1"/>
  <c r="O61" i="36" s="1"/>
  <c r="O62" i="36" s="1"/>
  <c r="O63" i="36" s="1"/>
  <c r="O64" i="36" s="1"/>
  <c r="O65" i="36" s="1"/>
  <c r="O66" i="36" s="1"/>
  <c r="B21" i="36"/>
  <c r="B22" i="36" s="1"/>
  <c r="B23" i="36" s="1"/>
  <c r="B24" i="36" s="1"/>
  <c r="B25" i="36" s="1"/>
  <c r="B26" i="36" s="1"/>
  <c r="B27" i="36" s="1"/>
  <c r="B28" i="36" s="1"/>
  <c r="B29" i="36" s="1"/>
  <c r="B30" i="36" s="1"/>
  <c r="B31" i="36" s="1"/>
  <c r="B32" i="36" s="1"/>
  <c r="B33" i="36" s="1"/>
  <c r="B34" i="36" s="1"/>
  <c r="B35" i="36" s="1"/>
  <c r="B36" i="36" s="1"/>
  <c r="B37" i="36" s="1"/>
  <c r="B38" i="36" s="1"/>
  <c r="S45" i="36"/>
  <c r="T45" i="36" s="1"/>
  <c r="U45" i="36" s="1"/>
  <c r="V45" i="36" s="1"/>
  <c r="W45" i="36" s="1"/>
  <c r="X45" i="36" s="1"/>
  <c r="Y45" i="36" s="1"/>
  <c r="Z45" i="36" s="1"/>
  <c r="AA45" i="36" s="1"/>
  <c r="AB45" i="36" s="1"/>
  <c r="AC45" i="36" s="1"/>
  <c r="AD45" i="36" s="1"/>
  <c r="AE45" i="36" s="1"/>
  <c r="AF45" i="36" s="1"/>
  <c r="AG45" i="36" s="1"/>
  <c r="AH45" i="36" s="1"/>
  <c r="AI45" i="36" s="1"/>
  <c r="AJ45" i="36" s="1"/>
  <c r="F17" i="36"/>
  <c r="G17" i="36" s="1"/>
  <c r="H17" i="36" s="1"/>
  <c r="I17" i="36" s="1"/>
  <c r="FK33" i="36"/>
  <c r="FI33" i="36"/>
  <c r="FG33" i="36"/>
  <c r="FA33" i="36"/>
  <c r="EY33" i="36"/>
  <c r="EW33" i="36"/>
  <c r="EQ33" i="36"/>
  <c r="EO33" i="36"/>
  <c r="EM33" i="36"/>
  <c r="EG33" i="36"/>
  <c r="EE33" i="36"/>
  <c r="EC33" i="36"/>
  <c r="DW33" i="36"/>
  <c r="DU33" i="36"/>
  <c r="DS33" i="36"/>
  <c r="DM33" i="36"/>
  <c r="DK33" i="36"/>
  <c r="DI33" i="36"/>
  <c r="DC33" i="36"/>
  <c r="DA33" i="36"/>
  <c r="CY33" i="36"/>
  <c r="CS33" i="36"/>
  <c r="CQ33" i="36"/>
  <c r="CO33" i="36"/>
  <c r="CI33" i="36"/>
  <c r="CG33" i="36"/>
  <c r="CE33" i="36"/>
  <c r="BY33" i="36"/>
  <c r="BW33" i="36"/>
  <c r="BU33" i="36"/>
  <c r="BO33" i="36"/>
  <c r="BM33" i="36"/>
  <c r="BK33" i="36"/>
  <c r="BE33" i="36"/>
  <c r="BC33" i="36"/>
  <c r="BA33" i="36"/>
  <c r="FK32" i="36"/>
  <c r="FI32" i="36"/>
  <c r="FG32" i="36"/>
  <c r="FA32" i="36"/>
  <c r="EY32" i="36"/>
  <c r="EW32" i="36"/>
  <c r="EQ32" i="36"/>
  <c r="EO32" i="36"/>
  <c r="EM32" i="36"/>
  <c r="EG32" i="36"/>
  <c r="EE32" i="36"/>
  <c r="EC32" i="36"/>
  <c r="DW32" i="36"/>
  <c r="DU32" i="36"/>
  <c r="DS32" i="36"/>
  <c r="DM32" i="36"/>
  <c r="DK32" i="36"/>
  <c r="DI32" i="36"/>
  <c r="DC32" i="36"/>
  <c r="DA32" i="36"/>
  <c r="CY32" i="36"/>
  <c r="CS32" i="36"/>
  <c r="CQ32" i="36"/>
  <c r="CO32" i="36"/>
  <c r="CI32" i="36"/>
  <c r="CG32" i="36"/>
  <c r="CE32" i="36"/>
  <c r="BY32" i="36"/>
  <c r="BW32" i="36"/>
  <c r="BU32" i="36"/>
  <c r="BO32" i="36"/>
  <c r="BM32" i="36"/>
  <c r="BK32" i="36"/>
  <c r="BE32" i="36"/>
  <c r="BC32" i="36"/>
  <c r="BA32" i="36"/>
  <c r="FK31" i="36"/>
  <c r="FI31" i="36"/>
  <c r="FG31" i="36"/>
  <c r="FA31" i="36"/>
  <c r="EY31" i="36"/>
  <c r="EW31" i="36"/>
  <c r="EQ31" i="36"/>
  <c r="EO31" i="36"/>
  <c r="EM31" i="36"/>
  <c r="EG31" i="36"/>
  <c r="EE31" i="36"/>
  <c r="EC31" i="36"/>
  <c r="DW31" i="36"/>
  <c r="DU31" i="36"/>
  <c r="DS31" i="36"/>
  <c r="DM31" i="36"/>
  <c r="DK31" i="36"/>
  <c r="DI31" i="36"/>
  <c r="DC31" i="36"/>
  <c r="DA31" i="36"/>
  <c r="CY31" i="36"/>
  <c r="CS31" i="36"/>
  <c r="CQ31" i="36"/>
  <c r="CO31" i="36"/>
  <c r="CI31" i="36"/>
  <c r="CG31" i="36"/>
  <c r="CE31" i="36"/>
  <c r="BY31" i="36"/>
  <c r="BW31" i="36"/>
  <c r="BU31" i="36"/>
  <c r="BO31" i="36"/>
  <c r="BM31" i="36"/>
  <c r="BK31" i="36"/>
  <c r="BE31" i="36"/>
  <c r="BC31" i="36"/>
  <c r="BA31" i="36"/>
  <c r="FK30" i="36"/>
  <c r="FI30" i="36"/>
  <c r="FG30" i="36"/>
  <c r="FA30" i="36"/>
  <c r="EY30" i="36"/>
  <c r="EW30" i="36"/>
  <c r="EQ30" i="36"/>
  <c r="EO30" i="36"/>
  <c r="EM30" i="36"/>
  <c r="EG30" i="36"/>
  <c r="EE30" i="36"/>
  <c r="EC30" i="36"/>
  <c r="DW30" i="36"/>
  <c r="DU30" i="36"/>
  <c r="DS30" i="36"/>
  <c r="DM30" i="36"/>
  <c r="DK30" i="36"/>
  <c r="DI30" i="36"/>
  <c r="DC30" i="36"/>
  <c r="DA30" i="36"/>
  <c r="CY30" i="36"/>
  <c r="CS30" i="36"/>
  <c r="CQ30" i="36"/>
  <c r="CO30" i="36"/>
  <c r="CI30" i="36"/>
  <c r="CG30" i="36"/>
  <c r="CE30" i="36"/>
  <c r="BY30" i="36"/>
  <c r="BW30" i="36"/>
  <c r="BU30" i="36"/>
  <c r="BO30" i="36"/>
  <c r="BM30" i="36"/>
  <c r="BK30" i="36"/>
  <c r="BE30" i="36"/>
  <c r="BC30" i="36"/>
  <c r="BA30" i="36"/>
  <c r="FK29" i="36"/>
  <c r="FI29" i="36"/>
  <c r="FG29" i="36"/>
  <c r="FA29" i="36"/>
  <c r="EY29" i="36"/>
  <c r="EW29" i="36"/>
  <c r="EQ29" i="36"/>
  <c r="EO29" i="36"/>
  <c r="EM29" i="36"/>
  <c r="EG29" i="36"/>
  <c r="EE29" i="36"/>
  <c r="EC29" i="36"/>
  <c r="DW29" i="36"/>
  <c r="DU29" i="36"/>
  <c r="DS29" i="36"/>
  <c r="DM29" i="36"/>
  <c r="DK29" i="36"/>
  <c r="DI29" i="36"/>
  <c r="DC29" i="36"/>
  <c r="DA29" i="36"/>
  <c r="CY29" i="36"/>
  <c r="CS29" i="36"/>
  <c r="CQ29" i="36"/>
  <c r="CO29" i="36"/>
  <c r="CI29" i="36"/>
  <c r="CG29" i="36"/>
  <c r="CE29" i="36"/>
  <c r="BY29" i="36"/>
  <c r="BW29" i="36"/>
  <c r="BU29" i="36"/>
  <c r="BO29" i="36"/>
  <c r="BM29" i="36"/>
  <c r="BK29" i="36"/>
  <c r="BE29" i="36"/>
  <c r="BC29" i="36"/>
  <c r="BA29" i="36"/>
  <c r="FK28" i="36"/>
  <c r="FI28" i="36"/>
  <c r="FG28" i="36"/>
  <c r="FA28" i="36"/>
  <c r="EY28" i="36"/>
  <c r="EW28" i="36"/>
  <c r="EQ28" i="36"/>
  <c r="EO28" i="36"/>
  <c r="EM28" i="36"/>
  <c r="EG28" i="36"/>
  <c r="EE28" i="36"/>
  <c r="EC28" i="36"/>
  <c r="DW28" i="36"/>
  <c r="DU28" i="36"/>
  <c r="DS28" i="36"/>
  <c r="DM28" i="36"/>
  <c r="DK28" i="36"/>
  <c r="DI28" i="36"/>
  <c r="DC28" i="36"/>
  <c r="DA28" i="36"/>
  <c r="CY28" i="36"/>
  <c r="CS28" i="36"/>
  <c r="CQ28" i="36"/>
  <c r="CO28" i="36"/>
  <c r="CI28" i="36"/>
  <c r="CG28" i="36"/>
  <c r="CE28" i="36"/>
  <c r="BY28" i="36"/>
  <c r="BW28" i="36"/>
  <c r="BU28" i="36"/>
  <c r="BO28" i="36"/>
  <c r="BM28" i="36"/>
  <c r="BK28" i="36"/>
  <c r="BE28" i="36"/>
  <c r="BC28" i="36"/>
  <c r="BA28" i="36"/>
  <c r="FK27" i="36"/>
  <c r="FI27" i="36"/>
  <c r="FG27" i="36"/>
  <c r="FA27" i="36"/>
  <c r="EY27" i="36"/>
  <c r="EW27" i="36"/>
  <c r="EQ27" i="36"/>
  <c r="EO27" i="36"/>
  <c r="EM27" i="36"/>
  <c r="EG27" i="36"/>
  <c r="EE27" i="36"/>
  <c r="EC27" i="36"/>
  <c r="DW27" i="36"/>
  <c r="DU27" i="36"/>
  <c r="DS27" i="36"/>
  <c r="DM27" i="36"/>
  <c r="DK27" i="36"/>
  <c r="DI27" i="36"/>
  <c r="DC27" i="36"/>
  <c r="DA27" i="36"/>
  <c r="CY27" i="36"/>
  <c r="CS27" i="36"/>
  <c r="CQ27" i="36"/>
  <c r="CO27" i="36"/>
  <c r="CI27" i="36"/>
  <c r="CG27" i="36"/>
  <c r="CE27" i="36"/>
  <c r="BY27" i="36"/>
  <c r="BW27" i="36"/>
  <c r="BU27" i="36"/>
  <c r="BO27" i="36"/>
  <c r="BM27" i="36"/>
  <c r="BK27" i="36"/>
  <c r="BE27" i="36"/>
  <c r="BC27" i="36"/>
  <c r="BA27" i="36"/>
  <c r="FK26" i="36"/>
  <c r="FI26" i="36"/>
  <c r="FG26" i="36"/>
  <c r="FA26" i="36"/>
  <c r="EY26" i="36"/>
  <c r="EW26" i="36"/>
  <c r="EQ26" i="36"/>
  <c r="EO26" i="36"/>
  <c r="EM26" i="36"/>
  <c r="EG26" i="36"/>
  <c r="EE26" i="36"/>
  <c r="EC26" i="36"/>
  <c r="DW26" i="36"/>
  <c r="DU26" i="36"/>
  <c r="DS26" i="36"/>
  <c r="DM26" i="36"/>
  <c r="DK26" i="36"/>
  <c r="DI26" i="36"/>
  <c r="DC26" i="36"/>
  <c r="DA26" i="36"/>
  <c r="CY26" i="36"/>
  <c r="CS26" i="36"/>
  <c r="CQ26" i="36"/>
  <c r="CO26" i="36"/>
  <c r="CI26" i="36"/>
  <c r="CG26" i="36"/>
  <c r="CE26" i="36"/>
  <c r="BY26" i="36"/>
  <c r="BW26" i="36"/>
  <c r="BU26" i="36"/>
  <c r="BO26" i="36"/>
  <c r="BM26" i="36"/>
  <c r="BK26" i="36"/>
  <c r="BE26" i="36"/>
  <c r="BC26" i="36"/>
  <c r="BA26" i="36"/>
  <c r="BG26" i="36" s="1"/>
  <c r="AX26" i="36" s="1"/>
  <c r="FK25" i="36"/>
  <c r="FI25" i="36"/>
  <c r="FG25" i="36"/>
  <c r="FA25" i="36"/>
  <c r="EY25" i="36"/>
  <c r="EW25" i="36"/>
  <c r="EQ25" i="36"/>
  <c r="EO25" i="36"/>
  <c r="EM25" i="36"/>
  <c r="EG25" i="36"/>
  <c r="EE25" i="36"/>
  <c r="EC25" i="36"/>
  <c r="DW25" i="36"/>
  <c r="DU25" i="36"/>
  <c r="DS25" i="36"/>
  <c r="DM25" i="36"/>
  <c r="DK25" i="36"/>
  <c r="DI25" i="36"/>
  <c r="DC25" i="36"/>
  <c r="DA25" i="36"/>
  <c r="CY25" i="36"/>
  <c r="CS25" i="36"/>
  <c r="CQ25" i="36"/>
  <c r="CO25" i="36"/>
  <c r="CT25" i="36" s="1"/>
  <c r="CI25" i="36"/>
  <c r="CG25" i="36"/>
  <c r="CE25" i="36"/>
  <c r="BY25" i="36"/>
  <c r="BW25" i="36"/>
  <c r="BU25" i="36"/>
  <c r="BO25" i="36"/>
  <c r="BM25" i="36"/>
  <c r="BK25" i="36"/>
  <c r="BE25" i="36"/>
  <c r="BC25" i="36"/>
  <c r="BA25" i="36"/>
  <c r="FK24" i="36"/>
  <c r="FI24" i="36"/>
  <c r="FG24" i="36"/>
  <c r="FA24" i="36"/>
  <c r="EY24" i="36"/>
  <c r="EW24" i="36"/>
  <c r="EQ24" i="36"/>
  <c r="EO24" i="36"/>
  <c r="EM24" i="36"/>
  <c r="EG24" i="36"/>
  <c r="EE24" i="36"/>
  <c r="EC24" i="36"/>
  <c r="DW24" i="36"/>
  <c r="DU24" i="36"/>
  <c r="DS24" i="36"/>
  <c r="DM24" i="36"/>
  <c r="DK24" i="36"/>
  <c r="DI24" i="36"/>
  <c r="DC24" i="36"/>
  <c r="DA24" i="36"/>
  <c r="CY24" i="36"/>
  <c r="CS24" i="36"/>
  <c r="CQ24" i="36"/>
  <c r="CO24" i="36"/>
  <c r="CI24" i="36"/>
  <c r="CG24" i="36"/>
  <c r="CE24" i="36"/>
  <c r="BY24" i="36"/>
  <c r="BW24" i="36"/>
  <c r="BU24" i="36"/>
  <c r="BO24" i="36"/>
  <c r="BM24" i="36"/>
  <c r="BK24" i="36"/>
  <c r="BE24" i="36"/>
  <c r="BC24" i="36"/>
  <c r="BA24" i="36"/>
  <c r="AW24" i="36"/>
  <c r="AW25" i="36" s="1"/>
  <c r="AW26" i="36" s="1"/>
  <c r="AW27" i="36" s="1"/>
  <c r="AW28" i="36" s="1"/>
  <c r="AW29" i="36" s="1"/>
  <c r="AW30" i="36" s="1"/>
  <c r="AW31" i="36" s="1"/>
  <c r="AW32" i="36" s="1"/>
  <c r="AW33" i="36" s="1"/>
  <c r="AW34" i="36" s="1"/>
  <c r="AW35" i="36" s="1"/>
  <c r="AW36" i="36" s="1"/>
  <c r="AW37" i="36" s="1"/>
  <c r="AW38" i="36" s="1"/>
  <c r="AW39" i="36" s="1"/>
  <c r="AW40" i="36" s="1"/>
  <c r="AW41" i="36" s="1"/>
  <c r="AU24" i="36"/>
  <c r="AU25" i="36" s="1"/>
  <c r="FK23" i="36"/>
  <c r="FI23" i="36"/>
  <c r="FG23" i="36"/>
  <c r="FA23" i="36"/>
  <c r="EY23" i="36"/>
  <c r="EW23" i="36"/>
  <c r="EQ23" i="36"/>
  <c r="EO23" i="36"/>
  <c r="EM23" i="36"/>
  <c r="EG23" i="36"/>
  <c r="EE23" i="36"/>
  <c r="EC23" i="36"/>
  <c r="DW23" i="36"/>
  <c r="DU23" i="36"/>
  <c r="DS23" i="36"/>
  <c r="DM23" i="36"/>
  <c r="DK23" i="36"/>
  <c r="DI23" i="36"/>
  <c r="DC23" i="36"/>
  <c r="DA23" i="36"/>
  <c r="CY23" i="36"/>
  <c r="CS23" i="36"/>
  <c r="CQ23" i="36"/>
  <c r="CO23" i="36"/>
  <c r="CI23" i="36"/>
  <c r="CG23" i="36"/>
  <c r="CE23" i="36"/>
  <c r="BY23" i="36"/>
  <c r="BW23" i="36"/>
  <c r="BU23" i="36"/>
  <c r="BO23" i="36"/>
  <c r="BM23" i="36"/>
  <c r="BK23" i="36"/>
  <c r="BE23" i="36"/>
  <c r="BC23" i="36"/>
  <c r="BA23" i="36"/>
  <c r="AV23" i="36"/>
  <c r="FK22" i="36"/>
  <c r="FG22" i="36"/>
  <c r="FA22" i="36"/>
  <c r="EY22" i="36"/>
  <c r="EW22" i="36"/>
  <c r="EQ22" i="36"/>
  <c r="EO22" i="36"/>
  <c r="EM22" i="36"/>
  <c r="EG22" i="36"/>
  <c r="EE22" i="36"/>
  <c r="EC22" i="36"/>
  <c r="DW22" i="36"/>
  <c r="DU22" i="36"/>
  <c r="DS22" i="36"/>
  <c r="DM22" i="36"/>
  <c r="DK22" i="36"/>
  <c r="DI22" i="36"/>
  <c r="DC22" i="36"/>
  <c r="DA22" i="36"/>
  <c r="CY22" i="36"/>
  <c r="CS22" i="36"/>
  <c r="CQ22" i="36"/>
  <c r="CO22" i="36"/>
  <c r="CI22" i="36"/>
  <c r="CG22" i="36"/>
  <c r="CE22" i="36"/>
  <c r="BY22" i="36"/>
  <c r="BW22" i="36"/>
  <c r="BU22" i="36"/>
  <c r="BO22" i="36"/>
  <c r="BM22" i="36"/>
  <c r="BK22" i="36"/>
  <c r="BE22" i="36"/>
  <c r="BC22" i="36"/>
  <c r="BA22" i="36"/>
  <c r="AV22" i="36"/>
  <c r="BI21" i="36"/>
  <c r="BJ21" i="36" s="1"/>
  <c r="BK21" i="36" s="1"/>
  <c r="BL21" i="36" s="1"/>
  <c r="BM21" i="36" s="1"/>
  <c r="BN21" i="36" s="1"/>
  <c r="BO21" i="36" s="1"/>
  <c r="BP21" i="36" s="1"/>
  <c r="BQ21" i="36" s="1"/>
  <c r="BR21" i="36" s="1"/>
  <c r="BS21" i="36" s="1"/>
  <c r="BT21" i="36" s="1"/>
  <c r="BU21" i="36" s="1"/>
  <c r="BV21" i="36" s="1"/>
  <c r="BW21" i="36" s="1"/>
  <c r="BX21" i="36" s="1"/>
  <c r="BY21" i="36" s="1"/>
  <c r="BZ21" i="36" s="1"/>
  <c r="CA21" i="36" s="1"/>
  <c r="CB21" i="36" s="1"/>
  <c r="CC21" i="36" s="1"/>
  <c r="CD21" i="36" s="1"/>
  <c r="CE21" i="36" s="1"/>
  <c r="CF21" i="36" s="1"/>
  <c r="CG21" i="36" s="1"/>
  <c r="CH21" i="36" s="1"/>
  <c r="CI21" i="36" s="1"/>
  <c r="CJ21" i="36" s="1"/>
  <c r="CK21" i="36" s="1"/>
  <c r="CL21" i="36" s="1"/>
  <c r="CM21" i="36" s="1"/>
  <c r="CN21" i="36" s="1"/>
  <c r="CO21" i="36" s="1"/>
  <c r="CP21" i="36" s="1"/>
  <c r="CQ21" i="36" s="1"/>
  <c r="CR21" i="36" s="1"/>
  <c r="CS21" i="36" s="1"/>
  <c r="CT21" i="36" s="1"/>
  <c r="CU21" i="36" s="1"/>
  <c r="CV21" i="36" s="1"/>
  <c r="CW21" i="36" s="1"/>
  <c r="CX21" i="36" s="1"/>
  <c r="CY21" i="36" s="1"/>
  <c r="CZ21" i="36" s="1"/>
  <c r="DA21" i="36" s="1"/>
  <c r="DB21" i="36" s="1"/>
  <c r="DC21" i="36" s="1"/>
  <c r="DD21" i="36" s="1"/>
  <c r="DE21" i="36" s="1"/>
  <c r="DF21" i="36" s="1"/>
  <c r="DG21" i="36" s="1"/>
  <c r="DH21" i="36" s="1"/>
  <c r="DI21" i="36" s="1"/>
  <c r="DJ21" i="36" s="1"/>
  <c r="DK21" i="36" s="1"/>
  <c r="DL21" i="36" s="1"/>
  <c r="DM21" i="36" s="1"/>
  <c r="DN21" i="36" s="1"/>
  <c r="DO21" i="36" s="1"/>
  <c r="DP21" i="36" s="1"/>
  <c r="DQ21" i="36" s="1"/>
  <c r="DR21" i="36" s="1"/>
  <c r="DS21" i="36" s="1"/>
  <c r="DT21" i="36" s="1"/>
  <c r="DU21" i="36" s="1"/>
  <c r="DV21" i="36" s="1"/>
  <c r="DW21" i="36" s="1"/>
  <c r="DX21" i="36" s="1"/>
  <c r="DY21" i="36" s="1"/>
  <c r="DZ21" i="36" s="1"/>
  <c r="EA21" i="36" s="1"/>
  <c r="EB21" i="36" s="1"/>
  <c r="EC21" i="36" s="1"/>
  <c r="ED21" i="36" s="1"/>
  <c r="EE21" i="36" s="1"/>
  <c r="EF21" i="36" s="1"/>
  <c r="EG21" i="36" s="1"/>
  <c r="EH21" i="36" s="1"/>
  <c r="EI21" i="36" s="1"/>
  <c r="EJ21" i="36" s="1"/>
  <c r="EK21" i="36" s="1"/>
  <c r="EL21" i="36" s="1"/>
  <c r="EM21" i="36" s="1"/>
  <c r="EN21" i="36" s="1"/>
  <c r="EO21" i="36" s="1"/>
  <c r="EP21" i="36" s="1"/>
  <c r="EQ21" i="36" s="1"/>
  <c r="ER21" i="36" s="1"/>
  <c r="ES21" i="36" s="1"/>
  <c r="ET21" i="36" s="1"/>
  <c r="EU21" i="36" s="1"/>
  <c r="EV21" i="36" s="1"/>
  <c r="EW21" i="36" s="1"/>
  <c r="EX21" i="36" s="1"/>
  <c r="EY21" i="36" s="1"/>
  <c r="EZ21" i="36" s="1"/>
  <c r="FA21" i="36" s="1"/>
  <c r="FB21" i="36" s="1"/>
  <c r="FC21" i="36" s="1"/>
  <c r="FD21" i="36" s="1"/>
  <c r="FE21" i="36" s="1"/>
  <c r="FF21" i="36" s="1"/>
  <c r="FG21" i="36" s="1"/>
  <c r="FH21" i="36" s="1"/>
  <c r="FI21" i="36" s="1"/>
  <c r="FJ21" i="36" s="1"/>
  <c r="FK21" i="36" s="1"/>
  <c r="FL21" i="36" s="1"/>
  <c r="FM21" i="36" s="1"/>
  <c r="FN21" i="36" s="1"/>
  <c r="FO21" i="36" s="1"/>
  <c r="FP21" i="36" s="1"/>
  <c r="FQ21" i="36" s="1"/>
  <c r="FR21" i="36" s="1"/>
  <c r="FS21" i="36" s="1"/>
  <c r="FT21" i="36" s="1"/>
  <c r="FU21" i="36" s="1"/>
  <c r="FV21" i="36" s="1"/>
  <c r="FW21" i="36" s="1"/>
  <c r="FX21" i="36" s="1"/>
  <c r="FY21" i="36" s="1"/>
  <c r="FZ21" i="36" s="1"/>
  <c r="GA21" i="36" s="1"/>
  <c r="GB21" i="36" s="1"/>
  <c r="GC21" i="36" s="1"/>
  <c r="GD21" i="36" s="1"/>
  <c r="GE21" i="36" s="1"/>
  <c r="GF21" i="36" s="1"/>
  <c r="GG21" i="36" s="1"/>
  <c r="GH21" i="36" s="1"/>
  <c r="GI21" i="36" s="1"/>
  <c r="GJ21" i="36" s="1"/>
  <c r="GK21" i="36" s="1"/>
  <c r="GL21" i="36" s="1"/>
  <c r="GM21" i="36" s="1"/>
  <c r="GN21" i="36" s="1"/>
  <c r="GO21" i="36" s="1"/>
  <c r="GP21" i="36" s="1"/>
  <c r="GQ21" i="36" s="1"/>
  <c r="GR21" i="36" s="1"/>
  <c r="GS21" i="36" s="1"/>
  <c r="GT21" i="36" s="1"/>
  <c r="GU21" i="36" s="1"/>
  <c r="GV21" i="36" s="1"/>
  <c r="GW21" i="36" s="1"/>
  <c r="GX21" i="36" s="1"/>
  <c r="GY21" i="36" s="1"/>
  <c r="GZ21" i="36" s="1"/>
  <c r="HA21" i="36" s="1"/>
  <c r="HB21" i="36" s="1"/>
  <c r="HC21" i="36" s="1"/>
  <c r="HD21" i="36" s="1"/>
  <c r="HE21" i="36" s="1"/>
  <c r="HF21" i="36" s="1"/>
  <c r="HG21" i="36" s="1"/>
  <c r="HH21" i="36" s="1"/>
  <c r="HI21" i="36" s="1"/>
  <c r="HJ21" i="36" s="1"/>
  <c r="HK21" i="36" s="1"/>
  <c r="HL21" i="36" s="1"/>
  <c r="HM21" i="36" s="1"/>
  <c r="HN21" i="36" s="1"/>
  <c r="HO21" i="36" s="1"/>
  <c r="HP21" i="36" s="1"/>
  <c r="HQ21" i="36" s="1"/>
  <c r="HR21" i="36" s="1"/>
  <c r="HS21" i="36" s="1"/>
  <c r="HT21" i="36" s="1"/>
  <c r="HU21" i="36" s="1"/>
  <c r="HV21" i="36" s="1"/>
  <c r="HW21" i="36" s="1"/>
  <c r="HX21" i="36" s="1"/>
  <c r="HY21" i="36" s="1"/>
  <c r="HZ21" i="36" s="1"/>
  <c r="IA21" i="36" s="1"/>
  <c r="IB21" i="36" s="1"/>
  <c r="IC21" i="36" s="1"/>
  <c r="ID21" i="36" s="1"/>
  <c r="IE21" i="36" s="1"/>
  <c r="IF21" i="36" s="1"/>
  <c r="IG21" i="36" s="1"/>
  <c r="IH21" i="36" s="1"/>
  <c r="II21" i="36" s="1"/>
  <c r="IJ21" i="36" s="1"/>
  <c r="IK21" i="36" s="1"/>
  <c r="IL21" i="36" s="1"/>
  <c r="IM21" i="36" s="1"/>
  <c r="IN21" i="36" s="1"/>
  <c r="IO21" i="36" s="1"/>
  <c r="AZ21" i="36"/>
  <c r="BA21" i="36" s="1"/>
  <c r="BB21" i="36" s="1"/>
  <c r="BC21" i="36" s="1"/>
  <c r="BD21" i="36" s="1"/>
  <c r="BE21" i="36" s="1"/>
  <c r="BF21" i="36" s="1"/>
  <c r="BG21" i="36" s="1"/>
  <c r="BR20" i="36"/>
  <c r="CB20" i="36" s="1"/>
  <c r="CC20" i="36" s="1"/>
  <c r="BI20" i="36"/>
  <c r="AY20" i="36"/>
  <c r="O11" i="36"/>
  <c r="O10" i="36"/>
  <c r="O9" i="36"/>
  <c r="V8" i="36"/>
  <c r="O8" i="36"/>
  <c r="V7" i="36"/>
  <c r="O7" i="36"/>
  <c r="V6" i="36"/>
  <c r="O6" i="36"/>
  <c r="C6" i="36"/>
  <c r="V5" i="36"/>
  <c r="O5" i="36"/>
  <c r="O4" i="36"/>
  <c r="C4" i="36"/>
  <c r="D4" i="36" s="1"/>
  <c r="F8" i="36" s="1"/>
  <c r="C3" i="36"/>
  <c r="D3" i="36" s="1"/>
  <c r="J3" i="36" l="1"/>
  <c r="P13" i="36" s="1"/>
  <c r="BP30" i="36"/>
  <c r="DD37" i="37"/>
  <c r="DX38" i="37"/>
  <c r="CJ39" i="37"/>
  <c r="FL39" i="37"/>
  <c r="CJ29" i="36"/>
  <c r="BQ31" i="36"/>
  <c r="BH31" i="36" s="1"/>
  <c r="BI31" i="36" s="1"/>
  <c r="BP33" i="36"/>
  <c r="DX37" i="37"/>
  <c r="DX39" i="37"/>
  <c r="FL40" i="37"/>
  <c r="J3" i="37"/>
  <c r="P83" i="36"/>
  <c r="P85" i="36" s="1"/>
  <c r="AB76" i="36" s="1"/>
  <c r="P76" i="36"/>
  <c r="P78" i="36" s="1"/>
  <c r="AB75" i="36" s="1"/>
  <c r="P76" i="37"/>
  <c r="P78" i="37" s="1"/>
  <c r="AB75" i="37" s="1"/>
  <c r="P83" i="37"/>
  <c r="P85" i="37" s="1"/>
  <c r="AB76" i="37" s="1"/>
  <c r="C8" i="36"/>
  <c r="C8" i="37"/>
  <c r="C9" i="37" s="1"/>
  <c r="FE24" i="40"/>
  <c r="O21" i="40"/>
  <c r="FE22" i="40"/>
  <c r="O19" i="40"/>
  <c r="FE25" i="40"/>
  <c r="O22" i="40"/>
  <c r="FE33" i="40"/>
  <c r="O30" i="40"/>
  <c r="O31" i="40"/>
  <c r="FE34" i="40"/>
  <c r="AU36" i="40"/>
  <c r="AV35" i="40"/>
  <c r="O20" i="40"/>
  <c r="FE23" i="40"/>
  <c r="FE28" i="40"/>
  <c r="O25" i="40"/>
  <c r="FE29" i="40"/>
  <c r="O26" i="40"/>
  <c r="FE30" i="40"/>
  <c r="O27" i="40"/>
  <c r="FE37" i="40"/>
  <c r="FW31" i="40"/>
  <c r="FN31" i="40" s="1"/>
  <c r="FW28" i="40"/>
  <c r="FN28" i="40" s="1"/>
  <c r="FW29" i="40"/>
  <c r="FN29" i="40" s="1"/>
  <c r="FW30" i="40"/>
  <c r="FN30" i="40" s="1"/>
  <c r="FW27" i="40"/>
  <c r="FN27" i="40" s="1"/>
  <c r="FW25" i="40"/>
  <c r="FN25" i="40" s="1"/>
  <c r="FW24" i="40"/>
  <c r="FN24" i="40" s="1"/>
  <c r="FW26" i="40"/>
  <c r="FN26" i="40" s="1"/>
  <c r="FW22" i="40"/>
  <c r="FN22" i="40" s="1"/>
  <c r="FW21" i="40"/>
  <c r="FN21" i="40" s="1"/>
  <c r="FX18" i="40"/>
  <c r="FW23" i="40"/>
  <c r="FN23" i="40" s="1"/>
  <c r="FW20" i="40"/>
  <c r="FN20" i="40" s="1"/>
  <c r="FO18" i="40"/>
  <c r="FE20" i="40"/>
  <c r="O17" i="40"/>
  <c r="FE27" i="40"/>
  <c r="O24" i="40"/>
  <c r="FE31" i="40"/>
  <c r="O28" i="40"/>
  <c r="FE36" i="40"/>
  <c r="FE39" i="40"/>
  <c r="P5" i="40"/>
  <c r="D66" i="40"/>
  <c r="FE21" i="40"/>
  <c r="O18" i="40"/>
  <c r="FE26" i="40"/>
  <c r="O23" i="40"/>
  <c r="FE32" i="40"/>
  <c r="O29" i="40"/>
  <c r="FE35" i="40"/>
  <c r="O32" i="40"/>
  <c r="FE38" i="40"/>
  <c r="B33" i="40"/>
  <c r="O33" i="40" s="1"/>
  <c r="D32" i="40"/>
  <c r="E32" i="40"/>
  <c r="F32" i="40"/>
  <c r="G32" i="40"/>
  <c r="H32" i="40"/>
  <c r="I32" i="40"/>
  <c r="J32" i="40"/>
  <c r="K32" i="40"/>
  <c r="L32" i="40"/>
  <c r="M32" i="40"/>
  <c r="CT35" i="37"/>
  <c r="DN35" i="37"/>
  <c r="BZ37" i="37"/>
  <c r="DN23" i="37"/>
  <c r="ER34" i="37"/>
  <c r="BP35" i="37"/>
  <c r="B30" i="37"/>
  <c r="BG32" i="37"/>
  <c r="AX32" i="37" s="1"/>
  <c r="AY32" i="37" s="1"/>
  <c r="EH34" i="37"/>
  <c r="DD24" i="37"/>
  <c r="BZ33" i="37"/>
  <c r="CT33" i="37"/>
  <c r="DX25" i="37"/>
  <c r="CJ26" i="37"/>
  <c r="DX26" i="37"/>
  <c r="FL26" i="37"/>
  <c r="DX29" i="37"/>
  <c r="FL29" i="37"/>
  <c r="DX24" i="37"/>
  <c r="CJ31" i="36"/>
  <c r="BZ25" i="36"/>
  <c r="DX31" i="36"/>
  <c r="BS20" i="36"/>
  <c r="CJ24" i="36"/>
  <c r="DX24" i="36"/>
  <c r="DX27" i="36"/>
  <c r="CJ28" i="36"/>
  <c r="DX28" i="36"/>
  <c r="FL28" i="36"/>
  <c r="BG31" i="36"/>
  <c r="AX31" i="36" s="1"/>
  <c r="CT31" i="36"/>
  <c r="EH23" i="36"/>
  <c r="DN24" i="36"/>
  <c r="BF27" i="36"/>
  <c r="BZ28" i="36"/>
  <c r="BF23" i="36"/>
  <c r="ER25" i="36"/>
  <c r="BP26" i="36"/>
  <c r="DD26" i="36"/>
  <c r="ER26" i="36"/>
  <c r="DX22" i="36"/>
  <c r="DD22" i="36"/>
  <c r="BQ24" i="36"/>
  <c r="BH24" i="36" s="1"/>
  <c r="BI24" i="36" s="1"/>
  <c r="FL29" i="36"/>
  <c r="CJ22" i="36"/>
  <c r="FL26" i="36"/>
  <c r="EH27" i="36"/>
  <c r="EH28" i="36"/>
  <c r="BP29" i="36"/>
  <c r="BZ32" i="36"/>
  <c r="DN32" i="36"/>
  <c r="FB32" i="36"/>
  <c r="FB33" i="36"/>
  <c r="AV24" i="36"/>
  <c r="FB30" i="36"/>
  <c r="BP32" i="36"/>
  <c r="BZ27" i="37"/>
  <c r="DD34" i="37"/>
  <c r="ER24" i="37"/>
  <c r="ER27" i="37"/>
  <c r="BP28" i="37"/>
  <c r="DD28" i="37"/>
  <c r="ER28" i="37"/>
  <c r="FL32" i="37"/>
  <c r="CA23" i="37"/>
  <c r="BR23" i="37" s="1"/>
  <c r="BG23" i="37"/>
  <c r="AX23" i="37" s="1"/>
  <c r="D20" i="37" s="1"/>
  <c r="CT23" i="37"/>
  <c r="BF25" i="37"/>
  <c r="BF29" i="37"/>
  <c r="BF31" i="37"/>
  <c r="CT31" i="37"/>
  <c r="DD23" i="37"/>
  <c r="EH23" i="37"/>
  <c r="CJ24" i="37"/>
  <c r="BZ26" i="37"/>
  <c r="BF27" i="37"/>
  <c r="BG28" i="37"/>
  <c r="AX28" i="37" s="1"/>
  <c r="D25" i="37" s="1"/>
  <c r="EH31" i="37"/>
  <c r="BG35" i="37"/>
  <c r="AX35" i="37" s="1"/>
  <c r="FB36" i="37"/>
  <c r="BQ37" i="37"/>
  <c r="BH37" i="37" s="1"/>
  <c r="BZ38" i="37"/>
  <c r="BZ40" i="37"/>
  <c r="DN40" i="37"/>
  <c r="FB40" i="37"/>
  <c r="EH41" i="37"/>
  <c r="FB41" i="37"/>
  <c r="BZ23" i="37"/>
  <c r="FL24" i="37"/>
  <c r="EH32" i="37"/>
  <c r="DN33" i="37"/>
  <c r="FB33" i="37"/>
  <c r="BZ34" i="37"/>
  <c r="EH35" i="37"/>
  <c r="CT36" i="37"/>
  <c r="DN36" i="37"/>
  <c r="BP38" i="37"/>
  <c r="BP41" i="37"/>
  <c r="DD41" i="37"/>
  <c r="ER41" i="37"/>
  <c r="BQ23" i="37"/>
  <c r="BH23" i="37" s="1"/>
  <c r="E20" i="37" s="1"/>
  <c r="FB23" i="37"/>
  <c r="BQ24" i="37"/>
  <c r="BH24" i="37" s="1"/>
  <c r="CT25" i="37"/>
  <c r="EH25" i="37"/>
  <c r="EH26" i="37"/>
  <c r="ER26" i="37"/>
  <c r="DN27" i="37"/>
  <c r="FB27" i="37"/>
  <c r="DN28" i="37"/>
  <c r="DX28" i="37"/>
  <c r="CT29" i="37"/>
  <c r="EH29" i="37"/>
  <c r="DD30" i="37"/>
  <c r="ER30" i="37"/>
  <c r="BQ31" i="37"/>
  <c r="BH31" i="37" s="1"/>
  <c r="E28" i="37" s="1"/>
  <c r="DX31" i="37"/>
  <c r="CJ32" i="37"/>
  <c r="DX32" i="37"/>
  <c r="BQ34" i="37"/>
  <c r="BH34" i="37" s="1"/>
  <c r="BI34" i="37" s="1"/>
  <c r="CJ36" i="37"/>
  <c r="ER37" i="37"/>
  <c r="BG38" i="37"/>
  <c r="AX38" i="37" s="1"/>
  <c r="AY38" i="37" s="1"/>
  <c r="CT38" i="37"/>
  <c r="EH38" i="37"/>
  <c r="BF39" i="37"/>
  <c r="FB39" i="37"/>
  <c r="BF24" i="37"/>
  <c r="EH24" i="37"/>
  <c r="BG25" i="37"/>
  <c r="AX25" i="37" s="1"/>
  <c r="BP25" i="37"/>
  <c r="BZ25" i="37"/>
  <c r="FL25" i="37"/>
  <c r="BQ26" i="37"/>
  <c r="BH26" i="37" s="1"/>
  <c r="E23" i="37" s="1"/>
  <c r="DN26" i="37"/>
  <c r="CJ27" i="37"/>
  <c r="CT27" i="37"/>
  <c r="CT28" i="37"/>
  <c r="FB28" i="37"/>
  <c r="FL28" i="37"/>
  <c r="BG29" i="37"/>
  <c r="AX29" i="37" s="1"/>
  <c r="BP29" i="37"/>
  <c r="BZ29" i="37"/>
  <c r="BF30" i="37"/>
  <c r="BZ30" i="37"/>
  <c r="DX30" i="37"/>
  <c r="DD31" i="37"/>
  <c r="FL31" i="37"/>
  <c r="BF32" i="37"/>
  <c r="BZ32" i="37"/>
  <c r="CJ33" i="37"/>
  <c r="EH33" i="37"/>
  <c r="BF34" i="37"/>
  <c r="DN34" i="37"/>
  <c r="DD35" i="37"/>
  <c r="FB35" i="37"/>
  <c r="DX36" i="37"/>
  <c r="BG37" i="37"/>
  <c r="AX37" i="37" s="1"/>
  <c r="AY37" i="37" s="1"/>
  <c r="DN37" i="37"/>
  <c r="FL37" i="37"/>
  <c r="DN38" i="37"/>
  <c r="BP40" i="37"/>
  <c r="BP23" i="37"/>
  <c r="ER23" i="37"/>
  <c r="DD25" i="37"/>
  <c r="DN25" i="37"/>
  <c r="BF26" i="37"/>
  <c r="BP26" i="37"/>
  <c r="FB26" i="37"/>
  <c r="BQ27" i="37"/>
  <c r="BH27" i="37" s="1"/>
  <c r="E24" i="37" s="1"/>
  <c r="DX27" i="37"/>
  <c r="EH27" i="37"/>
  <c r="EH28" i="37"/>
  <c r="DD29" i="37"/>
  <c r="DN29" i="37"/>
  <c r="BP30" i="37"/>
  <c r="DN30" i="37"/>
  <c r="FL30" i="37"/>
  <c r="ER31" i="37"/>
  <c r="DN32" i="37"/>
  <c r="DX33" i="37"/>
  <c r="FB34" i="37"/>
  <c r="ER35" i="37"/>
  <c r="BQ36" i="37"/>
  <c r="BH36" i="37" s="1"/>
  <c r="BI36" i="37" s="1"/>
  <c r="FL36" i="37"/>
  <c r="CT37" i="37"/>
  <c r="FB37" i="37"/>
  <c r="DD38" i="37"/>
  <c r="FB38" i="37"/>
  <c r="CT39" i="37"/>
  <c r="CJ40" i="37"/>
  <c r="DD40" i="37"/>
  <c r="BQ41" i="37"/>
  <c r="BH41" i="37" s="1"/>
  <c r="BI41" i="37" s="1"/>
  <c r="BZ41" i="37"/>
  <c r="BF23" i="37"/>
  <c r="BP24" i="37"/>
  <c r="CT24" i="37"/>
  <c r="CJ25" i="37"/>
  <c r="ER25" i="37"/>
  <c r="FB25" i="37"/>
  <c r="CT26" i="37"/>
  <c r="DD26" i="37"/>
  <c r="BG27" i="37"/>
  <c r="AX27" i="37" s="1"/>
  <c r="DD27" i="37"/>
  <c r="FL27" i="37"/>
  <c r="BQ28" i="37"/>
  <c r="BH28" i="37" s="1"/>
  <c r="E25" i="37" s="1"/>
  <c r="BZ28" i="37"/>
  <c r="CJ28" i="37"/>
  <c r="CJ29" i="37"/>
  <c r="ER29" i="37"/>
  <c r="FB29" i="37"/>
  <c r="FB30" i="37"/>
  <c r="BG31" i="37"/>
  <c r="AX31" i="37" s="1"/>
  <c r="BP31" i="37"/>
  <c r="CJ31" i="37"/>
  <c r="CT32" i="37"/>
  <c r="FB32" i="37"/>
  <c r="BG33" i="37"/>
  <c r="AX33" i="37" s="1"/>
  <c r="AY33" i="37" s="1"/>
  <c r="FL33" i="37"/>
  <c r="BP34" i="37"/>
  <c r="CT34" i="37"/>
  <c r="BF35" i="37"/>
  <c r="BZ35" i="37"/>
  <c r="BF36" i="37"/>
  <c r="ER36" i="37"/>
  <c r="BP37" i="37"/>
  <c r="CJ37" i="37"/>
  <c r="EH37" i="37"/>
  <c r="BF38" i="37"/>
  <c r="BQ38" i="37"/>
  <c r="BH38" i="37" s="1"/>
  <c r="CJ38" i="37"/>
  <c r="ER38" i="37"/>
  <c r="BG39" i="37"/>
  <c r="AX39" i="37" s="1"/>
  <c r="EH39" i="37"/>
  <c r="DX40" i="37"/>
  <c r="BG41" i="37"/>
  <c r="AX41" i="37" s="1"/>
  <c r="AY41" i="37" s="1"/>
  <c r="DN41" i="37"/>
  <c r="W6" i="37"/>
  <c r="AU26" i="37"/>
  <c r="AV25" i="37"/>
  <c r="D65" i="37"/>
  <c r="W5" i="37"/>
  <c r="CB20" i="37"/>
  <c r="BG24" i="37"/>
  <c r="AX24" i="37" s="1"/>
  <c r="D21" i="37" s="1"/>
  <c r="BZ24" i="37"/>
  <c r="DN24" i="37"/>
  <c r="FB24" i="37"/>
  <c r="BQ25" i="37"/>
  <c r="BH25" i="37" s="1"/>
  <c r="E22" i="37" s="1"/>
  <c r="BG26" i="37"/>
  <c r="AX26" i="37" s="1"/>
  <c r="D23" i="37" s="1"/>
  <c r="BI26" i="37"/>
  <c r="BI28" i="37"/>
  <c r="CA38" i="37"/>
  <c r="BR38" i="37" s="1"/>
  <c r="CA39" i="37"/>
  <c r="BR39" i="37" s="1"/>
  <c r="CA40" i="37"/>
  <c r="BR40" i="37" s="1"/>
  <c r="CA37" i="37"/>
  <c r="BR37" i="37" s="1"/>
  <c r="CA35" i="37"/>
  <c r="BR35" i="37" s="1"/>
  <c r="CA31" i="37"/>
  <c r="BR31" i="37" s="1"/>
  <c r="F28" i="37" s="1"/>
  <c r="CA41" i="37"/>
  <c r="BR41" i="37" s="1"/>
  <c r="CA36" i="37"/>
  <c r="BR36" i="37" s="1"/>
  <c r="CA32" i="37"/>
  <c r="BR32" i="37" s="1"/>
  <c r="F29" i="37" s="1"/>
  <c r="CA33" i="37"/>
  <c r="BR33" i="37" s="1"/>
  <c r="CA29" i="37"/>
  <c r="BR29" i="37" s="1"/>
  <c r="F26" i="37" s="1"/>
  <c r="CA25" i="37"/>
  <c r="BR25" i="37" s="1"/>
  <c r="F22" i="37" s="1"/>
  <c r="CA34" i="37"/>
  <c r="BR34" i="37" s="1"/>
  <c r="CA30" i="37"/>
  <c r="BR30" i="37" s="1"/>
  <c r="F27" i="37" s="1"/>
  <c r="CA26" i="37"/>
  <c r="BR26" i="37" s="1"/>
  <c r="F23" i="37" s="1"/>
  <c r="CA27" i="37"/>
  <c r="BR27" i="37" s="1"/>
  <c r="F24" i="37" s="1"/>
  <c r="CA28" i="37"/>
  <c r="BR28" i="37" s="1"/>
  <c r="F25" i="37" s="1"/>
  <c r="BS20" i="37"/>
  <c r="CJ23" i="37"/>
  <c r="DX23" i="37"/>
  <c r="FL23" i="37"/>
  <c r="CA24" i="37"/>
  <c r="BR24" i="37" s="1"/>
  <c r="F21" i="37" s="1"/>
  <c r="BQ29" i="37"/>
  <c r="BH29" i="37" s="1"/>
  <c r="E26" i="37" s="1"/>
  <c r="BQ30" i="37"/>
  <c r="BH30" i="37" s="1"/>
  <c r="E27" i="37" s="1"/>
  <c r="BI31" i="37"/>
  <c r="BP27" i="37"/>
  <c r="BF28" i="37"/>
  <c r="CT30" i="37"/>
  <c r="EH30" i="37"/>
  <c r="BZ31" i="37"/>
  <c r="DN31" i="37"/>
  <c r="FB31" i="37"/>
  <c r="BQ32" i="37"/>
  <c r="BH32" i="37" s="1"/>
  <c r="E29" i="37" s="1"/>
  <c r="DD32" i="37"/>
  <c r="ER32" i="37"/>
  <c r="CJ35" i="37"/>
  <c r="DX35" i="37"/>
  <c r="FL35" i="37"/>
  <c r="BZ36" i="37"/>
  <c r="BG30" i="37"/>
  <c r="AX30" i="37" s="1"/>
  <c r="D27" i="37" s="1"/>
  <c r="BQ33" i="37"/>
  <c r="BH33" i="37" s="1"/>
  <c r="BI38" i="37"/>
  <c r="CJ30" i="37"/>
  <c r="BP33" i="37"/>
  <c r="DD33" i="37"/>
  <c r="ER33" i="37"/>
  <c r="BG34" i="37"/>
  <c r="AX34" i="37" s="1"/>
  <c r="CJ34" i="37"/>
  <c r="DX34" i="37"/>
  <c r="FL34" i="37"/>
  <c r="BQ35" i="37"/>
  <c r="BH35" i="37" s="1"/>
  <c r="BG36" i="37"/>
  <c r="AX36" i="37" s="1"/>
  <c r="DD36" i="37"/>
  <c r="BQ39" i="37"/>
  <c r="BH39" i="37" s="1"/>
  <c r="DD39" i="37"/>
  <c r="ER39" i="37"/>
  <c r="BP32" i="37"/>
  <c r="BF33" i="37"/>
  <c r="BP36" i="37"/>
  <c r="FL38" i="37"/>
  <c r="BZ39" i="37"/>
  <c r="DN39" i="37"/>
  <c r="BG40" i="37"/>
  <c r="AX40" i="37" s="1"/>
  <c r="BQ40" i="37"/>
  <c r="BH40" i="37" s="1"/>
  <c r="CT40" i="37"/>
  <c r="EH40" i="37"/>
  <c r="EH36" i="37"/>
  <c r="ER40" i="37"/>
  <c r="CJ41" i="37"/>
  <c r="CT41" i="37"/>
  <c r="DX41" i="37"/>
  <c r="FL41" i="37"/>
  <c r="BF37" i="37"/>
  <c r="BF41" i="37"/>
  <c r="BP39" i="37"/>
  <c r="BF40" i="37"/>
  <c r="FL24" i="36"/>
  <c r="FL31" i="36"/>
  <c r="FL32" i="36"/>
  <c r="FL22" i="36"/>
  <c r="FB25" i="36"/>
  <c r="FB29" i="36"/>
  <c r="ER33" i="36"/>
  <c r="DX23" i="36"/>
  <c r="DX29" i="36"/>
  <c r="DX30" i="36"/>
  <c r="DN25" i="36"/>
  <c r="DN26" i="36"/>
  <c r="DN30" i="36"/>
  <c r="DD33" i="36"/>
  <c r="CT27" i="36"/>
  <c r="CT23" i="36"/>
  <c r="BZ30" i="36"/>
  <c r="CA22" i="36"/>
  <c r="BR22" i="36" s="1"/>
  <c r="BS22" i="36" s="1"/>
  <c r="BZ22" i="36"/>
  <c r="ER22" i="36"/>
  <c r="BG23" i="36"/>
  <c r="AX23" i="36" s="1"/>
  <c r="AY23" i="36" s="1"/>
  <c r="BP23" i="36"/>
  <c r="BZ23" i="36"/>
  <c r="FL23" i="36"/>
  <c r="BG24" i="36"/>
  <c r="AX24" i="36" s="1"/>
  <c r="D21" i="36" s="1"/>
  <c r="DD24" i="36"/>
  <c r="FB24" i="36"/>
  <c r="CJ25" i="36"/>
  <c r="EH25" i="36"/>
  <c r="CT26" i="36"/>
  <c r="FB26" i="36"/>
  <c r="BG27" i="36"/>
  <c r="AX27" i="36" s="1"/>
  <c r="AY27" i="36" s="1"/>
  <c r="BQ27" i="36"/>
  <c r="BH27" i="36" s="1"/>
  <c r="E24" i="36" s="1"/>
  <c r="BZ27" i="36"/>
  <c r="FL27" i="36"/>
  <c r="BQ28" i="36"/>
  <c r="BH28" i="36" s="1"/>
  <c r="E25" i="36" s="1"/>
  <c r="DN28" i="36"/>
  <c r="CT29" i="36"/>
  <c r="DD30" i="36"/>
  <c r="FL30" i="36"/>
  <c r="EH31" i="36"/>
  <c r="CT32" i="36"/>
  <c r="DD32" i="36"/>
  <c r="CJ33" i="36"/>
  <c r="CT33" i="36"/>
  <c r="DN22" i="36"/>
  <c r="DD23" i="36"/>
  <c r="DN23" i="36"/>
  <c r="CT24" i="36"/>
  <c r="ER24" i="36"/>
  <c r="BQ25" i="36"/>
  <c r="BH25" i="36" s="1"/>
  <c r="E22" i="36" s="1"/>
  <c r="DX25" i="36"/>
  <c r="CJ26" i="36"/>
  <c r="EH26" i="36"/>
  <c r="DD27" i="36"/>
  <c r="DN27" i="36"/>
  <c r="FB27" i="36"/>
  <c r="BG28" i="36"/>
  <c r="AX28" i="36" s="1"/>
  <c r="AY28" i="36" s="1"/>
  <c r="DD28" i="36"/>
  <c r="FB28" i="36"/>
  <c r="BQ29" i="36"/>
  <c r="BH29" i="36" s="1"/>
  <c r="E26" i="36" s="1"/>
  <c r="EH29" i="36"/>
  <c r="BG30" i="36"/>
  <c r="AX30" i="36" s="1"/>
  <c r="D27" i="36" s="1"/>
  <c r="ER30" i="36"/>
  <c r="BF31" i="36"/>
  <c r="BP31" i="36"/>
  <c r="CJ32" i="36"/>
  <c r="EH32" i="36"/>
  <c r="ER32" i="36"/>
  <c r="BG33" i="36"/>
  <c r="AX33" i="36" s="1"/>
  <c r="AY33" i="36" s="1"/>
  <c r="BQ33" i="36"/>
  <c r="BH33" i="36" s="1"/>
  <c r="BI33" i="36" s="1"/>
  <c r="BZ33" i="36"/>
  <c r="DX33" i="36"/>
  <c r="EH33" i="36"/>
  <c r="BP22" i="36"/>
  <c r="FB22" i="36"/>
  <c r="CJ23" i="36"/>
  <c r="ER23" i="36"/>
  <c r="BZ24" i="36"/>
  <c r="EH24" i="36"/>
  <c r="BG25" i="36"/>
  <c r="AX25" i="36" s="1"/>
  <c r="AY25" i="36" s="1"/>
  <c r="DD25" i="36"/>
  <c r="FL25" i="36"/>
  <c r="BQ26" i="36"/>
  <c r="BH26" i="36" s="1"/>
  <c r="E23" i="36" s="1"/>
  <c r="BZ26" i="36"/>
  <c r="DX26" i="36"/>
  <c r="CJ27" i="36"/>
  <c r="ER27" i="36"/>
  <c r="CT28" i="36"/>
  <c r="ER28" i="36"/>
  <c r="BG29" i="36"/>
  <c r="AX29" i="36" s="1"/>
  <c r="D26" i="36" s="1"/>
  <c r="DN29" i="36"/>
  <c r="CJ30" i="36"/>
  <c r="DN31" i="36"/>
  <c r="BQ32" i="36"/>
  <c r="BH32" i="36" s="1"/>
  <c r="E29" i="36" s="1"/>
  <c r="DX32" i="36"/>
  <c r="BF33" i="36"/>
  <c r="DN33" i="36"/>
  <c r="FL33" i="36"/>
  <c r="D65" i="36"/>
  <c r="W5" i="36"/>
  <c r="F19" i="36"/>
  <c r="BF22" i="36"/>
  <c r="CT22" i="36"/>
  <c r="EH22" i="36"/>
  <c r="BQ23" i="36"/>
  <c r="BH23" i="36" s="1"/>
  <c r="E20" i="36" s="1"/>
  <c r="E21" i="36"/>
  <c r="D23" i="36"/>
  <c r="AY26" i="36"/>
  <c r="CK33" i="36"/>
  <c r="CB33" i="36" s="1"/>
  <c r="CK31" i="36"/>
  <c r="CB31" i="36" s="1"/>
  <c r="CK29" i="36"/>
  <c r="CB29" i="36" s="1"/>
  <c r="CK32" i="36"/>
  <c r="CB32" i="36" s="1"/>
  <c r="CK25" i="36"/>
  <c r="CB25" i="36" s="1"/>
  <c r="CK26" i="36"/>
  <c r="CB26" i="36" s="1"/>
  <c r="CK30" i="36"/>
  <c r="CB30" i="36" s="1"/>
  <c r="CK27" i="36"/>
  <c r="CB27" i="36" s="1"/>
  <c r="CK23" i="36"/>
  <c r="CB23" i="36" s="1"/>
  <c r="CK28" i="36"/>
  <c r="CB28" i="36" s="1"/>
  <c r="CK24" i="36"/>
  <c r="CB24" i="36" s="1"/>
  <c r="CK22" i="36"/>
  <c r="CB22" i="36" s="1"/>
  <c r="BQ22" i="36"/>
  <c r="BH22" i="36" s="1"/>
  <c r="FB23" i="36"/>
  <c r="AY24" i="36"/>
  <c r="AV25" i="36"/>
  <c r="AU26" i="36"/>
  <c r="W6" i="36"/>
  <c r="CA31" i="36"/>
  <c r="BR31" i="36" s="1"/>
  <c r="CA32" i="36"/>
  <c r="BR32" i="36" s="1"/>
  <c r="CA30" i="36"/>
  <c r="BR30" i="36" s="1"/>
  <c r="CA33" i="36"/>
  <c r="BR33" i="36" s="1"/>
  <c r="CA26" i="36"/>
  <c r="BR26" i="36" s="1"/>
  <c r="CA27" i="36"/>
  <c r="BR27" i="36" s="1"/>
  <c r="CA23" i="36"/>
  <c r="BR23" i="36" s="1"/>
  <c r="CA29" i="36"/>
  <c r="BR29" i="36" s="1"/>
  <c r="CA28" i="36"/>
  <c r="BR28" i="36" s="1"/>
  <c r="CA24" i="36"/>
  <c r="BR24" i="36" s="1"/>
  <c r="CA25" i="36"/>
  <c r="BR25" i="36" s="1"/>
  <c r="CL20" i="36"/>
  <c r="BG22" i="36"/>
  <c r="AX22" i="36" s="1"/>
  <c r="D22" i="36"/>
  <c r="BP25" i="36"/>
  <c r="BF26" i="36"/>
  <c r="BP24" i="36"/>
  <c r="BF25" i="36"/>
  <c r="BP28" i="36"/>
  <c r="BF29" i="36"/>
  <c r="D28" i="36"/>
  <c r="AY31" i="36"/>
  <c r="E28" i="36"/>
  <c r="BF24" i="36"/>
  <c r="BP27" i="36"/>
  <c r="BF28" i="36"/>
  <c r="BZ29" i="36"/>
  <c r="DD29" i="36"/>
  <c r="ER29" i="36"/>
  <c r="BF30" i="36"/>
  <c r="CT30" i="36"/>
  <c r="EH30" i="36"/>
  <c r="FB31" i="36"/>
  <c r="BG32" i="36"/>
  <c r="AX32" i="36" s="1"/>
  <c r="BQ30" i="36"/>
  <c r="BH30" i="36" s="1"/>
  <c r="BZ31" i="36"/>
  <c r="DD31" i="36"/>
  <c r="ER31" i="36"/>
  <c r="BF32" i="36"/>
  <c r="V66" i="35"/>
  <c r="W66" i="35" s="1"/>
  <c r="X66" i="35" s="1"/>
  <c r="Y66" i="35" s="1"/>
  <c r="U66" i="35"/>
  <c r="U65" i="35"/>
  <c r="V65" i="35" s="1"/>
  <c r="W65" i="35" s="1"/>
  <c r="X65" i="35" s="1"/>
  <c r="Y65" i="35" s="1"/>
  <c r="U64" i="35"/>
  <c r="V64" i="35" s="1"/>
  <c r="W64" i="35" s="1"/>
  <c r="X64" i="35" s="1"/>
  <c r="Y64" i="35" s="1"/>
  <c r="U63" i="35"/>
  <c r="V63" i="35" s="1"/>
  <c r="W63" i="35" s="1"/>
  <c r="X63" i="35" s="1"/>
  <c r="Y63" i="35" s="1"/>
  <c r="U62" i="35"/>
  <c r="V62" i="35" s="1"/>
  <c r="W62" i="35" s="1"/>
  <c r="X62" i="35" s="1"/>
  <c r="Y62" i="35" s="1"/>
  <c r="U61" i="35"/>
  <c r="V61" i="35" s="1"/>
  <c r="W61" i="35" s="1"/>
  <c r="X61" i="35" s="1"/>
  <c r="Y61" i="35" s="1"/>
  <c r="U60" i="35"/>
  <c r="V60" i="35" s="1"/>
  <c r="W60" i="35" s="1"/>
  <c r="X60" i="35" s="1"/>
  <c r="Y60" i="35" s="1"/>
  <c r="U59" i="35"/>
  <c r="V59" i="35" s="1"/>
  <c r="W59" i="35" s="1"/>
  <c r="X59" i="35" s="1"/>
  <c r="Y59" i="35" s="1"/>
  <c r="U58" i="35"/>
  <c r="V58" i="35" s="1"/>
  <c r="W58" i="35" s="1"/>
  <c r="X58" i="35" s="1"/>
  <c r="Y58" i="35" s="1"/>
  <c r="U57" i="35"/>
  <c r="V57" i="35" s="1"/>
  <c r="W57" i="35" s="1"/>
  <c r="X57" i="35" s="1"/>
  <c r="Y57" i="35" s="1"/>
  <c r="W56" i="35"/>
  <c r="X56" i="35" s="1"/>
  <c r="Y56" i="35" s="1"/>
  <c r="U55" i="35"/>
  <c r="V55" i="35" s="1"/>
  <c r="W55" i="35" s="1"/>
  <c r="X55" i="35" s="1"/>
  <c r="Y55" i="35" s="1"/>
  <c r="U54" i="35"/>
  <c r="V54" i="35" s="1"/>
  <c r="W54" i="35" s="1"/>
  <c r="X54" i="35" s="1"/>
  <c r="Y54" i="35" s="1"/>
  <c r="U53" i="35"/>
  <c r="V53" i="35" s="1"/>
  <c r="W53" i="35" s="1"/>
  <c r="X53" i="35" s="1"/>
  <c r="Y53" i="35" s="1"/>
  <c r="U52" i="35"/>
  <c r="V52" i="35" s="1"/>
  <c r="W52" i="35" s="1"/>
  <c r="X52" i="35" s="1"/>
  <c r="Y52" i="35" s="1"/>
  <c r="U51" i="35"/>
  <c r="V51" i="35" s="1"/>
  <c r="W51" i="35" s="1"/>
  <c r="X51" i="35" s="1"/>
  <c r="Y51" i="35" s="1"/>
  <c r="W50" i="35"/>
  <c r="X50" i="35" s="1"/>
  <c r="Y50" i="35" s="1"/>
  <c r="U49" i="35"/>
  <c r="V49" i="35" s="1"/>
  <c r="W49" i="35" s="1"/>
  <c r="X49" i="35" s="1"/>
  <c r="Y49" i="35" s="1"/>
  <c r="U48" i="35"/>
  <c r="V48" i="35" s="1"/>
  <c r="W48" i="35" s="1"/>
  <c r="X48" i="35" s="1"/>
  <c r="Y48" i="35" s="1"/>
  <c r="O49" i="35"/>
  <c r="O50" i="35" s="1"/>
  <c r="O51" i="35" s="1"/>
  <c r="O52" i="35" s="1"/>
  <c r="O53" i="35" s="1"/>
  <c r="O54" i="35" s="1"/>
  <c r="O55" i="35" s="1"/>
  <c r="O56" i="35" s="1"/>
  <c r="O57" i="35" s="1"/>
  <c r="O58" i="35" s="1"/>
  <c r="O59" i="35" s="1"/>
  <c r="O60" i="35" s="1"/>
  <c r="O61" i="35" s="1"/>
  <c r="O62" i="35" s="1"/>
  <c r="O63" i="35" s="1"/>
  <c r="O64" i="35" s="1"/>
  <c r="O65" i="35" s="1"/>
  <c r="O66" i="35" s="1"/>
  <c r="B21" i="35"/>
  <c r="B22" i="35" s="1"/>
  <c r="B23" i="35" s="1"/>
  <c r="B24" i="35" s="1"/>
  <c r="B25" i="35" s="1"/>
  <c r="B26" i="35" s="1"/>
  <c r="B27" i="35" s="1"/>
  <c r="B28" i="35" s="1"/>
  <c r="B29" i="35" s="1"/>
  <c r="B30" i="35" s="1"/>
  <c r="B31" i="35" s="1"/>
  <c r="B32" i="35" s="1"/>
  <c r="B33" i="35" s="1"/>
  <c r="B34" i="35" s="1"/>
  <c r="B35" i="35" s="1"/>
  <c r="B36" i="35" s="1"/>
  <c r="B37" i="35" s="1"/>
  <c r="B38" i="35" s="1"/>
  <c r="S45" i="35"/>
  <c r="T45" i="35" s="1"/>
  <c r="U45" i="35" s="1"/>
  <c r="V45" i="35" s="1"/>
  <c r="W45" i="35" s="1"/>
  <c r="X45" i="35" s="1"/>
  <c r="Y45" i="35" s="1"/>
  <c r="Z45" i="35" s="1"/>
  <c r="AA45" i="35" s="1"/>
  <c r="AB45" i="35" s="1"/>
  <c r="AC45" i="35" s="1"/>
  <c r="AD45" i="35" s="1"/>
  <c r="AE45" i="35" s="1"/>
  <c r="AF45" i="35" s="1"/>
  <c r="AG45" i="35" s="1"/>
  <c r="AH45" i="35" s="1"/>
  <c r="AI45" i="35" s="1"/>
  <c r="AJ45" i="35" s="1"/>
  <c r="F17" i="35"/>
  <c r="G17" i="35" s="1"/>
  <c r="H17" i="35" s="1"/>
  <c r="I17" i="35" s="1"/>
  <c r="EQ41" i="35"/>
  <c r="EO41" i="35"/>
  <c r="EM41" i="35"/>
  <c r="EG41" i="35"/>
  <c r="EE41" i="35"/>
  <c r="EC41" i="35"/>
  <c r="DW41" i="35"/>
  <c r="DU41" i="35"/>
  <c r="DS41" i="35"/>
  <c r="DM41" i="35"/>
  <c r="DK41" i="35"/>
  <c r="DI41" i="35"/>
  <c r="DC41" i="35"/>
  <c r="DA41" i="35"/>
  <c r="CY41" i="35"/>
  <c r="CS41" i="35"/>
  <c r="CQ41" i="35"/>
  <c r="CO41" i="35"/>
  <c r="CI41" i="35"/>
  <c r="CG41" i="35"/>
  <c r="CE41" i="35"/>
  <c r="BY41" i="35"/>
  <c r="BW41" i="35"/>
  <c r="BU41" i="35"/>
  <c r="BO41" i="35"/>
  <c r="BM41" i="35"/>
  <c r="BK41" i="35"/>
  <c r="BE41" i="35"/>
  <c r="BC41" i="35"/>
  <c r="BA41" i="35"/>
  <c r="EQ40" i="35"/>
  <c r="EO40" i="35"/>
  <c r="EM40" i="35"/>
  <c r="EG40" i="35"/>
  <c r="EE40" i="35"/>
  <c r="EC40" i="35"/>
  <c r="DW40" i="35"/>
  <c r="DU40" i="35"/>
  <c r="DS40" i="35"/>
  <c r="DM40" i="35"/>
  <c r="DK40" i="35"/>
  <c r="DI40" i="35"/>
  <c r="DC40" i="35"/>
  <c r="DA40" i="35"/>
  <c r="CY40" i="35"/>
  <c r="CS40" i="35"/>
  <c r="CQ40" i="35"/>
  <c r="CO40" i="35"/>
  <c r="CI40" i="35"/>
  <c r="CG40" i="35"/>
  <c r="CE40" i="35"/>
  <c r="BY40" i="35"/>
  <c r="BW40" i="35"/>
  <c r="BU40" i="35"/>
  <c r="BO40" i="35"/>
  <c r="BM40" i="35"/>
  <c r="BK40" i="35"/>
  <c r="BE40" i="35"/>
  <c r="BC40" i="35"/>
  <c r="BA40" i="35"/>
  <c r="EQ39" i="35"/>
  <c r="EO39" i="35"/>
  <c r="EM39" i="35"/>
  <c r="EG39" i="35"/>
  <c r="EE39" i="35"/>
  <c r="EC39" i="35"/>
  <c r="DW39" i="35"/>
  <c r="DU39" i="35"/>
  <c r="DS39" i="35"/>
  <c r="DM39" i="35"/>
  <c r="DK39" i="35"/>
  <c r="DI39" i="35"/>
  <c r="DC39" i="35"/>
  <c r="DA39" i="35"/>
  <c r="CY39" i="35"/>
  <c r="CS39" i="35"/>
  <c r="CQ39" i="35"/>
  <c r="CO39" i="35"/>
  <c r="CI39" i="35"/>
  <c r="CG39" i="35"/>
  <c r="CE39" i="35"/>
  <c r="BY39" i="35"/>
  <c r="BW39" i="35"/>
  <c r="BU39" i="35"/>
  <c r="BO39" i="35"/>
  <c r="BM39" i="35"/>
  <c r="BK39" i="35"/>
  <c r="BE39" i="35"/>
  <c r="BC39" i="35"/>
  <c r="BG39" i="35" s="1"/>
  <c r="AX39" i="35" s="1"/>
  <c r="BA39" i="35"/>
  <c r="EQ38" i="35"/>
  <c r="EO38" i="35"/>
  <c r="EM38" i="35"/>
  <c r="EG38" i="35"/>
  <c r="EE38" i="35"/>
  <c r="EC38" i="35"/>
  <c r="DW38" i="35"/>
  <c r="DU38" i="35"/>
  <c r="DS38" i="35"/>
  <c r="DM38" i="35"/>
  <c r="DK38" i="35"/>
  <c r="DI38" i="35"/>
  <c r="DC38" i="35"/>
  <c r="DA38" i="35"/>
  <c r="CY38" i="35"/>
  <c r="CS38" i="35"/>
  <c r="CQ38" i="35"/>
  <c r="CO38" i="35"/>
  <c r="CI38" i="35"/>
  <c r="CG38" i="35"/>
  <c r="CE38" i="35"/>
  <c r="BY38" i="35"/>
  <c r="BW38" i="35"/>
  <c r="BU38" i="35"/>
  <c r="BO38" i="35"/>
  <c r="BM38" i="35"/>
  <c r="BK38" i="35"/>
  <c r="BE38" i="35"/>
  <c r="BC38" i="35"/>
  <c r="BA38" i="35"/>
  <c r="EQ37" i="35"/>
  <c r="EO37" i="35"/>
  <c r="EM37" i="35"/>
  <c r="EG37" i="35"/>
  <c r="EE37" i="35"/>
  <c r="EC37" i="35"/>
  <c r="DW37" i="35"/>
  <c r="DU37" i="35"/>
  <c r="DS37" i="35"/>
  <c r="DM37" i="35"/>
  <c r="DK37" i="35"/>
  <c r="DI37" i="35"/>
  <c r="DC37" i="35"/>
  <c r="DA37" i="35"/>
  <c r="CY37" i="35"/>
  <c r="CS37" i="35"/>
  <c r="CQ37" i="35"/>
  <c r="CO37" i="35"/>
  <c r="CI37" i="35"/>
  <c r="CG37" i="35"/>
  <c r="CE37" i="35"/>
  <c r="BY37" i="35"/>
  <c r="BW37" i="35"/>
  <c r="BU37" i="35"/>
  <c r="BO37" i="35"/>
  <c r="BM37" i="35"/>
  <c r="BK37" i="35"/>
  <c r="BE37" i="35"/>
  <c r="BC37" i="35"/>
  <c r="BA37" i="35"/>
  <c r="EQ36" i="35"/>
  <c r="EO36" i="35"/>
  <c r="EM36" i="35"/>
  <c r="EG36" i="35"/>
  <c r="EE36" i="35"/>
  <c r="EC36" i="35"/>
  <c r="DW36" i="35"/>
  <c r="DU36" i="35"/>
  <c r="DS36" i="35"/>
  <c r="DM36" i="35"/>
  <c r="DK36" i="35"/>
  <c r="DI36" i="35"/>
  <c r="DC36" i="35"/>
  <c r="DA36" i="35"/>
  <c r="CY36" i="35"/>
  <c r="CS36" i="35"/>
  <c r="CQ36" i="35"/>
  <c r="CO36" i="35"/>
  <c r="CI36" i="35"/>
  <c r="CG36" i="35"/>
  <c r="CE36" i="35"/>
  <c r="BY36" i="35"/>
  <c r="BW36" i="35"/>
  <c r="BU36" i="35"/>
  <c r="BO36" i="35"/>
  <c r="BM36" i="35"/>
  <c r="BK36" i="35"/>
  <c r="BE36" i="35"/>
  <c r="BC36" i="35"/>
  <c r="BA36" i="35"/>
  <c r="EQ35" i="35"/>
  <c r="EO35" i="35"/>
  <c r="EM35" i="35"/>
  <c r="EG35" i="35"/>
  <c r="EE35" i="35"/>
  <c r="EC35" i="35"/>
  <c r="DW35" i="35"/>
  <c r="DU35" i="35"/>
  <c r="DS35" i="35"/>
  <c r="DM35" i="35"/>
  <c r="DK35" i="35"/>
  <c r="DI35" i="35"/>
  <c r="DC35" i="35"/>
  <c r="DA35" i="35"/>
  <c r="CY35" i="35"/>
  <c r="CS35" i="35"/>
  <c r="CQ35" i="35"/>
  <c r="CO35" i="35"/>
  <c r="CI35" i="35"/>
  <c r="CG35" i="35"/>
  <c r="CE35" i="35"/>
  <c r="BY35" i="35"/>
  <c r="BW35" i="35"/>
  <c r="BU35" i="35"/>
  <c r="BO35" i="35"/>
  <c r="BM35" i="35"/>
  <c r="BK35" i="35"/>
  <c r="BE35" i="35"/>
  <c r="BC35" i="35"/>
  <c r="BA35" i="35"/>
  <c r="EQ34" i="35"/>
  <c r="EO34" i="35"/>
  <c r="EM34" i="35"/>
  <c r="EG34" i="35"/>
  <c r="EE34" i="35"/>
  <c r="EC34" i="35"/>
  <c r="DW34" i="35"/>
  <c r="DU34" i="35"/>
  <c r="DS34" i="35"/>
  <c r="DM34" i="35"/>
  <c r="DK34" i="35"/>
  <c r="DI34" i="35"/>
  <c r="DC34" i="35"/>
  <c r="DA34" i="35"/>
  <c r="CY34" i="35"/>
  <c r="DD34" i="35" s="1"/>
  <c r="CS34" i="35"/>
  <c r="CQ34" i="35"/>
  <c r="CO34" i="35"/>
  <c r="CI34" i="35"/>
  <c r="CG34" i="35"/>
  <c r="CE34" i="35"/>
  <c r="BY34" i="35"/>
  <c r="BW34" i="35"/>
  <c r="BU34" i="35"/>
  <c r="BO34" i="35"/>
  <c r="BM34" i="35"/>
  <c r="BK34" i="35"/>
  <c r="BE34" i="35"/>
  <c r="BC34" i="35"/>
  <c r="BA34" i="35"/>
  <c r="ER33" i="35"/>
  <c r="EQ33" i="35"/>
  <c r="EO33" i="35"/>
  <c r="EM33" i="35"/>
  <c r="EG33" i="35"/>
  <c r="EE33" i="35"/>
  <c r="EC33" i="35"/>
  <c r="DW33" i="35"/>
  <c r="DU33" i="35"/>
  <c r="DS33" i="35"/>
  <c r="DM33" i="35"/>
  <c r="DK33" i="35"/>
  <c r="DI33" i="35"/>
  <c r="DC33" i="35"/>
  <c r="DA33" i="35"/>
  <c r="CY33" i="35"/>
  <c r="CS33" i="35"/>
  <c r="CQ33" i="35"/>
  <c r="CO33" i="35"/>
  <c r="CI33" i="35"/>
  <c r="CG33" i="35"/>
  <c r="CE33" i="35"/>
  <c r="BY33" i="35"/>
  <c r="BW33" i="35"/>
  <c r="BU33" i="35"/>
  <c r="BO33" i="35"/>
  <c r="BM33" i="35"/>
  <c r="BK33" i="35"/>
  <c r="BE33" i="35"/>
  <c r="BC33" i="35"/>
  <c r="BA33" i="35"/>
  <c r="EQ32" i="35"/>
  <c r="EO32" i="35"/>
  <c r="EM32" i="35"/>
  <c r="EG32" i="35"/>
  <c r="EE32" i="35"/>
  <c r="EC32" i="35"/>
  <c r="DW32" i="35"/>
  <c r="DU32" i="35"/>
  <c r="DS32" i="35"/>
  <c r="DM32" i="35"/>
  <c r="DK32" i="35"/>
  <c r="DI32" i="35"/>
  <c r="DC32" i="35"/>
  <c r="DA32" i="35"/>
  <c r="CY32" i="35"/>
  <c r="CS32" i="35"/>
  <c r="CQ32" i="35"/>
  <c r="CO32" i="35"/>
  <c r="CI32" i="35"/>
  <c r="CG32" i="35"/>
  <c r="CE32" i="35"/>
  <c r="BY32" i="35"/>
  <c r="BW32" i="35"/>
  <c r="BU32" i="35"/>
  <c r="BO32" i="35"/>
  <c r="BM32" i="35"/>
  <c r="BK32" i="35"/>
  <c r="BE32" i="35"/>
  <c r="BC32" i="35"/>
  <c r="BA32" i="35"/>
  <c r="EQ31" i="35"/>
  <c r="EO31" i="35"/>
  <c r="EM31" i="35"/>
  <c r="EG31" i="35"/>
  <c r="EE31" i="35"/>
  <c r="EC31" i="35"/>
  <c r="DW31" i="35"/>
  <c r="DU31" i="35"/>
  <c r="DS31" i="35"/>
  <c r="DM31" i="35"/>
  <c r="DK31" i="35"/>
  <c r="DI31" i="35"/>
  <c r="DC31" i="35"/>
  <c r="DA31" i="35"/>
  <c r="CY31" i="35"/>
  <c r="CS31" i="35"/>
  <c r="CQ31" i="35"/>
  <c r="CO31" i="35"/>
  <c r="CI31" i="35"/>
  <c r="CG31" i="35"/>
  <c r="CE31" i="35"/>
  <c r="BY31" i="35"/>
  <c r="BW31" i="35"/>
  <c r="BU31" i="35"/>
  <c r="BO31" i="35"/>
  <c r="BM31" i="35"/>
  <c r="BK31" i="35"/>
  <c r="BE31" i="35"/>
  <c r="BC31" i="35"/>
  <c r="BA31" i="35"/>
  <c r="EQ30" i="35"/>
  <c r="EO30" i="35"/>
  <c r="EM30" i="35"/>
  <c r="EG30" i="35"/>
  <c r="EE30" i="35"/>
  <c r="EC30" i="35"/>
  <c r="EH30" i="35" s="1"/>
  <c r="DW30" i="35"/>
  <c r="DU30" i="35"/>
  <c r="DS30" i="35"/>
  <c r="DM30" i="35"/>
  <c r="DK30" i="35"/>
  <c r="DI30" i="35"/>
  <c r="DC30" i="35"/>
  <c r="DA30" i="35"/>
  <c r="CY30" i="35"/>
  <c r="CS30" i="35"/>
  <c r="CQ30" i="35"/>
  <c r="CO30" i="35"/>
  <c r="CI30" i="35"/>
  <c r="CG30" i="35"/>
  <c r="CE30" i="35"/>
  <c r="BY30" i="35"/>
  <c r="BW30" i="35"/>
  <c r="BU30" i="35"/>
  <c r="BO30" i="35"/>
  <c r="BM30" i="35"/>
  <c r="BK30" i="35"/>
  <c r="BE30" i="35"/>
  <c r="BC30" i="35"/>
  <c r="BA30" i="35"/>
  <c r="BF30" i="35" s="1"/>
  <c r="EQ29" i="35"/>
  <c r="EO29" i="35"/>
  <c r="EM29" i="35"/>
  <c r="EG29" i="35"/>
  <c r="EE29" i="35"/>
  <c r="EC29" i="35"/>
  <c r="DW29" i="35"/>
  <c r="DU29" i="35"/>
  <c r="DS29" i="35"/>
  <c r="DM29" i="35"/>
  <c r="DK29" i="35"/>
  <c r="DI29" i="35"/>
  <c r="DC29" i="35"/>
  <c r="DA29" i="35"/>
  <c r="CY29" i="35"/>
  <c r="CS29" i="35"/>
  <c r="CQ29" i="35"/>
  <c r="CO29" i="35"/>
  <c r="CI29" i="35"/>
  <c r="CG29" i="35"/>
  <c r="CE29" i="35"/>
  <c r="BY29" i="35"/>
  <c r="BW29" i="35"/>
  <c r="BU29" i="35"/>
  <c r="BO29" i="35"/>
  <c r="BM29" i="35"/>
  <c r="BK29" i="35"/>
  <c r="BE29" i="35"/>
  <c r="BC29" i="35"/>
  <c r="BA29" i="35"/>
  <c r="EQ28" i="35"/>
  <c r="EO28" i="35"/>
  <c r="EM28" i="35"/>
  <c r="EG28" i="35"/>
  <c r="EE28" i="35"/>
  <c r="EC28" i="35"/>
  <c r="DW28" i="35"/>
  <c r="DU28" i="35"/>
  <c r="DS28" i="35"/>
  <c r="DM28" i="35"/>
  <c r="DK28" i="35"/>
  <c r="DI28" i="35"/>
  <c r="DC28" i="35"/>
  <c r="DA28" i="35"/>
  <c r="CY28" i="35"/>
  <c r="CS28" i="35"/>
  <c r="CQ28" i="35"/>
  <c r="CO28" i="35"/>
  <c r="CI28" i="35"/>
  <c r="CG28" i="35"/>
  <c r="CE28" i="35"/>
  <c r="BY28" i="35"/>
  <c r="BW28" i="35"/>
  <c r="BU28" i="35"/>
  <c r="BO28" i="35"/>
  <c r="BM28" i="35"/>
  <c r="BK28" i="35"/>
  <c r="BE28" i="35"/>
  <c r="BC28" i="35"/>
  <c r="BA28" i="35"/>
  <c r="EQ27" i="35"/>
  <c r="EO27" i="35"/>
  <c r="EM27" i="35"/>
  <c r="EG27" i="35"/>
  <c r="EE27" i="35"/>
  <c r="EC27" i="35"/>
  <c r="DW27" i="35"/>
  <c r="DU27" i="35"/>
  <c r="DS27" i="35"/>
  <c r="DM27" i="35"/>
  <c r="DK27" i="35"/>
  <c r="DI27" i="35"/>
  <c r="DC27" i="35"/>
  <c r="DA27" i="35"/>
  <c r="CY27" i="35"/>
  <c r="CS27" i="35"/>
  <c r="CQ27" i="35"/>
  <c r="CO27" i="35"/>
  <c r="CI27" i="35"/>
  <c r="CG27" i="35"/>
  <c r="CE27" i="35"/>
  <c r="BY27" i="35"/>
  <c r="BW27" i="35"/>
  <c r="BU27" i="35"/>
  <c r="BO27" i="35"/>
  <c r="BM27" i="35"/>
  <c r="BK27" i="35"/>
  <c r="BE27" i="35"/>
  <c r="BC27" i="35"/>
  <c r="BA27" i="35"/>
  <c r="EQ26" i="35"/>
  <c r="EO26" i="35"/>
  <c r="EM26" i="35"/>
  <c r="EG26" i="35"/>
  <c r="EE26" i="35"/>
  <c r="EC26" i="35"/>
  <c r="DW26" i="35"/>
  <c r="DU26" i="35"/>
  <c r="DS26" i="35"/>
  <c r="DM26" i="35"/>
  <c r="DK26" i="35"/>
  <c r="DI26" i="35"/>
  <c r="DC26" i="35"/>
  <c r="DA26" i="35"/>
  <c r="CY26" i="35"/>
  <c r="CS26" i="35"/>
  <c r="CQ26" i="35"/>
  <c r="CO26" i="35"/>
  <c r="CI26" i="35"/>
  <c r="CG26" i="35"/>
  <c r="CE26" i="35"/>
  <c r="BY26" i="35"/>
  <c r="BW26" i="35"/>
  <c r="BU26" i="35"/>
  <c r="BO26" i="35"/>
  <c r="BM26" i="35"/>
  <c r="BK26" i="35"/>
  <c r="BE26" i="35"/>
  <c r="BC26" i="35"/>
  <c r="BA26" i="35"/>
  <c r="EQ25" i="35"/>
  <c r="EO25" i="35"/>
  <c r="EM25" i="35"/>
  <c r="EG25" i="35"/>
  <c r="EE25" i="35"/>
  <c r="EC25" i="35"/>
  <c r="DW25" i="35"/>
  <c r="DU25" i="35"/>
  <c r="DS25" i="35"/>
  <c r="DM25" i="35"/>
  <c r="DK25" i="35"/>
  <c r="DI25" i="35"/>
  <c r="DC25" i="35"/>
  <c r="DA25" i="35"/>
  <c r="CY25" i="35"/>
  <c r="CS25" i="35"/>
  <c r="CQ25" i="35"/>
  <c r="CO25" i="35"/>
  <c r="CI25" i="35"/>
  <c r="CG25" i="35"/>
  <c r="CE25" i="35"/>
  <c r="BY25" i="35"/>
  <c r="BW25" i="35"/>
  <c r="BU25" i="35"/>
  <c r="BO25" i="35"/>
  <c r="BM25" i="35"/>
  <c r="BK25" i="35"/>
  <c r="BE25" i="35"/>
  <c r="BC25" i="35"/>
  <c r="BA25" i="35"/>
  <c r="EQ24" i="35"/>
  <c r="EO24" i="35"/>
  <c r="EM24" i="35"/>
  <c r="EG24" i="35"/>
  <c r="EE24" i="35"/>
  <c r="EC24" i="35"/>
  <c r="DW24" i="35"/>
  <c r="DU24" i="35"/>
  <c r="DS24" i="35"/>
  <c r="DM24" i="35"/>
  <c r="DK24" i="35"/>
  <c r="DI24" i="35"/>
  <c r="DC24" i="35"/>
  <c r="DA24" i="35"/>
  <c r="CY24" i="35"/>
  <c r="CS24" i="35"/>
  <c r="CQ24" i="35"/>
  <c r="CO24" i="35"/>
  <c r="CI24" i="35"/>
  <c r="CG24" i="35"/>
  <c r="CE24" i="35"/>
  <c r="BY24" i="35"/>
  <c r="BW24" i="35"/>
  <c r="BU24" i="35"/>
  <c r="BO24" i="35"/>
  <c r="BM24" i="35"/>
  <c r="BK24" i="35"/>
  <c r="BE24" i="35"/>
  <c r="BC24" i="35"/>
  <c r="BA24" i="35"/>
  <c r="AW24" i="35"/>
  <c r="AW25" i="35" s="1"/>
  <c r="AW26" i="35" s="1"/>
  <c r="AW27" i="35" s="1"/>
  <c r="AW28" i="35" s="1"/>
  <c r="AW29" i="35" s="1"/>
  <c r="AW30" i="35" s="1"/>
  <c r="AW31" i="35" s="1"/>
  <c r="AW32" i="35" s="1"/>
  <c r="AW33" i="35" s="1"/>
  <c r="AW34" i="35" s="1"/>
  <c r="AW35" i="35" s="1"/>
  <c r="AW36" i="35" s="1"/>
  <c r="AW37" i="35" s="1"/>
  <c r="AW38" i="35" s="1"/>
  <c r="AW39" i="35" s="1"/>
  <c r="AW40" i="35" s="1"/>
  <c r="AW41" i="35" s="1"/>
  <c r="AV24" i="35"/>
  <c r="AU24" i="35"/>
  <c r="EQ23" i="35"/>
  <c r="EO23" i="35"/>
  <c r="EM23" i="35"/>
  <c r="EG23" i="35"/>
  <c r="EE23" i="35"/>
  <c r="EC23" i="35"/>
  <c r="DW23" i="35"/>
  <c r="DU23" i="35"/>
  <c r="DS23" i="35"/>
  <c r="DM23" i="35"/>
  <c r="DK23" i="35"/>
  <c r="DI23" i="35"/>
  <c r="DC23" i="35"/>
  <c r="DA23" i="35"/>
  <c r="CY23" i="35"/>
  <c r="CS23" i="35"/>
  <c r="CQ23" i="35"/>
  <c r="CO23" i="35"/>
  <c r="CI23" i="35"/>
  <c r="CG23" i="35"/>
  <c r="CE23" i="35"/>
  <c r="BY23" i="35"/>
  <c r="BW23" i="35"/>
  <c r="BU23" i="35"/>
  <c r="BO23" i="35"/>
  <c r="BM23" i="35"/>
  <c r="BK23" i="35"/>
  <c r="BE23" i="35"/>
  <c r="BC23" i="35"/>
  <c r="BA23" i="35"/>
  <c r="AV23" i="35"/>
  <c r="EQ22" i="35"/>
  <c r="EO22" i="35"/>
  <c r="EM22" i="35"/>
  <c r="EG22" i="35"/>
  <c r="EE22" i="35"/>
  <c r="EC22" i="35"/>
  <c r="DW22" i="35"/>
  <c r="DU22" i="35"/>
  <c r="DS22" i="35"/>
  <c r="DM22" i="35"/>
  <c r="DK22" i="35"/>
  <c r="DI22" i="35"/>
  <c r="DC22" i="35"/>
  <c r="DA22" i="35"/>
  <c r="CY22" i="35"/>
  <c r="CS22" i="35"/>
  <c r="CQ22" i="35"/>
  <c r="CO22" i="35"/>
  <c r="CI22" i="35"/>
  <c r="CG22" i="35"/>
  <c r="CE22" i="35"/>
  <c r="BY22" i="35"/>
  <c r="BW22" i="35"/>
  <c r="BU22" i="35"/>
  <c r="BO22" i="35"/>
  <c r="BM22" i="35"/>
  <c r="BK22" i="35"/>
  <c r="BE22" i="35"/>
  <c r="BC22" i="35"/>
  <c r="BA22" i="35"/>
  <c r="AV22" i="35"/>
  <c r="BJ21" i="35"/>
  <c r="BK21" i="35" s="1"/>
  <c r="BL21" i="35" s="1"/>
  <c r="BM21" i="35" s="1"/>
  <c r="BN21" i="35" s="1"/>
  <c r="BO21" i="35" s="1"/>
  <c r="BP21" i="35" s="1"/>
  <c r="BQ21" i="35" s="1"/>
  <c r="BR21" i="35" s="1"/>
  <c r="BS21" i="35" s="1"/>
  <c r="BT21" i="35" s="1"/>
  <c r="BU21" i="35" s="1"/>
  <c r="BV21" i="35" s="1"/>
  <c r="BW21" i="35" s="1"/>
  <c r="BX21" i="35" s="1"/>
  <c r="BY21" i="35" s="1"/>
  <c r="BZ21" i="35" s="1"/>
  <c r="CA21" i="35" s="1"/>
  <c r="CB21" i="35" s="1"/>
  <c r="CC21" i="35" s="1"/>
  <c r="CD21" i="35" s="1"/>
  <c r="CE21" i="35" s="1"/>
  <c r="CF21" i="35" s="1"/>
  <c r="CG21" i="35" s="1"/>
  <c r="CH21" i="35" s="1"/>
  <c r="CI21" i="35" s="1"/>
  <c r="CJ21" i="35" s="1"/>
  <c r="CK21" i="35" s="1"/>
  <c r="CL21" i="35" s="1"/>
  <c r="CM21" i="35" s="1"/>
  <c r="CN21" i="35" s="1"/>
  <c r="CO21" i="35" s="1"/>
  <c r="CP21" i="35" s="1"/>
  <c r="CQ21" i="35" s="1"/>
  <c r="CR21" i="35" s="1"/>
  <c r="CS21" i="35" s="1"/>
  <c r="CT21" i="35" s="1"/>
  <c r="CU21" i="35" s="1"/>
  <c r="CV21" i="35" s="1"/>
  <c r="CW21" i="35" s="1"/>
  <c r="CX21" i="35" s="1"/>
  <c r="CY21" i="35" s="1"/>
  <c r="CZ21" i="35" s="1"/>
  <c r="DA21" i="35" s="1"/>
  <c r="DB21" i="35" s="1"/>
  <c r="DC21" i="35" s="1"/>
  <c r="DD21" i="35" s="1"/>
  <c r="DE21" i="35" s="1"/>
  <c r="DF21" i="35" s="1"/>
  <c r="DG21" i="35" s="1"/>
  <c r="DH21" i="35" s="1"/>
  <c r="DI21" i="35" s="1"/>
  <c r="DJ21" i="35" s="1"/>
  <c r="DK21" i="35" s="1"/>
  <c r="DL21" i="35" s="1"/>
  <c r="DM21" i="35" s="1"/>
  <c r="DN21" i="35" s="1"/>
  <c r="DO21" i="35" s="1"/>
  <c r="DP21" i="35" s="1"/>
  <c r="DQ21" i="35" s="1"/>
  <c r="DR21" i="35" s="1"/>
  <c r="DS21" i="35" s="1"/>
  <c r="DT21" i="35" s="1"/>
  <c r="DU21" i="35" s="1"/>
  <c r="DV21" i="35" s="1"/>
  <c r="DW21" i="35" s="1"/>
  <c r="DX21" i="35" s="1"/>
  <c r="DY21" i="35" s="1"/>
  <c r="DZ21" i="35" s="1"/>
  <c r="EA21" i="35" s="1"/>
  <c r="EB21" i="35" s="1"/>
  <c r="EC21" i="35" s="1"/>
  <c r="ED21" i="35" s="1"/>
  <c r="EE21" i="35" s="1"/>
  <c r="EF21" i="35" s="1"/>
  <c r="EG21" i="35" s="1"/>
  <c r="EH21" i="35" s="1"/>
  <c r="EI21" i="35" s="1"/>
  <c r="EJ21" i="35" s="1"/>
  <c r="EK21" i="35" s="1"/>
  <c r="EL21" i="35" s="1"/>
  <c r="EM21" i="35" s="1"/>
  <c r="EN21" i="35" s="1"/>
  <c r="EO21" i="35" s="1"/>
  <c r="EP21" i="35" s="1"/>
  <c r="EQ21" i="35" s="1"/>
  <c r="ER21" i="35" s="1"/>
  <c r="ES21" i="35" s="1"/>
  <c r="ET21" i="35" s="1"/>
  <c r="EU21" i="35" s="1"/>
  <c r="EV21" i="35" s="1"/>
  <c r="EW21" i="35" s="1"/>
  <c r="EX21" i="35" s="1"/>
  <c r="EY21" i="35" s="1"/>
  <c r="EZ21" i="35" s="1"/>
  <c r="FA21" i="35" s="1"/>
  <c r="FB21" i="35" s="1"/>
  <c r="FC21" i="35" s="1"/>
  <c r="FD21" i="35" s="1"/>
  <c r="FE21" i="35" s="1"/>
  <c r="FF21" i="35" s="1"/>
  <c r="FG21" i="35" s="1"/>
  <c r="FH21" i="35" s="1"/>
  <c r="FI21" i="35" s="1"/>
  <c r="FJ21" i="35" s="1"/>
  <c r="FK21" i="35" s="1"/>
  <c r="FL21" i="35" s="1"/>
  <c r="FM21" i="35" s="1"/>
  <c r="FN21" i="35" s="1"/>
  <c r="FO21" i="35" s="1"/>
  <c r="FP21" i="35" s="1"/>
  <c r="FQ21" i="35" s="1"/>
  <c r="FR21" i="35" s="1"/>
  <c r="FS21" i="35" s="1"/>
  <c r="FT21" i="35" s="1"/>
  <c r="FU21" i="35" s="1"/>
  <c r="FV21" i="35" s="1"/>
  <c r="FW21" i="35" s="1"/>
  <c r="FX21" i="35" s="1"/>
  <c r="FY21" i="35" s="1"/>
  <c r="FZ21" i="35" s="1"/>
  <c r="GA21" i="35" s="1"/>
  <c r="GB21" i="35" s="1"/>
  <c r="GC21" i="35" s="1"/>
  <c r="GD21" i="35" s="1"/>
  <c r="GE21" i="35" s="1"/>
  <c r="GF21" i="35" s="1"/>
  <c r="GG21" i="35" s="1"/>
  <c r="GH21" i="35" s="1"/>
  <c r="GI21" i="35" s="1"/>
  <c r="GJ21" i="35" s="1"/>
  <c r="GK21" i="35" s="1"/>
  <c r="GL21" i="35" s="1"/>
  <c r="GM21" i="35" s="1"/>
  <c r="GN21" i="35" s="1"/>
  <c r="GO21" i="35" s="1"/>
  <c r="GP21" i="35" s="1"/>
  <c r="GQ21" i="35" s="1"/>
  <c r="GR21" i="35" s="1"/>
  <c r="GS21" i="35" s="1"/>
  <c r="GT21" i="35" s="1"/>
  <c r="GU21" i="35" s="1"/>
  <c r="GV21" i="35" s="1"/>
  <c r="GW21" i="35" s="1"/>
  <c r="GX21" i="35" s="1"/>
  <c r="GY21" i="35" s="1"/>
  <c r="GZ21" i="35" s="1"/>
  <c r="HA21" i="35" s="1"/>
  <c r="HB21" i="35" s="1"/>
  <c r="HC21" i="35" s="1"/>
  <c r="HD21" i="35" s="1"/>
  <c r="HE21" i="35" s="1"/>
  <c r="HF21" i="35" s="1"/>
  <c r="HG21" i="35" s="1"/>
  <c r="HH21" i="35" s="1"/>
  <c r="HI21" i="35" s="1"/>
  <c r="HJ21" i="35" s="1"/>
  <c r="HK21" i="35" s="1"/>
  <c r="HL21" i="35" s="1"/>
  <c r="HM21" i="35" s="1"/>
  <c r="HN21" i="35" s="1"/>
  <c r="HO21" i="35" s="1"/>
  <c r="HP21" i="35" s="1"/>
  <c r="HQ21" i="35" s="1"/>
  <c r="HR21" i="35" s="1"/>
  <c r="HS21" i="35" s="1"/>
  <c r="HT21" i="35" s="1"/>
  <c r="HU21" i="35" s="1"/>
  <c r="HV21" i="35" s="1"/>
  <c r="HW21" i="35" s="1"/>
  <c r="HX21" i="35" s="1"/>
  <c r="HY21" i="35" s="1"/>
  <c r="HZ21" i="35" s="1"/>
  <c r="IA21" i="35" s="1"/>
  <c r="IB21" i="35" s="1"/>
  <c r="IC21" i="35" s="1"/>
  <c r="ID21" i="35" s="1"/>
  <c r="IE21" i="35" s="1"/>
  <c r="IF21" i="35" s="1"/>
  <c r="IG21" i="35" s="1"/>
  <c r="IH21" i="35" s="1"/>
  <c r="II21" i="35" s="1"/>
  <c r="IJ21" i="35" s="1"/>
  <c r="IK21" i="35" s="1"/>
  <c r="IL21" i="35" s="1"/>
  <c r="IM21" i="35" s="1"/>
  <c r="IN21" i="35" s="1"/>
  <c r="IO21" i="35" s="1"/>
  <c r="BI21" i="35"/>
  <c r="AZ21" i="35"/>
  <c r="BA21" i="35" s="1"/>
  <c r="BB21" i="35" s="1"/>
  <c r="BC21" i="35" s="1"/>
  <c r="BD21" i="35" s="1"/>
  <c r="BE21" i="35" s="1"/>
  <c r="BF21" i="35" s="1"/>
  <c r="BG21" i="35" s="1"/>
  <c r="BR20" i="35"/>
  <c r="CB20" i="35" s="1"/>
  <c r="BI20" i="35"/>
  <c r="AY20" i="35"/>
  <c r="O11" i="35"/>
  <c r="O10" i="35"/>
  <c r="O9" i="35"/>
  <c r="V8" i="35"/>
  <c r="O8" i="35"/>
  <c r="V7" i="35"/>
  <c r="O7" i="35"/>
  <c r="V6" i="35"/>
  <c r="O6" i="35"/>
  <c r="C6" i="35"/>
  <c r="V5" i="35"/>
  <c r="O5" i="35"/>
  <c r="O4" i="35"/>
  <c r="C4" i="35"/>
  <c r="D4" i="35" s="1"/>
  <c r="F8" i="35" s="1"/>
  <c r="C3" i="35"/>
  <c r="D3" i="35" s="1"/>
  <c r="IT41" i="34"/>
  <c r="IT36" i="34"/>
  <c r="IT31" i="34"/>
  <c r="IT26" i="34"/>
  <c r="IQ23" i="34"/>
  <c r="X61" i="34"/>
  <c r="Y66" i="34"/>
  <c r="Z66" i="34" s="1"/>
  <c r="AA66" i="34" s="1"/>
  <c r="AB66" i="34" s="1"/>
  <c r="U65" i="34"/>
  <c r="V65" i="34" s="1"/>
  <c r="W65" i="34" s="1"/>
  <c r="X65" i="34" s="1"/>
  <c r="Y65" i="34" s="1"/>
  <c r="Z65" i="34" s="1"/>
  <c r="AA65" i="34" s="1"/>
  <c r="AB65" i="34" s="1"/>
  <c r="U64" i="34"/>
  <c r="V64" i="34" s="1"/>
  <c r="W64" i="34" s="1"/>
  <c r="X64" i="34" s="1"/>
  <c r="Y64" i="34" s="1"/>
  <c r="Z64" i="34" s="1"/>
  <c r="AA64" i="34" s="1"/>
  <c r="AB64" i="34" s="1"/>
  <c r="U63" i="34"/>
  <c r="V63" i="34" s="1"/>
  <c r="W63" i="34" s="1"/>
  <c r="X63" i="34" s="1"/>
  <c r="Y63" i="34" s="1"/>
  <c r="Z63" i="34" s="1"/>
  <c r="AA63" i="34" s="1"/>
  <c r="AB63" i="34" s="1"/>
  <c r="U62" i="34"/>
  <c r="V62" i="34" s="1"/>
  <c r="W62" i="34" s="1"/>
  <c r="X62" i="34" s="1"/>
  <c r="Y62" i="34" s="1"/>
  <c r="Z62" i="34" s="1"/>
  <c r="AA62" i="34" s="1"/>
  <c r="AB62" i="34" s="1"/>
  <c r="U61" i="34"/>
  <c r="V61" i="34" s="1"/>
  <c r="W61" i="34" s="1"/>
  <c r="U60" i="34"/>
  <c r="V60" i="34" s="1"/>
  <c r="W60" i="34" s="1"/>
  <c r="X60" i="34" s="1"/>
  <c r="Y60" i="34" s="1"/>
  <c r="Z60" i="34" s="1"/>
  <c r="AA60" i="34" s="1"/>
  <c r="AB60" i="34" s="1"/>
  <c r="U59" i="34"/>
  <c r="V59" i="34" s="1"/>
  <c r="W59" i="34" s="1"/>
  <c r="X59" i="34" s="1"/>
  <c r="Y59" i="34" s="1"/>
  <c r="Z59" i="34" s="1"/>
  <c r="AA59" i="34" s="1"/>
  <c r="AB59" i="34" s="1"/>
  <c r="Z58" i="34"/>
  <c r="AA58" i="34" s="1"/>
  <c r="AB58" i="34" s="1"/>
  <c r="AC58" i="34" s="1"/>
  <c r="AD58" i="34" s="1"/>
  <c r="AE58" i="34" s="1"/>
  <c r="AF58" i="34" s="1"/>
  <c r="AG58" i="34" s="1"/>
  <c r="AH58" i="34" s="1"/>
  <c r="AI58" i="34" s="1"/>
  <c r="U58" i="34"/>
  <c r="V58" i="34" s="1"/>
  <c r="W58" i="34" s="1"/>
  <c r="X58" i="34" s="1"/>
  <c r="U57" i="34"/>
  <c r="V57" i="34" s="1"/>
  <c r="W57" i="34" s="1"/>
  <c r="X57" i="34" s="1"/>
  <c r="Y57" i="34" s="1"/>
  <c r="Z57" i="34" s="1"/>
  <c r="AA57" i="34" s="1"/>
  <c r="AB57" i="34" s="1"/>
  <c r="AC57" i="34" s="1"/>
  <c r="AD57" i="34" s="1"/>
  <c r="AE57" i="34" s="1"/>
  <c r="AF57" i="34" s="1"/>
  <c r="AG57" i="34" s="1"/>
  <c r="AH57" i="34" s="1"/>
  <c r="AI57" i="34" s="1"/>
  <c r="U56" i="34"/>
  <c r="V56" i="34" s="1"/>
  <c r="W56" i="34" s="1"/>
  <c r="X56" i="34" s="1"/>
  <c r="Y56" i="34" s="1"/>
  <c r="Z56" i="34" s="1"/>
  <c r="AA56" i="34" s="1"/>
  <c r="AB56" i="34" s="1"/>
  <c r="AC56" i="34" s="1"/>
  <c r="AD56" i="34" s="1"/>
  <c r="AE56" i="34" s="1"/>
  <c r="AF56" i="34" s="1"/>
  <c r="AG56" i="34" s="1"/>
  <c r="AH56" i="34" s="1"/>
  <c r="AI56" i="34" s="1"/>
  <c r="U55" i="34"/>
  <c r="V55" i="34" s="1"/>
  <c r="W55" i="34" s="1"/>
  <c r="X55" i="34" s="1"/>
  <c r="Y55" i="34" s="1"/>
  <c r="Z55" i="34" s="1"/>
  <c r="AA55" i="34" s="1"/>
  <c r="AB55" i="34" s="1"/>
  <c r="AC55" i="34" s="1"/>
  <c r="AD55" i="34" s="1"/>
  <c r="AE55" i="34" s="1"/>
  <c r="AF55" i="34" s="1"/>
  <c r="AG55" i="34" s="1"/>
  <c r="AH55" i="34" s="1"/>
  <c r="AI55" i="34" s="1"/>
  <c r="U54" i="34"/>
  <c r="V54" i="34" s="1"/>
  <c r="W54" i="34" s="1"/>
  <c r="X54" i="34" s="1"/>
  <c r="Y54" i="34" s="1"/>
  <c r="Z54" i="34" s="1"/>
  <c r="AA54" i="34" s="1"/>
  <c r="AB54" i="34" s="1"/>
  <c r="AC54" i="34" s="1"/>
  <c r="AD54" i="34" s="1"/>
  <c r="AE54" i="34" s="1"/>
  <c r="AF54" i="34" s="1"/>
  <c r="AG54" i="34" s="1"/>
  <c r="AH54" i="34" s="1"/>
  <c r="AI54" i="34" s="1"/>
  <c r="U53" i="34"/>
  <c r="V53" i="34" s="1"/>
  <c r="W53" i="34" s="1"/>
  <c r="X53" i="34" s="1"/>
  <c r="Y53" i="34" s="1"/>
  <c r="Z53" i="34" s="1"/>
  <c r="AA53" i="34" s="1"/>
  <c r="AB53" i="34" s="1"/>
  <c r="AC53" i="34" s="1"/>
  <c r="AD53" i="34" s="1"/>
  <c r="AE53" i="34" s="1"/>
  <c r="AF53" i="34" s="1"/>
  <c r="AG53" i="34" s="1"/>
  <c r="AH53" i="34" s="1"/>
  <c r="AI53" i="34" s="1"/>
  <c r="Z52" i="34"/>
  <c r="AA52" i="34" s="1"/>
  <c r="AB52" i="34" s="1"/>
  <c r="AC52" i="34" s="1"/>
  <c r="AD52" i="34" s="1"/>
  <c r="AE52" i="34" s="1"/>
  <c r="AF52" i="34" s="1"/>
  <c r="AG52" i="34" s="1"/>
  <c r="AH52" i="34" s="1"/>
  <c r="AI52" i="34" s="1"/>
  <c r="U52" i="34"/>
  <c r="V52" i="34" s="1"/>
  <c r="W52" i="34" s="1"/>
  <c r="X52" i="34" s="1"/>
  <c r="U51" i="34"/>
  <c r="V51" i="34" s="1"/>
  <c r="W51" i="34" s="1"/>
  <c r="X51" i="34" s="1"/>
  <c r="Y51" i="34" s="1"/>
  <c r="Z51" i="34" s="1"/>
  <c r="AA51" i="34" s="1"/>
  <c r="AB51" i="34" s="1"/>
  <c r="AC51" i="34" s="1"/>
  <c r="AD51" i="34" s="1"/>
  <c r="AE51" i="34" s="1"/>
  <c r="AF51" i="34" s="1"/>
  <c r="AG51" i="34" s="1"/>
  <c r="AH51" i="34" s="1"/>
  <c r="AI51" i="34" s="1"/>
  <c r="U50" i="34"/>
  <c r="V50" i="34" s="1"/>
  <c r="W50" i="34" s="1"/>
  <c r="X50" i="34" s="1"/>
  <c r="Y50" i="34" s="1"/>
  <c r="Z50" i="34" s="1"/>
  <c r="AA50" i="34" s="1"/>
  <c r="AB50" i="34" s="1"/>
  <c r="AC50" i="34" s="1"/>
  <c r="AD50" i="34" s="1"/>
  <c r="AE50" i="34" s="1"/>
  <c r="AF50" i="34" s="1"/>
  <c r="AG50" i="34" s="1"/>
  <c r="AH50" i="34" s="1"/>
  <c r="AI50" i="34" s="1"/>
  <c r="U49" i="34"/>
  <c r="V49" i="34" s="1"/>
  <c r="W49" i="34" s="1"/>
  <c r="X49" i="34" s="1"/>
  <c r="Y49" i="34" s="1"/>
  <c r="Z49" i="34" s="1"/>
  <c r="AA49" i="34" s="1"/>
  <c r="AB49" i="34" s="1"/>
  <c r="AC49" i="34" s="1"/>
  <c r="AD49" i="34" s="1"/>
  <c r="AE49" i="34" s="1"/>
  <c r="AF49" i="34" s="1"/>
  <c r="AG49" i="34" s="1"/>
  <c r="AH49" i="34" s="1"/>
  <c r="AI49" i="34" s="1"/>
  <c r="U48" i="34"/>
  <c r="V48" i="34" s="1"/>
  <c r="W48" i="34" s="1"/>
  <c r="X48" i="34" s="1"/>
  <c r="Y48" i="34" s="1"/>
  <c r="Z48" i="34" s="1"/>
  <c r="AA48" i="34" s="1"/>
  <c r="AB48" i="34" s="1"/>
  <c r="AC48" i="34" s="1"/>
  <c r="AD48" i="34" s="1"/>
  <c r="AE48" i="34" s="1"/>
  <c r="AF48" i="34" s="1"/>
  <c r="AG48" i="34" s="1"/>
  <c r="AH48" i="34" s="1"/>
  <c r="AI48" i="34" s="1"/>
  <c r="O49" i="34"/>
  <c r="O50" i="34" s="1"/>
  <c r="O51" i="34" s="1"/>
  <c r="O52" i="34" s="1"/>
  <c r="O53" i="34" s="1"/>
  <c r="O54" i="34" s="1"/>
  <c r="O55" i="34" s="1"/>
  <c r="O56" i="34" s="1"/>
  <c r="O57" i="34" s="1"/>
  <c r="O58" i="34" s="1"/>
  <c r="O59" i="34" s="1"/>
  <c r="O60" i="34" s="1"/>
  <c r="O61" i="34" s="1"/>
  <c r="O62" i="34" s="1"/>
  <c r="O63" i="34" s="1"/>
  <c r="O64" i="34" s="1"/>
  <c r="O65" i="34" s="1"/>
  <c r="O66" i="34" s="1"/>
  <c r="B21" i="34"/>
  <c r="B22" i="34" s="1"/>
  <c r="B23" i="34" s="1"/>
  <c r="B24" i="34" s="1"/>
  <c r="B25" i="34" s="1"/>
  <c r="B26" i="34" s="1"/>
  <c r="B27" i="34" s="1"/>
  <c r="B28" i="34" s="1"/>
  <c r="B29" i="34" s="1"/>
  <c r="B30" i="34" s="1"/>
  <c r="B31" i="34" s="1"/>
  <c r="B32" i="34" s="1"/>
  <c r="B33" i="34" s="1"/>
  <c r="B34" i="34" s="1"/>
  <c r="B35" i="34" s="1"/>
  <c r="B36" i="34" s="1"/>
  <c r="B37" i="34" s="1"/>
  <c r="B38" i="34" s="1"/>
  <c r="S45" i="34"/>
  <c r="T45" i="34" s="1"/>
  <c r="U45" i="34" s="1"/>
  <c r="V45" i="34" s="1"/>
  <c r="W45" i="34" s="1"/>
  <c r="X45" i="34" s="1"/>
  <c r="Y45" i="34" s="1"/>
  <c r="Z45" i="34" s="1"/>
  <c r="AA45" i="34" s="1"/>
  <c r="AB45" i="34" s="1"/>
  <c r="AC45" i="34" s="1"/>
  <c r="AD45" i="34" s="1"/>
  <c r="AE45" i="34" s="1"/>
  <c r="AF45" i="34" s="1"/>
  <c r="AG45" i="34" s="1"/>
  <c r="AH45" i="34" s="1"/>
  <c r="AI45" i="34" s="1"/>
  <c r="AJ45" i="34" s="1"/>
  <c r="F17" i="34"/>
  <c r="G17" i="34" s="1"/>
  <c r="H17" i="34" s="1"/>
  <c r="I17" i="34" s="1"/>
  <c r="FK41" i="34"/>
  <c r="FI41" i="34"/>
  <c r="FG41" i="34"/>
  <c r="FA41" i="34"/>
  <c r="EY41" i="34"/>
  <c r="EW41" i="34"/>
  <c r="EQ41" i="34"/>
  <c r="EO41" i="34"/>
  <c r="EM41" i="34"/>
  <c r="EG41" i="34"/>
  <c r="EE41" i="34"/>
  <c r="EC41" i="34"/>
  <c r="DW41" i="34"/>
  <c r="DU41" i="34"/>
  <c r="DS41" i="34"/>
  <c r="DM41" i="34"/>
  <c r="DK41" i="34"/>
  <c r="DI41" i="34"/>
  <c r="DC41" i="34"/>
  <c r="DA41" i="34"/>
  <c r="CY41" i="34"/>
  <c r="CS41" i="34"/>
  <c r="CQ41" i="34"/>
  <c r="CO41" i="34"/>
  <c r="CI41" i="34"/>
  <c r="CG41" i="34"/>
  <c r="CE41" i="34"/>
  <c r="BY41" i="34"/>
  <c r="BW41" i="34"/>
  <c r="BU41" i="34"/>
  <c r="BO41" i="34"/>
  <c r="BM41" i="34"/>
  <c r="BK41" i="34"/>
  <c r="BE41" i="34"/>
  <c r="BC41" i="34"/>
  <c r="BA41" i="34"/>
  <c r="FK40" i="34"/>
  <c r="FI40" i="34"/>
  <c r="FG40" i="34"/>
  <c r="FA40" i="34"/>
  <c r="EY40" i="34"/>
  <c r="EW40" i="34"/>
  <c r="EQ40" i="34"/>
  <c r="EO40" i="34"/>
  <c r="EM40" i="34"/>
  <c r="EG40" i="34"/>
  <c r="EE40" i="34"/>
  <c r="EC40" i="34"/>
  <c r="DW40" i="34"/>
  <c r="DU40" i="34"/>
  <c r="DS40" i="34"/>
  <c r="DM40" i="34"/>
  <c r="DK40" i="34"/>
  <c r="DI40" i="34"/>
  <c r="DC40" i="34"/>
  <c r="DA40" i="34"/>
  <c r="CY40" i="34"/>
  <c r="CS40" i="34"/>
  <c r="CQ40" i="34"/>
  <c r="CO40" i="34"/>
  <c r="CI40" i="34"/>
  <c r="CG40" i="34"/>
  <c r="CE40" i="34"/>
  <c r="BY40" i="34"/>
  <c r="BW40" i="34"/>
  <c r="BU40" i="34"/>
  <c r="BO40" i="34"/>
  <c r="BM40" i="34"/>
  <c r="BK40" i="34"/>
  <c r="BE40" i="34"/>
  <c r="BC40" i="34"/>
  <c r="BA40" i="34"/>
  <c r="FK39" i="34"/>
  <c r="FI39" i="34"/>
  <c r="FG39" i="34"/>
  <c r="FA39" i="34"/>
  <c r="EY39" i="34"/>
  <c r="EW39" i="34"/>
  <c r="EQ39" i="34"/>
  <c r="EO39" i="34"/>
  <c r="EM39" i="34"/>
  <c r="EG39" i="34"/>
  <c r="EE39" i="34"/>
  <c r="EC39" i="34"/>
  <c r="DW39" i="34"/>
  <c r="DU39" i="34"/>
  <c r="DS39" i="34"/>
  <c r="DM39" i="34"/>
  <c r="DK39" i="34"/>
  <c r="DI39" i="34"/>
  <c r="DC39" i="34"/>
  <c r="DA39" i="34"/>
  <c r="CY39" i="34"/>
  <c r="CS39" i="34"/>
  <c r="CQ39" i="34"/>
  <c r="CO39" i="34"/>
  <c r="CI39" i="34"/>
  <c r="CG39" i="34"/>
  <c r="CE39" i="34"/>
  <c r="BY39" i="34"/>
  <c r="BW39" i="34"/>
  <c r="BU39" i="34"/>
  <c r="BO39" i="34"/>
  <c r="BM39" i="34"/>
  <c r="BK39" i="34"/>
  <c r="BE39" i="34"/>
  <c r="BC39" i="34"/>
  <c r="BA39" i="34"/>
  <c r="FK38" i="34"/>
  <c r="FI38" i="34"/>
  <c r="FG38" i="34"/>
  <c r="FA38" i="34"/>
  <c r="EY38" i="34"/>
  <c r="EW38" i="34"/>
  <c r="EQ38" i="34"/>
  <c r="EO38" i="34"/>
  <c r="EM38" i="34"/>
  <c r="EG38" i="34"/>
  <c r="EE38" i="34"/>
  <c r="EC38" i="34"/>
  <c r="DW38" i="34"/>
  <c r="DU38" i="34"/>
  <c r="DS38" i="34"/>
  <c r="DM38" i="34"/>
  <c r="DK38" i="34"/>
  <c r="DI38" i="34"/>
  <c r="DC38" i="34"/>
  <c r="DA38" i="34"/>
  <c r="CY38" i="34"/>
  <c r="CS38" i="34"/>
  <c r="CQ38" i="34"/>
  <c r="CO38" i="34"/>
  <c r="CI38" i="34"/>
  <c r="CG38" i="34"/>
  <c r="CE38" i="34"/>
  <c r="BY38" i="34"/>
  <c r="BW38" i="34"/>
  <c r="BU38" i="34"/>
  <c r="BO38" i="34"/>
  <c r="BM38" i="34"/>
  <c r="BK38" i="34"/>
  <c r="BE38" i="34"/>
  <c r="BC38" i="34"/>
  <c r="BA38" i="34"/>
  <c r="FK37" i="34"/>
  <c r="FI37" i="34"/>
  <c r="FG37" i="34"/>
  <c r="FA37" i="34"/>
  <c r="EY37" i="34"/>
  <c r="EW37" i="34"/>
  <c r="EQ37" i="34"/>
  <c r="EO37" i="34"/>
  <c r="EM37" i="34"/>
  <c r="EG37" i="34"/>
  <c r="EE37" i="34"/>
  <c r="EC37" i="34"/>
  <c r="DW37" i="34"/>
  <c r="DU37" i="34"/>
  <c r="DS37" i="34"/>
  <c r="DM37" i="34"/>
  <c r="DK37" i="34"/>
  <c r="DI37" i="34"/>
  <c r="DC37" i="34"/>
  <c r="DA37" i="34"/>
  <c r="CY37" i="34"/>
  <c r="CS37" i="34"/>
  <c r="CQ37" i="34"/>
  <c r="CO37" i="34"/>
  <c r="CI37" i="34"/>
  <c r="CG37" i="34"/>
  <c r="CE37" i="34"/>
  <c r="BY37" i="34"/>
  <c r="BW37" i="34"/>
  <c r="BU37" i="34"/>
  <c r="BO37" i="34"/>
  <c r="BM37" i="34"/>
  <c r="BK37" i="34"/>
  <c r="BE37" i="34"/>
  <c r="BC37" i="34"/>
  <c r="BA37" i="34"/>
  <c r="FK36" i="34"/>
  <c r="FI36" i="34"/>
  <c r="FG36" i="34"/>
  <c r="FA36" i="34"/>
  <c r="EY36" i="34"/>
  <c r="EW36" i="34"/>
  <c r="EQ36" i="34"/>
  <c r="EO36" i="34"/>
  <c r="EM36" i="34"/>
  <c r="EG36" i="34"/>
  <c r="EE36" i="34"/>
  <c r="EC36" i="34"/>
  <c r="DW36" i="34"/>
  <c r="DU36" i="34"/>
  <c r="DS36" i="34"/>
  <c r="DM36" i="34"/>
  <c r="DK36" i="34"/>
  <c r="DI36" i="34"/>
  <c r="DC36" i="34"/>
  <c r="DA36" i="34"/>
  <c r="CY36" i="34"/>
  <c r="CS36" i="34"/>
  <c r="CQ36" i="34"/>
  <c r="CO36" i="34"/>
  <c r="CI36" i="34"/>
  <c r="CG36" i="34"/>
  <c r="CE36" i="34"/>
  <c r="BY36" i="34"/>
  <c r="BW36" i="34"/>
  <c r="BU36" i="34"/>
  <c r="BO36" i="34"/>
  <c r="BM36" i="34"/>
  <c r="BK36" i="34"/>
  <c r="BE36" i="34"/>
  <c r="BC36" i="34"/>
  <c r="BA36" i="34"/>
  <c r="FK35" i="34"/>
  <c r="FI35" i="34"/>
  <c r="FG35" i="34"/>
  <c r="FA35" i="34"/>
  <c r="EY35" i="34"/>
  <c r="EW35" i="34"/>
  <c r="EQ35" i="34"/>
  <c r="EO35" i="34"/>
  <c r="EM35" i="34"/>
  <c r="EG35" i="34"/>
  <c r="EE35" i="34"/>
  <c r="EC35" i="34"/>
  <c r="DW35" i="34"/>
  <c r="DU35" i="34"/>
  <c r="DS35" i="34"/>
  <c r="DM35" i="34"/>
  <c r="DK35" i="34"/>
  <c r="DI35" i="34"/>
  <c r="DC35" i="34"/>
  <c r="DA35" i="34"/>
  <c r="CY35" i="34"/>
  <c r="CS35" i="34"/>
  <c r="CQ35" i="34"/>
  <c r="CO35" i="34"/>
  <c r="CI35" i="34"/>
  <c r="CG35" i="34"/>
  <c r="CE35" i="34"/>
  <c r="BY35" i="34"/>
  <c r="BW35" i="34"/>
  <c r="BU35" i="34"/>
  <c r="BO35" i="34"/>
  <c r="BM35" i="34"/>
  <c r="BK35" i="34"/>
  <c r="BE35" i="34"/>
  <c r="BC35" i="34"/>
  <c r="BA35" i="34"/>
  <c r="FK34" i="34"/>
  <c r="FI34" i="34"/>
  <c r="FG34" i="34"/>
  <c r="FA34" i="34"/>
  <c r="EY34" i="34"/>
  <c r="EW34" i="34"/>
  <c r="EQ34" i="34"/>
  <c r="EO34" i="34"/>
  <c r="EM34" i="34"/>
  <c r="EG34" i="34"/>
  <c r="EE34" i="34"/>
  <c r="EC34" i="34"/>
  <c r="DW34" i="34"/>
  <c r="DU34" i="34"/>
  <c r="DS34" i="34"/>
  <c r="DM34" i="34"/>
  <c r="DK34" i="34"/>
  <c r="DI34" i="34"/>
  <c r="DC34" i="34"/>
  <c r="DA34" i="34"/>
  <c r="CY34" i="34"/>
  <c r="CS34" i="34"/>
  <c r="CQ34" i="34"/>
  <c r="CO34" i="34"/>
  <c r="CT34" i="34" s="1"/>
  <c r="CI34" i="34"/>
  <c r="CG34" i="34"/>
  <c r="CE34" i="34"/>
  <c r="BY34" i="34"/>
  <c r="BW34" i="34"/>
  <c r="BU34" i="34"/>
  <c r="BO34" i="34"/>
  <c r="BM34" i="34"/>
  <c r="BK34" i="34"/>
  <c r="BE34" i="34"/>
  <c r="BC34" i="34"/>
  <c r="BA34" i="34"/>
  <c r="IM33" i="34"/>
  <c r="IK33" i="34"/>
  <c r="II33" i="34"/>
  <c r="IC33" i="34"/>
  <c r="IA33" i="34"/>
  <c r="HY33" i="34"/>
  <c r="HS33" i="34"/>
  <c r="HQ33" i="34"/>
  <c r="HO33" i="34"/>
  <c r="HI33" i="34"/>
  <c r="HG33" i="34"/>
  <c r="HE33" i="34"/>
  <c r="GY33" i="34"/>
  <c r="GW33" i="34"/>
  <c r="GU33" i="34"/>
  <c r="GO33" i="34"/>
  <c r="GM33" i="34"/>
  <c r="GK33" i="34"/>
  <c r="GE33" i="34"/>
  <c r="GC33" i="34"/>
  <c r="GA33" i="34"/>
  <c r="FU33" i="34"/>
  <c r="FS33" i="34"/>
  <c r="FQ33" i="34"/>
  <c r="FK33" i="34"/>
  <c r="FI33" i="34"/>
  <c r="FG33" i="34"/>
  <c r="FA33" i="34"/>
  <c r="EY33" i="34"/>
  <c r="EW33" i="34"/>
  <c r="EQ33" i="34"/>
  <c r="EO33" i="34"/>
  <c r="EM33" i="34"/>
  <c r="EG33" i="34"/>
  <c r="EE33" i="34"/>
  <c r="EC33" i="34"/>
  <c r="EH33" i="34" s="1"/>
  <c r="DW33" i="34"/>
  <c r="DU33" i="34"/>
  <c r="DS33" i="34"/>
  <c r="DM33" i="34"/>
  <c r="DK33" i="34"/>
  <c r="DI33" i="34"/>
  <c r="DC33" i="34"/>
  <c r="DA33" i="34"/>
  <c r="CY33" i="34"/>
  <c r="CS33" i="34"/>
  <c r="CQ33" i="34"/>
  <c r="CO33" i="34"/>
  <c r="CI33" i="34"/>
  <c r="CG33" i="34"/>
  <c r="CE33" i="34"/>
  <c r="BY33" i="34"/>
  <c r="BW33" i="34"/>
  <c r="BU33" i="34"/>
  <c r="BO33" i="34"/>
  <c r="BM33" i="34"/>
  <c r="BK33" i="34"/>
  <c r="BE33" i="34"/>
  <c r="BC33" i="34"/>
  <c r="BA33" i="34"/>
  <c r="IM32" i="34"/>
  <c r="IK32" i="34"/>
  <c r="II32" i="34"/>
  <c r="IC32" i="34"/>
  <c r="IA32" i="34"/>
  <c r="HY32" i="34"/>
  <c r="HS32" i="34"/>
  <c r="HQ32" i="34"/>
  <c r="HO32" i="34"/>
  <c r="HI32" i="34"/>
  <c r="HG32" i="34"/>
  <c r="HE32" i="34"/>
  <c r="GY32" i="34"/>
  <c r="GW32" i="34"/>
  <c r="GU32" i="34"/>
  <c r="GO32" i="34"/>
  <c r="GM32" i="34"/>
  <c r="GK32" i="34"/>
  <c r="GE32" i="34"/>
  <c r="GC32" i="34"/>
  <c r="GA32" i="34"/>
  <c r="FU32" i="34"/>
  <c r="FS32" i="34"/>
  <c r="FQ32" i="34"/>
  <c r="FK32" i="34"/>
  <c r="FI32" i="34"/>
  <c r="FG32" i="34"/>
  <c r="FA32" i="34"/>
  <c r="EY32" i="34"/>
  <c r="EW32" i="34"/>
  <c r="EQ32" i="34"/>
  <c r="EO32" i="34"/>
  <c r="EM32" i="34"/>
  <c r="EG32" i="34"/>
  <c r="EE32" i="34"/>
  <c r="EC32" i="34"/>
  <c r="DW32" i="34"/>
  <c r="DU32" i="34"/>
  <c r="DS32" i="34"/>
  <c r="DM32" i="34"/>
  <c r="DK32" i="34"/>
  <c r="DI32" i="34"/>
  <c r="DC32" i="34"/>
  <c r="DA32" i="34"/>
  <c r="CY32" i="34"/>
  <c r="CS32" i="34"/>
  <c r="CQ32" i="34"/>
  <c r="CO32" i="34"/>
  <c r="CI32" i="34"/>
  <c r="CG32" i="34"/>
  <c r="CE32" i="34"/>
  <c r="BY32" i="34"/>
  <c r="BW32" i="34"/>
  <c r="BU32" i="34"/>
  <c r="BO32" i="34"/>
  <c r="BM32" i="34"/>
  <c r="BK32" i="34"/>
  <c r="BE32" i="34"/>
  <c r="BC32" i="34"/>
  <c r="BA32" i="34"/>
  <c r="IM31" i="34"/>
  <c r="IK31" i="34"/>
  <c r="II31" i="34"/>
  <c r="IC31" i="34"/>
  <c r="IA31" i="34"/>
  <c r="HY31" i="34"/>
  <c r="HS31" i="34"/>
  <c r="HQ31" i="34"/>
  <c r="HO31" i="34"/>
  <c r="HI31" i="34"/>
  <c r="HG31" i="34"/>
  <c r="HE31" i="34"/>
  <c r="GY31" i="34"/>
  <c r="GW31" i="34"/>
  <c r="GU31" i="34"/>
  <c r="GO31" i="34"/>
  <c r="GM31" i="34"/>
  <c r="GK31" i="34"/>
  <c r="GE31" i="34"/>
  <c r="GC31" i="34"/>
  <c r="GA31" i="34"/>
  <c r="FU31" i="34"/>
  <c r="FS31" i="34"/>
  <c r="FQ31" i="34"/>
  <c r="FK31" i="34"/>
  <c r="FI31" i="34"/>
  <c r="FG31" i="34"/>
  <c r="FA31" i="34"/>
  <c r="EY31" i="34"/>
  <c r="EW31" i="34"/>
  <c r="EQ31" i="34"/>
  <c r="EO31" i="34"/>
  <c r="EM31" i="34"/>
  <c r="EG31" i="34"/>
  <c r="EE31" i="34"/>
  <c r="EC31" i="34"/>
  <c r="DW31" i="34"/>
  <c r="DU31" i="34"/>
  <c r="DS31" i="34"/>
  <c r="DM31" i="34"/>
  <c r="DK31" i="34"/>
  <c r="DI31" i="34"/>
  <c r="DC31" i="34"/>
  <c r="DA31" i="34"/>
  <c r="CY31" i="34"/>
  <c r="CS31" i="34"/>
  <c r="CQ31" i="34"/>
  <c r="CO31" i="34"/>
  <c r="CI31" i="34"/>
  <c r="CG31" i="34"/>
  <c r="CE31" i="34"/>
  <c r="BY31" i="34"/>
  <c r="BW31" i="34"/>
  <c r="BU31" i="34"/>
  <c r="BO31" i="34"/>
  <c r="BM31" i="34"/>
  <c r="BK31" i="34"/>
  <c r="BE31" i="34"/>
  <c r="BC31" i="34"/>
  <c r="BA31" i="34"/>
  <c r="IM30" i="34"/>
  <c r="IK30" i="34"/>
  <c r="II30" i="34"/>
  <c r="IC30" i="34"/>
  <c r="IA30" i="34"/>
  <c r="HY30" i="34"/>
  <c r="HS30" i="34"/>
  <c r="HQ30" i="34"/>
  <c r="HO30" i="34"/>
  <c r="HI30" i="34"/>
  <c r="HG30" i="34"/>
  <c r="HE30" i="34"/>
  <c r="GY30" i="34"/>
  <c r="GW30" i="34"/>
  <c r="GU30" i="34"/>
  <c r="GO30" i="34"/>
  <c r="GM30" i="34"/>
  <c r="GK30" i="34"/>
  <c r="GE30" i="34"/>
  <c r="GC30" i="34"/>
  <c r="GA30" i="34"/>
  <c r="FU30" i="34"/>
  <c r="FS30" i="34"/>
  <c r="FQ30" i="34"/>
  <c r="FV30" i="34" s="1"/>
  <c r="FK30" i="34"/>
  <c r="FI30" i="34"/>
  <c r="FG30" i="34"/>
  <c r="FA30" i="34"/>
  <c r="EY30" i="34"/>
  <c r="EW30" i="34"/>
  <c r="EQ30" i="34"/>
  <c r="EO30" i="34"/>
  <c r="EM30" i="34"/>
  <c r="EG30" i="34"/>
  <c r="EE30" i="34"/>
  <c r="EC30" i="34"/>
  <c r="DW30" i="34"/>
  <c r="DU30" i="34"/>
  <c r="DS30" i="34"/>
  <c r="DM30" i="34"/>
  <c r="DK30" i="34"/>
  <c r="DI30" i="34"/>
  <c r="DC30" i="34"/>
  <c r="DA30" i="34"/>
  <c r="CY30" i="34"/>
  <c r="CS30" i="34"/>
  <c r="CQ30" i="34"/>
  <c r="CO30" i="34"/>
  <c r="CT30" i="34" s="1"/>
  <c r="CI30" i="34"/>
  <c r="CG30" i="34"/>
  <c r="CE30" i="34"/>
  <c r="BY30" i="34"/>
  <c r="BW30" i="34"/>
  <c r="BU30" i="34"/>
  <c r="BO30" i="34"/>
  <c r="BM30" i="34"/>
  <c r="BK30" i="34"/>
  <c r="BE30" i="34"/>
  <c r="BC30" i="34"/>
  <c r="BA30" i="34"/>
  <c r="IM29" i="34"/>
  <c r="IK29" i="34"/>
  <c r="II29" i="34"/>
  <c r="IC29" i="34"/>
  <c r="IA29" i="34"/>
  <c r="HY29" i="34"/>
  <c r="HS29" i="34"/>
  <c r="HQ29" i="34"/>
  <c r="HO29" i="34"/>
  <c r="HI29" i="34"/>
  <c r="HG29" i="34"/>
  <c r="HE29" i="34"/>
  <c r="HJ29" i="34" s="1"/>
  <c r="GY29" i="34"/>
  <c r="GW29" i="34"/>
  <c r="GU29" i="34"/>
  <c r="GO29" i="34"/>
  <c r="GM29" i="34"/>
  <c r="GK29" i="34"/>
  <c r="GE29" i="34"/>
  <c r="GC29" i="34"/>
  <c r="GA29" i="34"/>
  <c r="FU29" i="34"/>
  <c r="FS29" i="34"/>
  <c r="FQ29" i="34"/>
  <c r="FK29" i="34"/>
  <c r="FI29" i="34"/>
  <c r="FG29" i="34"/>
  <c r="FA29" i="34"/>
  <c r="EY29" i="34"/>
  <c r="EW29" i="34"/>
  <c r="EQ29" i="34"/>
  <c r="EO29" i="34"/>
  <c r="EM29" i="34"/>
  <c r="EG29" i="34"/>
  <c r="EE29" i="34"/>
  <c r="EC29" i="34"/>
  <c r="DW29" i="34"/>
  <c r="DU29" i="34"/>
  <c r="DS29" i="34"/>
  <c r="DM29" i="34"/>
  <c r="DK29" i="34"/>
  <c r="DI29" i="34"/>
  <c r="DC29" i="34"/>
  <c r="DA29" i="34"/>
  <c r="CY29" i="34"/>
  <c r="CS29" i="34"/>
  <c r="CQ29" i="34"/>
  <c r="CO29" i="34"/>
  <c r="CI29" i="34"/>
  <c r="CG29" i="34"/>
  <c r="CE29" i="34"/>
  <c r="BY29" i="34"/>
  <c r="BW29" i="34"/>
  <c r="BU29" i="34"/>
  <c r="BO29" i="34"/>
  <c r="BM29" i="34"/>
  <c r="BK29" i="34"/>
  <c r="BE29" i="34"/>
  <c r="BC29" i="34"/>
  <c r="BA29" i="34"/>
  <c r="IM28" i="34"/>
  <c r="IK28" i="34"/>
  <c r="II28" i="34"/>
  <c r="IC28" i="34"/>
  <c r="IA28" i="34"/>
  <c r="HY28" i="34"/>
  <c r="HS28" i="34"/>
  <c r="HQ28" i="34"/>
  <c r="HO28" i="34"/>
  <c r="HI28" i="34"/>
  <c r="HG28" i="34"/>
  <c r="HE28" i="34"/>
  <c r="GY28" i="34"/>
  <c r="GW28" i="34"/>
  <c r="GU28" i="34"/>
  <c r="GO28" i="34"/>
  <c r="GM28" i="34"/>
  <c r="GK28" i="34"/>
  <c r="GE28" i="34"/>
  <c r="GC28" i="34"/>
  <c r="GA28" i="34"/>
  <c r="FU28" i="34"/>
  <c r="FS28" i="34"/>
  <c r="FQ28" i="34"/>
  <c r="FK28" i="34"/>
  <c r="FI28" i="34"/>
  <c r="FG28" i="34"/>
  <c r="FA28" i="34"/>
  <c r="EY28" i="34"/>
  <c r="EW28" i="34"/>
  <c r="EQ28" i="34"/>
  <c r="EO28" i="34"/>
  <c r="EM28" i="34"/>
  <c r="EG28" i="34"/>
  <c r="EE28" i="34"/>
  <c r="EC28" i="34"/>
  <c r="DW28" i="34"/>
  <c r="DU28" i="34"/>
  <c r="DS28" i="34"/>
  <c r="DM28" i="34"/>
  <c r="DK28" i="34"/>
  <c r="DI28" i="34"/>
  <c r="DC28" i="34"/>
  <c r="DA28" i="34"/>
  <c r="CY28" i="34"/>
  <c r="CS28" i="34"/>
  <c r="CQ28" i="34"/>
  <c r="CO28" i="34"/>
  <c r="CI28" i="34"/>
  <c r="CG28" i="34"/>
  <c r="CE28" i="34"/>
  <c r="BY28" i="34"/>
  <c r="BW28" i="34"/>
  <c r="BU28" i="34"/>
  <c r="BO28" i="34"/>
  <c r="BM28" i="34"/>
  <c r="BK28" i="34"/>
  <c r="BE28" i="34"/>
  <c r="BC28" i="34"/>
  <c r="BA28" i="34"/>
  <c r="IM27" i="34"/>
  <c r="IK27" i="34"/>
  <c r="II27" i="34"/>
  <c r="IC27" i="34"/>
  <c r="IA27" i="34"/>
  <c r="HY27" i="34"/>
  <c r="HS27" i="34"/>
  <c r="HQ27" i="34"/>
  <c r="HO27" i="34"/>
  <c r="HI27" i="34"/>
  <c r="HG27" i="34"/>
  <c r="HE27" i="34"/>
  <c r="GY27" i="34"/>
  <c r="GW27" i="34"/>
  <c r="GU27" i="34"/>
  <c r="GO27" i="34"/>
  <c r="GM27" i="34"/>
  <c r="GK27" i="34"/>
  <c r="GE27" i="34"/>
  <c r="GC27" i="34"/>
  <c r="GA27" i="34"/>
  <c r="FU27" i="34"/>
  <c r="FS27" i="34"/>
  <c r="FQ27" i="34"/>
  <c r="FK27" i="34"/>
  <c r="FI27" i="34"/>
  <c r="FG27" i="34"/>
  <c r="FA27" i="34"/>
  <c r="EY27" i="34"/>
  <c r="EW27" i="34"/>
  <c r="EQ27" i="34"/>
  <c r="EO27" i="34"/>
  <c r="EM27" i="34"/>
  <c r="EG27" i="34"/>
  <c r="EE27" i="34"/>
  <c r="EC27" i="34"/>
  <c r="DW27" i="34"/>
  <c r="DU27" i="34"/>
  <c r="DS27" i="34"/>
  <c r="DM27" i="34"/>
  <c r="DK27" i="34"/>
  <c r="DI27" i="34"/>
  <c r="DC27" i="34"/>
  <c r="DA27" i="34"/>
  <c r="CY27" i="34"/>
  <c r="CS27" i="34"/>
  <c r="CQ27" i="34"/>
  <c r="CO27" i="34"/>
  <c r="CI27" i="34"/>
  <c r="CG27" i="34"/>
  <c r="CE27" i="34"/>
  <c r="BY27" i="34"/>
  <c r="BW27" i="34"/>
  <c r="BU27" i="34"/>
  <c r="BO27" i="34"/>
  <c r="BM27" i="34"/>
  <c r="BK27" i="34"/>
  <c r="BE27" i="34"/>
  <c r="BC27" i="34"/>
  <c r="BA27" i="34"/>
  <c r="IM26" i="34"/>
  <c r="IK26" i="34"/>
  <c r="II26" i="34"/>
  <c r="IC26" i="34"/>
  <c r="IA26" i="34"/>
  <c r="HY26" i="34"/>
  <c r="HS26" i="34"/>
  <c r="HQ26" i="34"/>
  <c r="HO26" i="34"/>
  <c r="HI26" i="34"/>
  <c r="HG26" i="34"/>
  <c r="HE26" i="34"/>
  <c r="GY26" i="34"/>
  <c r="GW26" i="34"/>
  <c r="GU26" i="34"/>
  <c r="GO26" i="34"/>
  <c r="GM26" i="34"/>
  <c r="GK26" i="34"/>
  <c r="GE26" i="34"/>
  <c r="GC26" i="34"/>
  <c r="GA26" i="34"/>
  <c r="FU26" i="34"/>
  <c r="FS26" i="34"/>
  <c r="FQ26" i="34"/>
  <c r="FK26" i="34"/>
  <c r="FI26" i="34"/>
  <c r="FG26" i="34"/>
  <c r="FA26" i="34"/>
  <c r="EY26" i="34"/>
  <c r="EW26" i="34"/>
  <c r="EQ26" i="34"/>
  <c r="EO26" i="34"/>
  <c r="EM26" i="34"/>
  <c r="EG26" i="34"/>
  <c r="EE26" i="34"/>
  <c r="EC26" i="34"/>
  <c r="DW26" i="34"/>
  <c r="DU26" i="34"/>
  <c r="DS26" i="34"/>
  <c r="DM26" i="34"/>
  <c r="DK26" i="34"/>
  <c r="DI26" i="34"/>
  <c r="DC26" i="34"/>
  <c r="DA26" i="34"/>
  <c r="CY26" i="34"/>
  <c r="CS26" i="34"/>
  <c r="CQ26" i="34"/>
  <c r="CO26" i="34"/>
  <c r="CI26" i="34"/>
  <c r="CG26" i="34"/>
  <c r="CE26" i="34"/>
  <c r="BY26" i="34"/>
  <c r="BW26" i="34"/>
  <c r="BU26" i="34"/>
  <c r="BO26" i="34"/>
  <c r="BM26" i="34"/>
  <c r="BK26" i="34"/>
  <c r="BE26" i="34"/>
  <c r="BC26" i="34"/>
  <c r="BA26" i="34"/>
  <c r="IM25" i="34"/>
  <c r="IK25" i="34"/>
  <c r="II25" i="34"/>
  <c r="IC25" i="34"/>
  <c r="IA25" i="34"/>
  <c r="HY25" i="34"/>
  <c r="HS25" i="34"/>
  <c r="HQ25" i="34"/>
  <c r="HO25" i="34"/>
  <c r="HI25" i="34"/>
  <c r="HG25" i="34"/>
  <c r="HE25" i="34"/>
  <c r="GY25" i="34"/>
  <c r="GW25" i="34"/>
  <c r="GU25" i="34"/>
  <c r="GO25" i="34"/>
  <c r="GM25" i="34"/>
  <c r="GK25" i="34"/>
  <c r="GE25" i="34"/>
  <c r="GC25" i="34"/>
  <c r="GA25" i="34"/>
  <c r="FU25" i="34"/>
  <c r="FS25" i="34"/>
  <c r="FQ25" i="34"/>
  <c r="FK25" i="34"/>
  <c r="FI25" i="34"/>
  <c r="FG25" i="34"/>
  <c r="FA25" i="34"/>
  <c r="EY25" i="34"/>
  <c r="EW25" i="34"/>
  <c r="EQ25" i="34"/>
  <c r="EO25" i="34"/>
  <c r="EM25" i="34"/>
  <c r="EG25" i="34"/>
  <c r="EE25" i="34"/>
  <c r="EC25" i="34"/>
  <c r="DW25" i="34"/>
  <c r="DU25" i="34"/>
  <c r="DS25" i="34"/>
  <c r="DM25" i="34"/>
  <c r="DK25" i="34"/>
  <c r="DI25" i="34"/>
  <c r="DC25" i="34"/>
  <c r="DA25" i="34"/>
  <c r="CY25" i="34"/>
  <c r="CS25" i="34"/>
  <c r="CQ25" i="34"/>
  <c r="CO25" i="34"/>
  <c r="CI25" i="34"/>
  <c r="CG25" i="34"/>
  <c r="CE25" i="34"/>
  <c r="BY25" i="34"/>
  <c r="BW25" i="34"/>
  <c r="BU25" i="34"/>
  <c r="BO25" i="34"/>
  <c r="BM25" i="34"/>
  <c r="BK25" i="34"/>
  <c r="BE25" i="34"/>
  <c r="BC25" i="34"/>
  <c r="BA25" i="34"/>
  <c r="IM24" i="34"/>
  <c r="IK24" i="34"/>
  <c r="II24" i="34"/>
  <c r="IC24" i="34"/>
  <c r="IA24" i="34"/>
  <c r="HY24" i="34"/>
  <c r="HS24" i="34"/>
  <c r="HQ24" i="34"/>
  <c r="HO24" i="34"/>
  <c r="HI24" i="34"/>
  <c r="HG24" i="34"/>
  <c r="HE24" i="34"/>
  <c r="GY24" i="34"/>
  <c r="GW24" i="34"/>
  <c r="GU24" i="34"/>
  <c r="GO24" i="34"/>
  <c r="GM24" i="34"/>
  <c r="GK24" i="34"/>
  <c r="GE24" i="34"/>
  <c r="GC24" i="34"/>
  <c r="GA24" i="34"/>
  <c r="FU24" i="34"/>
  <c r="FS24" i="34"/>
  <c r="FQ24" i="34"/>
  <c r="FK24" i="34"/>
  <c r="FI24" i="34"/>
  <c r="FG24" i="34"/>
  <c r="FA24" i="34"/>
  <c r="EY24" i="34"/>
  <c r="EW24" i="34"/>
  <c r="EQ24" i="34"/>
  <c r="EO24" i="34"/>
  <c r="EM24" i="34"/>
  <c r="EG24" i="34"/>
  <c r="EE24" i="34"/>
  <c r="EC24" i="34"/>
  <c r="DW24" i="34"/>
  <c r="DU24" i="34"/>
  <c r="DS24" i="34"/>
  <c r="DM24" i="34"/>
  <c r="DK24" i="34"/>
  <c r="DI24" i="34"/>
  <c r="DC24" i="34"/>
  <c r="DA24" i="34"/>
  <c r="CY24" i="34"/>
  <c r="CS24" i="34"/>
  <c r="CQ24" i="34"/>
  <c r="CO24" i="34"/>
  <c r="CI24" i="34"/>
  <c r="CG24" i="34"/>
  <c r="CE24" i="34"/>
  <c r="BY24" i="34"/>
  <c r="BW24" i="34"/>
  <c r="BU24" i="34"/>
  <c r="BO24" i="34"/>
  <c r="BM24" i="34"/>
  <c r="BK24" i="34"/>
  <c r="BE24" i="34"/>
  <c r="BC24" i="34"/>
  <c r="BA24" i="34"/>
  <c r="AW24" i="34"/>
  <c r="AW25" i="34" s="1"/>
  <c r="AW26" i="34" s="1"/>
  <c r="AW27" i="34" s="1"/>
  <c r="AW28" i="34" s="1"/>
  <c r="AW29" i="34" s="1"/>
  <c r="AW30" i="34" s="1"/>
  <c r="AW31" i="34" s="1"/>
  <c r="AW32" i="34" s="1"/>
  <c r="AW33" i="34" s="1"/>
  <c r="AW34" i="34" s="1"/>
  <c r="AW35" i="34" s="1"/>
  <c r="AW36" i="34" s="1"/>
  <c r="AW37" i="34" s="1"/>
  <c r="AW38" i="34" s="1"/>
  <c r="AW39" i="34" s="1"/>
  <c r="AW40" i="34" s="1"/>
  <c r="AW41" i="34" s="1"/>
  <c r="AU24" i="34"/>
  <c r="AU25" i="34" s="1"/>
  <c r="IQ25" i="34" s="1"/>
  <c r="IM23" i="34"/>
  <c r="IK23" i="34"/>
  <c r="II23" i="34"/>
  <c r="IC23" i="34"/>
  <c r="IA23" i="34"/>
  <c r="HY23" i="34"/>
  <c r="HS23" i="34"/>
  <c r="HQ23" i="34"/>
  <c r="HO23" i="34"/>
  <c r="HI23" i="34"/>
  <c r="HG23" i="34"/>
  <c r="HE23" i="34"/>
  <c r="GY23" i="34"/>
  <c r="GW23" i="34"/>
  <c r="GU23" i="34"/>
  <c r="GO23" i="34"/>
  <c r="GM23" i="34"/>
  <c r="GK23" i="34"/>
  <c r="GE23" i="34"/>
  <c r="GC23" i="34"/>
  <c r="GA23" i="34"/>
  <c r="FU23" i="34"/>
  <c r="FS23" i="34"/>
  <c r="FQ23" i="34"/>
  <c r="FK23" i="34"/>
  <c r="FI23" i="34"/>
  <c r="FG23" i="34"/>
  <c r="FA23" i="34"/>
  <c r="EY23" i="34"/>
  <c r="EW23" i="34"/>
  <c r="EQ23" i="34"/>
  <c r="EO23" i="34"/>
  <c r="EM23" i="34"/>
  <c r="EG23" i="34"/>
  <c r="EE23" i="34"/>
  <c r="EC23" i="34"/>
  <c r="DW23" i="34"/>
  <c r="DU23" i="34"/>
  <c r="DS23" i="34"/>
  <c r="DM23" i="34"/>
  <c r="DK23" i="34"/>
  <c r="DI23" i="34"/>
  <c r="DC23" i="34"/>
  <c r="DA23" i="34"/>
  <c r="CY23" i="34"/>
  <c r="CS23" i="34"/>
  <c r="CQ23" i="34"/>
  <c r="CO23" i="34"/>
  <c r="CI23" i="34"/>
  <c r="CG23" i="34"/>
  <c r="CE23" i="34"/>
  <c r="BY23" i="34"/>
  <c r="BW23" i="34"/>
  <c r="BU23" i="34"/>
  <c r="BO23" i="34"/>
  <c r="BM23" i="34"/>
  <c r="BK23" i="34"/>
  <c r="BE23" i="34"/>
  <c r="BC23" i="34"/>
  <c r="BA23" i="34"/>
  <c r="AV23" i="34"/>
  <c r="IM22" i="34"/>
  <c r="IK22" i="34"/>
  <c r="II22" i="34"/>
  <c r="IC22" i="34"/>
  <c r="IA22" i="34"/>
  <c r="HY22" i="34"/>
  <c r="HS22" i="34"/>
  <c r="HQ22" i="34"/>
  <c r="HO22" i="34"/>
  <c r="HI22" i="34"/>
  <c r="HG22" i="34"/>
  <c r="HE22" i="34"/>
  <c r="GY22" i="34"/>
  <c r="GW22" i="34"/>
  <c r="GU22" i="34"/>
  <c r="GO22" i="34"/>
  <c r="GM22" i="34"/>
  <c r="GK22" i="34"/>
  <c r="GE22" i="34"/>
  <c r="GC22" i="34"/>
  <c r="GA22" i="34"/>
  <c r="FU22" i="34"/>
  <c r="FS22" i="34"/>
  <c r="FQ22" i="34"/>
  <c r="FK22" i="34"/>
  <c r="FI22" i="34"/>
  <c r="FG22" i="34"/>
  <c r="FA22" i="34"/>
  <c r="EY22" i="34"/>
  <c r="EW22" i="34"/>
  <c r="EQ22" i="34"/>
  <c r="EO22" i="34"/>
  <c r="EM22" i="34"/>
  <c r="EG22" i="34"/>
  <c r="EE22" i="34"/>
  <c r="EC22" i="34"/>
  <c r="DW22" i="34"/>
  <c r="DU22" i="34"/>
  <c r="DS22" i="34"/>
  <c r="DM22" i="34"/>
  <c r="DK22" i="34"/>
  <c r="DI22" i="34"/>
  <c r="DC22" i="34"/>
  <c r="DA22" i="34"/>
  <c r="CY22" i="34"/>
  <c r="CS22" i="34"/>
  <c r="CQ22" i="34"/>
  <c r="CO22" i="34"/>
  <c r="CI22" i="34"/>
  <c r="CG22" i="34"/>
  <c r="CE22" i="34"/>
  <c r="BY22" i="34"/>
  <c r="BW22" i="34"/>
  <c r="BU22" i="34"/>
  <c r="BO22" i="34"/>
  <c r="BM22" i="34"/>
  <c r="BK22" i="34"/>
  <c r="BE22" i="34"/>
  <c r="BC22" i="34"/>
  <c r="BA22" i="34"/>
  <c r="AV22" i="34"/>
  <c r="BI21" i="34"/>
  <c r="BJ21" i="34" s="1"/>
  <c r="BK21" i="34" s="1"/>
  <c r="BL21" i="34" s="1"/>
  <c r="BM21" i="34" s="1"/>
  <c r="BN21" i="34" s="1"/>
  <c r="BO21" i="34" s="1"/>
  <c r="BP21" i="34" s="1"/>
  <c r="BQ21" i="34" s="1"/>
  <c r="BR21" i="34" s="1"/>
  <c r="BS21" i="34" s="1"/>
  <c r="BT21" i="34" s="1"/>
  <c r="BU21" i="34" s="1"/>
  <c r="BV21" i="34" s="1"/>
  <c r="BW21" i="34" s="1"/>
  <c r="BX21" i="34" s="1"/>
  <c r="BY21" i="34" s="1"/>
  <c r="BZ21" i="34" s="1"/>
  <c r="CA21" i="34" s="1"/>
  <c r="CB21" i="34" s="1"/>
  <c r="CC21" i="34" s="1"/>
  <c r="CD21" i="34" s="1"/>
  <c r="CE21" i="34" s="1"/>
  <c r="CF21" i="34" s="1"/>
  <c r="CG21" i="34" s="1"/>
  <c r="CH21" i="34" s="1"/>
  <c r="CI21" i="34" s="1"/>
  <c r="CJ21" i="34" s="1"/>
  <c r="CK21" i="34" s="1"/>
  <c r="CL21" i="34" s="1"/>
  <c r="CM21" i="34" s="1"/>
  <c r="CN21" i="34" s="1"/>
  <c r="CO21" i="34" s="1"/>
  <c r="CP21" i="34" s="1"/>
  <c r="CQ21" i="34" s="1"/>
  <c r="CR21" i="34" s="1"/>
  <c r="CS21" i="34" s="1"/>
  <c r="CT21" i="34" s="1"/>
  <c r="CU21" i="34" s="1"/>
  <c r="CV21" i="34" s="1"/>
  <c r="CW21" i="34" s="1"/>
  <c r="CX21" i="34" s="1"/>
  <c r="CY21" i="34" s="1"/>
  <c r="CZ21" i="34" s="1"/>
  <c r="DA21" i="34" s="1"/>
  <c r="DB21" i="34" s="1"/>
  <c r="DC21" i="34" s="1"/>
  <c r="DD21" i="34" s="1"/>
  <c r="DE21" i="34" s="1"/>
  <c r="DF21" i="34" s="1"/>
  <c r="DG21" i="34" s="1"/>
  <c r="DH21" i="34" s="1"/>
  <c r="DI21" i="34" s="1"/>
  <c r="DJ21" i="34" s="1"/>
  <c r="DK21" i="34" s="1"/>
  <c r="DL21" i="34" s="1"/>
  <c r="DM21" i="34" s="1"/>
  <c r="DN21" i="34" s="1"/>
  <c r="DO21" i="34" s="1"/>
  <c r="DP21" i="34" s="1"/>
  <c r="DQ21" i="34" s="1"/>
  <c r="DR21" i="34" s="1"/>
  <c r="DS21" i="34" s="1"/>
  <c r="DT21" i="34" s="1"/>
  <c r="DU21" i="34" s="1"/>
  <c r="DV21" i="34" s="1"/>
  <c r="DW21" i="34" s="1"/>
  <c r="DX21" i="34" s="1"/>
  <c r="DY21" i="34" s="1"/>
  <c r="DZ21" i="34" s="1"/>
  <c r="EA21" i="34" s="1"/>
  <c r="EB21" i="34" s="1"/>
  <c r="EC21" i="34" s="1"/>
  <c r="ED21" i="34" s="1"/>
  <c r="EE21" i="34" s="1"/>
  <c r="EF21" i="34" s="1"/>
  <c r="EG21" i="34" s="1"/>
  <c r="EH21" i="34" s="1"/>
  <c r="EI21" i="34" s="1"/>
  <c r="EJ21" i="34" s="1"/>
  <c r="EK21" i="34" s="1"/>
  <c r="EL21" i="34" s="1"/>
  <c r="EM21" i="34" s="1"/>
  <c r="EN21" i="34" s="1"/>
  <c r="EO21" i="34" s="1"/>
  <c r="EP21" i="34" s="1"/>
  <c r="EQ21" i="34" s="1"/>
  <c r="ER21" i="34" s="1"/>
  <c r="ES21" i="34" s="1"/>
  <c r="ET21" i="34" s="1"/>
  <c r="EU21" i="34" s="1"/>
  <c r="EV21" i="34" s="1"/>
  <c r="EW21" i="34" s="1"/>
  <c r="EX21" i="34" s="1"/>
  <c r="EY21" i="34" s="1"/>
  <c r="EZ21" i="34" s="1"/>
  <c r="FA21" i="34" s="1"/>
  <c r="FB21" i="34" s="1"/>
  <c r="FC21" i="34" s="1"/>
  <c r="FD21" i="34" s="1"/>
  <c r="FE21" i="34" s="1"/>
  <c r="FF21" i="34" s="1"/>
  <c r="FG21" i="34" s="1"/>
  <c r="FH21" i="34" s="1"/>
  <c r="FI21" i="34" s="1"/>
  <c r="FJ21" i="34" s="1"/>
  <c r="FK21" i="34" s="1"/>
  <c r="FL21" i="34" s="1"/>
  <c r="FM21" i="34" s="1"/>
  <c r="FN21" i="34" s="1"/>
  <c r="FO21" i="34" s="1"/>
  <c r="FP21" i="34" s="1"/>
  <c r="FQ21" i="34" s="1"/>
  <c r="FR21" i="34" s="1"/>
  <c r="FS21" i="34" s="1"/>
  <c r="FT21" i="34" s="1"/>
  <c r="FU21" i="34" s="1"/>
  <c r="FV21" i="34" s="1"/>
  <c r="FW21" i="34" s="1"/>
  <c r="FX21" i="34" s="1"/>
  <c r="FY21" i="34" s="1"/>
  <c r="FZ21" i="34" s="1"/>
  <c r="GA21" i="34" s="1"/>
  <c r="GB21" i="34" s="1"/>
  <c r="GC21" i="34" s="1"/>
  <c r="GD21" i="34" s="1"/>
  <c r="GE21" i="34" s="1"/>
  <c r="GF21" i="34" s="1"/>
  <c r="GG21" i="34" s="1"/>
  <c r="GH21" i="34" s="1"/>
  <c r="GI21" i="34" s="1"/>
  <c r="GJ21" i="34" s="1"/>
  <c r="GK21" i="34" s="1"/>
  <c r="GL21" i="34" s="1"/>
  <c r="GM21" i="34" s="1"/>
  <c r="GN21" i="34" s="1"/>
  <c r="GO21" i="34" s="1"/>
  <c r="GP21" i="34" s="1"/>
  <c r="GQ21" i="34" s="1"/>
  <c r="GR21" i="34" s="1"/>
  <c r="GS21" i="34" s="1"/>
  <c r="GT21" i="34" s="1"/>
  <c r="GU21" i="34" s="1"/>
  <c r="GV21" i="34" s="1"/>
  <c r="GW21" i="34" s="1"/>
  <c r="GX21" i="34" s="1"/>
  <c r="GY21" i="34" s="1"/>
  <c r="GZ21" i="34" s="1"/>
  <c r="HA21" i="34" s="1"/>
  <c r="HB21" i="34" s="1"/>
  <c r="HC21" i="34" s="1"/>
  <c r="HD21" i="34" s="1"/>
  <c r="HE21" i="34" s="1"/>
  <c r="HF21" i="34" s="1"/>
  <c r="HG21" i="34" s="1"/>
  <c r="HH21" i="34" s="1"/>
  <c r="HI21" i="34" s="1"/>
  <c r="HJ21" i="34" s="1"/>
  <c r="HK21" i="34" s="1"/>
  <c r="HL21" i="34" s="1"/>
  <c r="HM21" i="34" s="1"/>
  <c r="HN21" i="34" s="1"/>
  <c r="HO21" i="34" s="1"/>
  <c r="HP21" i="34" s="1"/>
  <c r="HQ21" i="34" s="1"/>
  <c r="HR21" i="34" s="1"/>
  <c r="HS21" i="34" s="1"/>
  <c r="HT21" i="34" s="1"/>
  <c r="HU21" i="34" s="1"/>
  <c r="HV21" i="34" s="1"/>
  <c r="HW21" i="34" s="1"/>
  <c r="HX21" i="34" s="1"/>
  <c r="HY21" i="34" s="1"/>
  <c r="HZ21" i="34" s="1"/>
  <c r="IA21" i="34" s="1"/>
  <c r="IB21" i="34" s="1"/>
  <c r="IC21" i="34" s="1"/>
  <c r="ID21" i="34" s="1"/>
  <c r="IE21" i="34" s="1"/>
  <c r="IF21" i="34" s="1"/>
  <c r="IG21" i="34" s="1"/>
  <c r="IH21" i="34" s="1"/>
  <c r="II21" i="34" s="1"/>
  <c r="IJ21" i="34" s="1"/>
  <c r="IK21" i="34" s="1"/>
  <c r="IL21" i="34" s="1"/>
  <c r="IM21" i="34" s="1"/>
  <c r="IN21" i="34" s="1"/>
  <c r="IO21" i="34" s="1"/>
  <c r="AZ21" i="34"/>
  <c r="BA21" i="34" s="1"/>
  <c r="BB21" i="34" s="1"/>
  <c r="BC21" i="34" s="1"/>
  <c r="BD21" i="34" s="1"/>
  <c r="BE21" i="34" s="1"/>
  <c r="BF21" i="34" s="1"/>
  <c r="BG21" i="34" s="1"/>
  <c r="BR20" i="34"/>
  <c r="CB20" i="34" s="1"/>
  <c r="BI20" i="34"/>
  <c r="AY20" i="34"/>
  <c r="O11" i="34"/>
  <c r="O10" i="34"/>
  <c r="O9" i="34"/>
  <c r="V8" i="34"/>
  <c r="O8" i="34"/>
  <c r="V7" i="34"/>
  <c r="O7" i="34"/>
  <c r="V6" i="34"/>
  <c r="O6" i="34"/>
  <c r="C6" i="34"/>
  <c r="V5" i="34"/>
  <c r="O5" i="34"/>
  <c r="O4" i="34"/>
  <c r="C4" i="34"/>
  <c r="D4" i="34" s="1"/>
  <c r="C3" i="34"/>
  <c r="D3" i="34" s="1"/>
  <c r="U66" i="33"/>
  <c r="V66" i="33" s="1"/>
  <c r="W66" i="33" s="1"/>
  <c r="X66" i="33" s="1"/>
  <c r="Y66" i="33" s="1"/>
  <c r="U65" i="33"/>
  <c r="V65" i="33" s="1"/>
  <c r="W65" i="33" s="1"/>
  <c r="X65" i="33" s="1"/>
  <c r="Y65" i="33" s="1"/>
  <c r="Z65" i="33" s="1"/>
  <c r="AA65" i="33" s="1"/>
  <c r="AB65" i="33" s="1"/>
  <c r="U64" i="33"/>
  <c r="V64" i="33" s="1"/>
  <c r="W64" i="33" s="1"/>
  <c r="X64" i="33" s="1"/>
  <c r="Y64" i="33" s="1"/>
  <c r="Z64" i="33" s="1"/>
  <c r="AA64" i="33" s="1"/>
  <c r="AB64" i="33" s="1"/>
  <c r="U63" i="33"/>
  <c r="V63" i="33" s="1"/>
  <c r="W63" i="33" s="1"/>
  <c r="X63" i="33" s="1"/>
  <c r="Y63" i="33" s="1"/>
  <c r="Z63" i="33" s="1"/>
  <c r="AA63" i="33" s="1"/>
  <c r="AB63" i="33" s="1"/>
  <c r="U62" i="33"/>
  <c r="V62" i="33" s="1"/>
  <c r="W62" i="33" s="1"/>
  <c r="X62" i="33" s="1"/>
  <c r="Y62" i="33" s="1"/>
  <c r="Z62" i="33" s="1"/>
  <c r="AA62" i="33" s="1"/>
  <c r="AB62" i="33" s="1"/>
  <c r="U61" i="33"/>
  <c r="V61" i="33" s="1"/>
  <c r="W61" i="33" s="1"/>
  <c r="X61" i="33" s="1"/>
  <c r="Y61" i="33" s="1"/>
  <c r="Z61" i="33" s="1"/>
  <c r="AA61" i="33" s="1"/>
  <c r="AB61" i="33" s="1"/>
  <c r="U60" i="33"/>
  <c r="V60" i="33" s="1"/>
  <c r="W60" i="33" s="1"/>
  <c r="X60" i="33" s="1"/>
  <c r="Y60" i="33" s="1"/>
  <c r="Z60" i="33" s="1"/>
  <c r="AA60" i="33" s="1"/>
  <c r="AB60" i="33" s="1"/>
  <c r="U59" i="33"/>
  <c r="V59" i="33" s="1"/>
  <c r="W59" i="33" s="1"/>
  <c r="X59" i="33" s="1"/>
  <c r="Y59" i="33" s="1"/>
  <c r="Z59" i="33" s="1"/>
  <c r="AA59" i="33" s="1"/>
  <c r="AB59" i="33" s="1"/>
  <c r="AF58" i="33"/>
  <c r="AG58" i="33" s="1"/>
  <c r="AH58" i="33" s="1"/>
  <c r="AI58" i="33" s="1"/>
  <c r="AJ58" i="33" s="1"/>
  <c r="U58" i="33"/>
  <c r="V58" i="33" s="1"/>
  <c r="W58" i="33" s="1"/>
  <c r="X58" i="33" s="1"/>
  <c r="Y58" i="33" s="1"/>
  <c r="Z58" i="33" s="1"/>
  <c r="AA58" i="33" s="1"/>
  <c r="AB58" i="33" s="1"/>
  <c r="AC58" i="33" s="1"/>
  <c r="AD58" i="33" s="1"/>
  <c r="AF57" i="33"/>
  <c r="AG57" i="33" s="1"/>
  <c r="AH57" i="33" s="1"/>
  <c r="AI57" i="33" s="1"/>
  <c r="AJ57" i="33" s="1"/>
  <c r="U57" i="33"/>
  <c r="V57" i="33" s="1"/>
  <c r="W57" i="33" s="1"/>
  <c r="X57" i="33" s="1"/>
  <c r="Y57" i="33" s="1"/>
  <c r="Z57" i="33" s="1"/>
  <c r="AA57" i="33" s="1"/>
  <c r="AB57" i="33" s="1"/>
  <c r="AC57" i="33" s="1"/>
  <c r="AD57" i="33" s="1"/>
  <c r="AF56" i="33"/>
  <c r="AG56" i="33" s="1"/>
  <c r="AH56" i="33" s="1"/>
  <c r="AI56" i="33" s="1"/>
  <c r="AJ56" i="33" s="1"/>
  <c r="U56" i="33"/>
  <c r="V56" i="33" s="1"/>
  <c r="W56" i="33" s="1"/>
  <c r="X56" i="33" s="1"/>
  <c r="Y56" i="33" s="1"/>
  <c r="Z56" i="33" s="1"/>
  <c r="AA56" i="33" s="1"/>
  <c r="AB56" i="33" s="1"/>
  <c r="AC56" i="33" s="1"/>
  <c r="AD56" i="33" s="1"/>
  <c r="U55" i="33"/>
  <c r="V55" i="33" s="1"/>
  <c r="W55" i="33" s="1"/>
  <c r="X55" i="33" s="1"/>
  <c r="Y55" i="33" s="1"/>
  <c r="Z55" i="33" s="1"/>
  <c r="AA55" i="33" s="1"/>
  <c r="AB55" i="33" s="1"/>
  <c r="AC55" i="33" s="1"/>
  <c r="AD55" i="33" s="1"/>
  <c r="AE55" i="33" s="1"/>
  <c r="AF55" i="33" s="1"/>
  <c r="AG55" i="33" s="1"/>
  <c r="AH55" i="33" s="1"/>
  <c r="AI55" i="33" s="1"/>
  <c r="AJ55" i="33" s="1"/>
  <c r="AF54" i="33"/>
  <c r="AG54" i="33" s="1"/>
  <c r="AH54" i="33" s="1"/>
  <c r="AI54" i="33" s="1"/>
  <c r="AJ54" i="33" s="1"/>
  <c r="U54" i="33"/>
  <c r="V54" i="33" s="1"/>
  <c r="W54" i="33" s="1"/>
  <c r="X54" i="33" s="1"/>
  <c r="Y54" i="33" s="1"/>
  <c r="Z54" i="33" s="1"/>
  <c r="AA54" i="33" s="1"/>
  <c r="AB54" i="33" s="1"/>
  <c r="AC54" i="33" s="1"/>
  <c r="AD54" i="33" s="1"/>
  <c r="AF53" i="33"/>
  <c r="AG53" i="33" s="1"/>
  <c r="AH53" i="33" s="1"/>
  <c r="AI53" i="33" s="1"/>
  <c r="AJ53" i="33" s="1"/>
  <c r="Y53" i="33"/>
  <c r="Z53" i="33" s="1"/>
  <c r="AA53" i="33" s="1"/>
  <c r="AB53" i="33" s="1"/>
  <c r="AC53" i="33" s="1"/>
  <c r="AD53" i="33" s="1"/>
  <c r="AF52" i="33"/>
  <c r="AG52" i="33" s="1"/>
  <c r="AH52" i="33" s="1"/>
  <c r="AI52" i="33" s="1"/>
  <c r="AJ52" i="33" s="1"/>
  <c r="U52" i="33"/>
  <c r="V52" i="33" s="1"/>
  <c r="W52" i="33" s="1"/>
  <c r="X52" i="33" s="1"/>
  <c r="Y52" i="33" s="1"/>
  <c r="Z52" i="33" s="1"/>
  <c r="AA52" i="33" s="1"/>
  <c r="AB52" i="33" s="1"/>
  <c r="AC52" i="33" s="1"/>
  <c r="AD52" i="33" s="1"/>
  <c r="AF51" i="33"/>
  <c r="AG51" i="33" s="1"/>
  <c r="AH51" i="33" s="1"/>
  <c r="AI51" i="33" s="1"/>
  <c r="AJ51" i="33" s="1"/>
  <c r="U51" i="33"/>
  <c r="V51" i="33" s="1"/>
  <c r="W51" i="33" s="1"/>
  <c r="X51" i="33" s="1"/>
  <c r="Y51" i="33" s="1"/>
  <c r="Z51" i="33" s="1"/>
  <c r="AA51" i="33" s="1"/>
  <c r="AB51" i="33" s="1"/>
  <c r="AC51" i="33" s="1"/>
  <c r="AD51" i="33" s="1"/>
  <c r="AF50" i="33"/>
  <c r="AG50" i="33" s="1"/>
  <c r="AH50" i="33" s="1"/>
  <c r="AI50" i="33" s="1"/>
  <c r="AJ50" i="33" s="1"/>
  <c r="U50" i="33"/>
  <c r="V50" i="33" s="1"/>
  <c r="W50" i="33" s="1"/>
  <c r="X50" i="33" s="1"/>
  <c r="Y50" i="33" s="1"/>
  <c r="Z50" i="33" s="1"/>
  <c r="AA50" i="33" s="1"/>
  <c r="AB50" i="33" s="1"/>
  <c r="AC50" i="33" s="1"/>
  <c r="AD50" i="33" s="1"/>
  <c r="AF49" i="33"/>
  <c r="AG49" i="33" s="1"/>
  <c r="AH49" i="33" s="1"/>
  <c r="AI49" i="33" s="1"/>
  <c r="AJ49" i="33" s="1"/>
  <c r="U49" i="33"/>
  <c r="V49" i="33" s="1"/>
  <c r="W49" i="33" s="1"/>
  <c r="X49" i="33" s="1"/>
  <c r="Y49" i="33" s="1"/>
  <c r="Z49" i="33" s="1"/>
  <c r="AA49" i="33" s="1"/>
  <c r="AB49" i="33" s="1"/>
  <c r="AC49" i="33" s="1"/>
  <c r="AD49" i="33" s="1"/>
  <c r="AF48" i="33"/>
  <c r="AG48" i="33" s="1"/>
  <c r="AH48" i="33" s="1"/>
  <c r="AI48" i="33" s="1"/>
  <c r="AJ48" i="33" s="1"/>
  <c r="U48" i="33"/>
  <c r="V48" i="33" s="1"/>
  <c r="W48" i="33" s="1"/>
  <c r="X48" i="33" s="1"/>
  <c r="Y48" i="33" s="1"/>
  <c r="Z48" i="33" s="1"/>
  <c r="AA48" i="33" s="1"/>
  <c r="AB48" i="33" s="1"/>
  <c r="AC48" i="33" s="1"/>
  <c r="AD48" i="33" s="1"/>
  <c r="W66" i="31"/>
  <c r="X66" i="31" s="1"/>
  <c r="Y66" i="31" s="1"/>
  <c r="Z66" i="31" s="1"/>
  <c r="AA66" i="31" s="1"/>
  <c r="W65" i="31"/>
  <c r="X65" i="31" s="1"/>
  <c r="Y65" i="31" s="1"/>
  <c r="Z65" i="31" s="1"/>
  <c r="AA65" i="31" s="1"/>
  <c r="T65" i="31"/>
  <c r="U65" i="31" s="1"/>
  <c r="W64" i="31"/>
  <c r="X64" i="31" s="1"/>
  <c r="Y64" i="31" s="1"/>
  <c r="Z64" i="31" s="1"/>
  <c r="AA64" i="31" s="1"/>
  <c r="AB64" i="31" s="1"/>
  <c r="T64" i="31"/>
  <c r="U64" i="31" s="1"/>
  <c r="W63" i="31"/>
  <c r="X63" i="31" s="1"/>
  <c r="Y63" i="31" s="1"/>
  <c r="Z63" i="31" s="1"/>
  <c r="AA63" i="31" s="1"/>
  <c r="AB63" i="31" s="1"/>
  <c r="T63" i="31"/>
  <c r="U63" i="31" s="1"/>
  <c r="W62" i="31"/>
  <c r="X62" i="31" s="1"/>
  <c r="Y62" i="31" s="1"/>
  <c r="Z62" i="31" s="1"/>
  <c r="AA62" i="31" s="1"/>
  <c r="AB62" i="31" s="1"/>
  <c r="T62" i="31"/>
  <c r="U62" i="31" s="1"/>
  <c r="W61" i="31"/>
  <c r="X61" i="31" s="1"/>
  <c r="Y61" i="31" s="1"/>
  <c r="Z61" i="31" s="1"/>
  <c r="AA61" i="31" s="1"/>
  <c r="AB61" i="31" s="1"/>
  <c r="T61" i="31"/>
  <c r="U61" i="31" s="1"/>
  <c r="W60" i="31"/>
  <c r="X60" i="31" s="1"/>
  <c r="Y60" i="31" s="1"/>
  <c r="Z60" i="31" s="1"/>
  <c r="AA60" i="31" s="1"/>
  <c r="AB60" i="31" s="1"/>
  <c r="T60" i="31"/>
  <c r="U60" i="31" s="1"/>
  <c r="W59" i="31"/>
  <c r="X59" i="31" s="1"/>
  <c r="Y59" i="31" s="1"/>
  <c r="Z59" i="31" s="1"/>
  <c r="AA59" i="31" s="1"/>
  <c r="AB59" i="31" s="1"/>
  <c r="T59" i="31"/>
  <c r="U59" i="31" s="1"/>
  <c r="W58" i="31"/>
  <c r="X58" i="31" s="1"/>
  <c r="Y58" i="31" s="1"/>
  <c r="Z58" i="31" s="1"/>
  <c r="AA58" i="31" s="1"/>
  <c r="AB58" i="31" s="1"/>
  <c r="AC58" i="31" s="1"/>
  <c r="AD58" i="31" s="1"/>
  <c r="AE58" i="31" s="1"/>
  <c r="AF58" i="31" s="1"/>
  <c r="AG58" i="31" s="1"/>
  <c r="AH58" i="31" s="1"/>
  <c r="AI58" i="31" s="1"/>
  <c r="AJ58" i="31" s="1"/>
  <c r="T58" i="31"/>
  <c r="U58" i="31" s="1"/>
  <c r="AH57" i="31"/>
  <c r="AI57" i="31" s="1"/>
  <c r="AJ57" i="31" s="1"/>
  <c r="W57" i="31"/>
  <c r="X57" i="31" s="1"/>
  <c r="Y57" i="31" s="1"/>
  <c r="Z57" i="31" s="1"/>
  <c r="T57" i="31"/>
  <c r="U57" i="31" s="1"/>
  <c r="AH56" i="31"/>
  <c r="AI56" i="31" s="1"/>
  <c r="AJ56" i="31" s="1"/>
  <c r="W56" i="31"/>
  <c r="X56" i="31" s="1"/>
  <c r="Y56" i="31" s="1"/>
  <c r="Z56" i="31" s="1"/>
  <c r="AA56" i="31" s="1"/>
  <c r="AB56" i="31" s="1"/>
  <c r="AC56" i="31" s="1"/>
  <c r="AD56" i="31" s="1"/>
  <c r="AE56" i="31" s="1"/>
  <c r="AF56" i="31" s="1"/>
  <c r="T56" i="31"/>
  <c r="U56" i="31" s="1"/>
  <c r="AH55" i="31"/>
  <c r="AI55" i="31" s="1"/>
  <c r="AJ55" i="31" s="1"/>
  <c r="W55" i="31"/>
  <c r="X55" i="31" s="1"/>
  <c r="Y55" i="31" s="1"/>
  <c r="Z55" i="31" s="1"/>
  <c r="AA55" i="31" s="1"/>
  <c r="AB55" i="31" s="1"/>
  <c r="AC55" i="31" s="1"/>
  <c r="AD55" i="31" s="1"/>
  <c r="AE55" i="31" s="1"/>
  <c r="AF55" i="31" s="1"/>
  <c r="T55" i="31"/>
  <c r="U55" i="31" s="1"/>
  <c r="AH54" i="31"/>
  <c r="AI54" i="31" s="1"/>
  <c r="AJ54" i="31" s="1"/>
  <c r="W54" i="31"/>
  <c r="X54" i="31" s="1"/>
  <c r="Y54" i="31" s="1"/>
  <c r="Z54" i="31" s="1"/>
  <c r="AA54" i="31" s="1"/>
  <c r="AB54" i="31" s="1"/>
  <c r="AC54" i="31" s="1"/>
  <c r="AD54" i="31" s="1"/>
  <c r="AE54" i="31" s="1"/>
  <c r="AF54" i="31" s="1"/>
  <c r="T54" i="31"/>
  <c r="U54" i="31" s="1"/>
  <c r="T53" i="31"/>
  <c r="U53" i="31" s="1"/>
  <c r="V53" i="31" s="1"/>
  <c r="W53" i="31" s="1"/>
  <c r="AH52" i="31"/>
  <c r="AI52" i="31" s="1"/>
  <c r="AJ52" i="31" s="1"/>
  <c r="X52" i="31"/>
  <c r="Y52" i="31" s="1"/>
  <c r="Z52" i="31" s="1"/>
  <c r="AA52" i="31" s="1"/>
  <c r="AB52" i="31" s="1"/>
  <c r="AC52" i="31" s="1"/>
  <c r="AD52" i="31" s="1"/>
  <c r="AE52" i="31" s="1"/>
  <c r="AF52" i="31" s="1"/>
  <c r="W52" i="31"/>
  <c r="T52" i="31"/>
  <c r="U52" i="31" s="1"/>
  <c r="W51" i="31"/>
  <c r="X51" i="31" s="1"/>
  <c r="Y51" i="31" s="1"/>
  <c r="Z51" i="31" s="1"/>
  <c r="AA51" i="31" s="1"/>
  <c r="AB51" i="31" s="1"/>
  <c r="AC51" i="31" s="1"/>
  <c r="AD51" i="31" s="1"/>
  <c r="AE51" i="31" s="1"/>
  <c r="AF51" i="31" s="1"/>
  <c r="AG51" i="31" s="1"/>
  <c r="AH51" i="31" s="1"/>
  <c r="AI51" i="31" s="1"/>
  <c r="AJ51" i="31" s="1"/>
  <c r="T51" i="31"/>
  <c r="U51" i="31" s="1"/>
  <c r="W50" i="31"/>
  <c r="X50" i="31" s="1"/>
  <c r="Y50" i="31" s="1"/>
  <c r="Z50" i="31" s="1"/>
  <c r="AA50" i="31" s="1"/>
  <c r="AB50" i="31" s="1"/>
  <c r="AC50" i="31" s="1"/>
  <c r="AD50" i="31" s="1"/>
  <c r="AE50" i="31" s="1"/>
  <c r="AF50" i="31" s="1"/>
  <c r="AG50" i="31" s="1"/>
  <c r="AH50" i="31" s="1"/>
  <c r="AI50" i="31" s="1"/>
  <c r="AJ50" i="31" s="1"/>
  <c r="T50" i="31"/>
  <c r="U50" i="31" s="1"/>
  <c r="AH49" i="31"/>
  <c r="AI49" i="31" s="1"/>
  <c r="AJ49" i="31" s="1"/>
  <c r="AC49" i="31"/>
  <c r="AD49" i="31" s="1"/>
  <c r="AE49" i="31" s="1"/>
  <c r="AF49" i="31" s="1"/>
  <c r="W49" i="31"/>
  <c r="X49" i="31" s="1"/>
  <c r="Y49" i="31" s="1"/>
  <c r="Z49" i="31" s="1"/>
  <c r="AA49" i="31" s="1"/>
  <c r="U49" i="31"/>
  <c r="T49" i="31"/>
  <c r="AH48" i="31"/>
  <c r="AI48" i="31" s="1"/>
  <c r="AJ48" i="31" s="1"/>
  <c r="AC48" i="31"/>
  <c r="AD48" i="31" s="1"/>
  <c r="AE48" i="31" s="1"/>
  <c r="AF48" i="31" s="1"/>
  <c r="W48" i="31"/>
  <c r="X48" i="31" s="1"/>
  <c r="Y48" i="31" s="1"/>
  <c r="Z48" i="31" s="1"/>
  <c r="AA48" i="31" s="1"/>
  <c r="T48" i="31"/>
  <c r="U48" i="31" s="1"/>
  <c r="J4" i="36" l="1"/>
  <c r="P14" i="36" s="1"/>
  <c r="EH33" i="35"/>
  <c r="ER23" i="35"/>
  <c r="D30" i="36"/>
  <c r="EH30" i="34"/>
  <c r="HJ30" i="34"/>
  <c r="CT31" i="34"/>
  <c r="ER33" i="34"/>
  <c r="EH34" i="34"/>
  <c r="CJ35" i="35"/>
  <c r="BI27" i="37"/>
  <c r="BI23" i="37"/>
  <c r="DX31" i="34"/>
  <c r="BZ22" i="35"/>
  <c r="DX23" i="35"/>
  <c r="AY23" i="37"/>
  <c r="J3" i="34"/>
  <c r="J4" i="34" s="1"/>
  <c r="P14" i="34" s="1"/>
  <c r="J4" i="37"/>
  <c r="P14" i="37" s="1"/>
  <c r="P13" i="37"/>
  <c r="J3" i="35"/>
  <c r="P83" i="35"/>
  <c r="P85" i="35" s="1"/>
  <c r="AB76" i="35" s="1"/>
  <c r="P76" i="35"/>
  <c r="P78" i="35" s="1"/>
  <c r="AB75" i="35" s="1"/>
  <c r="P76" i="34"/>
  <c r="P78" i="34" s="1"/>
  <c r="AB75" i="34" s="1"/>
  <c r="P83" i="34"/>
  <c r="P85" i="34" s="1"/>
  <c r="AB76" i="34" s="1"/>
  <c r="C8" i="35"/>
  <c r="D68" i="40"/>
  <c r="P9" i="40" s="1"/>
  <c r="D67" i="40"/>
  <c r="P8" i="40" s="1"/>
  <c r="P7" i="40"/>
  <c r="FO21" i="40"/>
  <c r="P18" i="40"/>
  <c r="FO25" i="40"/>
  <c r="P22" i="40"/>
  <c r="FO28" i="40"/>
  <c r="P25" i="40"/>
  <c r="B34" i="40"/>
  <c r="E33" i="40"/>
  <c r="F33" i="40"/>
  <c r="D33" i="40"/>
  <c r="G33" i="40"/>
  <c r="H33" i="40"/>
  <c r="I33" i="40"/>
  <c r="J33" i="40"/>
  <c r="K33" i="40"/>
  <c r="L33" i="40"/>
  <c r="M33" i="40"/>
  <c r="N33" i="40"/>
  <c r="P17" i="40"/>
  <c r="FO20" i="40"/>
  <c r="FO22" i="40"/>
  <c r="P19" i="40"/>
  <c r="FO27" i="40"/>
  <c r="P24" i="40"/>
  <c r="P28" i="40"/>
  <c r="FO31" i="40"/>
  <c r="AU37" i="40"/>
  <c r="AV36" i="40"/>
  <c r="FO23" i="40"/>
  <c r="P20" i="40"/>
  <c r="FO26" i="40"/>
  <c r="P23" i="40"/>
  <c r="FO30" i="40"/>
  <c r="P27" i="40"/>
  <c r="GG30" i="40"/>
  <c r="FX30" i="40" s="1"/>
  <c r="GG27" i="40"/>
  <c r="FX27" i="40" s="1"/>
  <c r="GG28" i="40"/>
  <c r="FX28" i="40" s="1"/>
  <c r="GG23" i="40"/>
  <c r="FX23" i="40" s="1"/>
  <c r="GG24" i="40"/>
  <c r="FX24" i="40" s="1"/>
  <c r="GG29" i="40"/>
  <c r="FX29" i="40" s="1"/>
  <c r="GG26" i="40"/>
  <c r="FX26" i="40" s="1"/>
  <c r="GG25" i="40"/>
  <c r="FX25" i="40" s="1"/>
  <c r="GG31" i="40"/>
  <c r="FX31" i="40" s="1"/>
  <c r="GG22" i="40"/>
  <c r="FX22" i="40" s="1"/>
  <c r="FY18" i="40"/>
  <c r="GG21" i="40"/>
  <c r="FX21" i="40" s="1"/>
  <c r="GH18" i="40"/>
  <c r="GG20" i="40"/>
  <c r="FX20" i="40" s="1"/>
  <c r="FO24" i="40"/>
  <c r="P21" i="40"/>
  <c r="FO29" i="40"/>
  <c r="P26" i="40"/>
  <c r="AY27" i="37"/>
  <c r="D24" i="37"/>
  <c r="BI24" i="37"/>
  <c r="E21" i="37"/>
  <c r="AY25" i="37"/>
  <c r="D22" i="37"/>
  <c r="D29" i="37"/>
  <c r="AY31" i="37"/>
  <c r="D28" i="37"/>
  <c r="AY29" i="37"/>
  <c r="D26" i="37"/>
  <c r="BS23" i="37"/>
  <c r="F20" i="37"/>
  <c r="D30" i="37"/>
  <c r="F30" i="37"/>
  <c r="E30" i="37"/>
  <c r="B31" i="37"/>
  <c r="AY39" i="37"/>
  <c r="BI37" i="37"/>
  <c r="AY28" i="37"/>
  <c r="AY29" i="36"/>
  <c r="BI32" i="36"/>
  <c r="BI26" i="36"/>
  <c r="E30" i="36"/>
  <c r="AY30" i="36"/>
  <c r="BG35" i="35"/>
  <c r="AX35" i="35" s="1"/>
  <c r="DN27" i="35"/>
  <c r="ER36" i="35"/>
  <c r="BP28" i="35"/>
  <c r="BQ37" i="35"/>
  <c r="BH37" i="35" s="1"/>
  <c r="CT23" i="35"/>
  <c r="EH23" i="35"/>
  <c r="ER24" i="35"/>
  <c r="BG25" i="35"/>
  <c r="AX25" i="35" s="1"/>
  <c r="DD28" i="35"/>
  <c r="DX29" i="35"/>
  <c r="ER29" i="35"/>
  <c r="BP33" i="35"/>
  <c r="DD33" i="35"/>
  <c r="BG34" i="35"/>
  <c r="AX34" i="35" s="1"/>
  <c r="D31" i="35" s="1"/>
  <c r="BP41" i="35"/>
  <c r="BP26" i="35"/>
  <c r="CJ34" i="35"/>
  <c r="BZ35" i="35"/>
  <c r="DN35" i="35"/>
  <c r="BG36" i="35"/>
  <c r="AX36" i="35" s="1"/>
  <c r="DN36" i="35"/>
  <c r="BF37" i="35"/>
  <c r="CJ39" i="35"/>
  <c r="BZ40" i="35"/>
  <c r="CJ27" i="35"/>
  <c r="BF29" i="35"/>
  <c r="DX36" i="35"/>
  <c r="CA24" i="35"/>
  <c r="BR24" i="35" s="1"/>
  <c r="DX24" i="35"/>
  <c r="BP25" i="35"/>
  <c r="CJ26" i="35"/>
  <c r="CT26" i="35"/>
  <c r="BF28" i="35"/>
  <c r="BQ28" i="35"/>
  <c r="BH28" i="35" s="1"/>
  <c r="BI28" i="35" s="1"/>
  <c r="CT29" i="35"/>
  <c r="BP32" i="35"/>
  <c r="BF35" i="35"/>
  <c r="DD36" i="35"/>
  <c r="BP37" i="35"/>
  <c r="BZ37" i="35"/>
  <c r="EH41" i="35"/>
  <c r="BS20" i="35"/>
  <c r="BP22" i="35"/>
  <c r="CJ23" i="35"/>
  <c r="EH24" i="35"/>
  <c r="DX25" i="35"/>
  <c r="BQ26" i="35"/>
  <c r="BH26" i="35" s="1"/>
  <c r="E23" i="35" s="1"/>
  <c r="BZ26" i="35"/>
  <c r="DD27" i="35"/>
  <c r="ER27" i="35"/>
  <c r="BQ29" i="35"/>
  <c r="BH29" i="35" s="1"/>
  <c r="E26" i="35" s="1"/>
  <c r="CT30" i="35"/>
  <c r="EH31" i="35"/>
  <c r="ER31" i="35"/>
  <c r="BP40" i="35"/>
  <c r="BG23" i="35"/>
  <c r="AX23" i="35" s="1"/>
  <c r="BZ23" i="35"/>
  <c r="CJ24" i="35"/>
  <c r="ER26" i="35"/>
  <c r="BQ27" i="35"/>
  <c r="BH27" i="35" s="1"/>
  <c r="EH28" i="35"/>
  <c r="BG30" i="35"/>
  <c r="AX30" i="35" s="1"/>
  <c r="AY30" i="35" s="1"/>
  <c r="BP30" i="35"/>
  <c r="EH34" i="35"/>
  <c r="BP36" i="35"/>
  <c r="BZ39" i="35"/>
  <c r="DN39" i="35"/>
  <c r="ER41" i="35"/>
  <c r="FL23" i="34"/>
  <c r="DX22" i="34"/>
  <c r="FL22" i="34"/>
  <c r="FV23" i="34"/>
  <c r="CJ39" i="34"/>
  <c r="DD41" i="34"/>
  <c r="ER41" i="34"/>
  <c r="FB36" i="34"/>
  <c r="BG37" i="34"/>
  <c r="BG39" i="34"/>
  <c r="CL20" i="34"/>
  <c r="CC20" i="34"/>
  <c r="IN29" i="34"/>
  <c r="CJ30" i="34"/>
  <c r="BP33" i="34"/>
  <c r="CJ33" i="34"/>
  <c r="DX36" i="34"/>
  <c r="BP37" i="34"/>
  <c r="ER37" i="34"/>
  <c r="AV24" i="34"/>
  <c r="BF26" i="34"/>
  <c r="ID28" i="34"/>
  <c r="GP31" i="34"/>
  <c r="GZ31" i="34"/>
  <c r="BZ32" i="34"/>
  <c r="FB32" i="34"/>
  <c r="GP32" i="34"/>
  <c r="ID32" i="34"/>
  <c r="DN36" i="34"/>
  <c r="ER23" i="34"/>
  <c r="GP23" i="34"/>
  <c r="BZ28" i="34"/>
  <c r="DD28" i="34"/>
  <c r="DD32" i="34"/>
  <c r="CJ40" i="34"/>
  <c r="DX41" i="34"/>
  <c r="FV29" i="34"/>
  <c r="DN32" i="34"/>
  <c r="BQ39" i="34"/>
  <c r="BP22" i="34"/>
  <c r="ER22" i="34"/>
  <c r="BZ25" i="34"/>
  <c r="DN25" i="34"/>
  <c r="FB25" i="34"/>
  <c r="GP25" i="34"/>
  <c r="ID25" i="34"/>
  <c r="BZ26" i="34"/>
  <c r="DX28" i="34"/>
  <c r="CJ29" i="34"/>
  <c r="CT29" i="34"/>
  <c r="HT33" i="34"/>
  <c r="DD34" i="34"/>
  <c r="FB34" i="34"/>
  <c r="BZ35" i="34"/>
  <c r="CJ35" i="34"/>
  <c r="FL35" i="34"/>
  <c r="BG22" i="34"/>
  <c r="AX22" i="34" s="1"/>
  <c r="D19" i="34" s="1"/>
  <c r="BZ22" i="34"/>
  <c r="CJ22" i="34"/>
  <c r="BF23" i="34"/>
  <c r="EH23" i="34"/>
  <c r="CT26" i="34"/>
  <c r="BF27" i="34"/>
  <c r="CT27" i="34"/>
  <c r="DN27" i="34"/>
  <c r="EH27" i="34"/>
  <c r="FB27" i="34"/>
  <c r="FV27" i="34"/>
  <c r="GP27" i="34"/>
  <c r="HJ27" i="34"/>
  <c r="ID27" i="34"/>
  <c r="BP28" i="34"/>
  <c r="ER28" i="34"/>
  <c r="HT28" i="34"/>
  <c r="ER29" i="34"/>
  <c r="IN30" i="34"/>
  <c r="CJ31" i="34"/>
  <c r="BG32" i="34"/>
  <c r="GP33" i="34"/>
  <c r="IN33" i="34"/>
  <c r="BF34" i="34"/>
  <c r="EH35" i="34"/>
  <c r="BQ36" i="34"/>
  <c r="BZ36" i="34"/>
  <c r="DN37" i="34"/>
  <c r="FL37" i="34"/>
  <c r="EH38" i="34"/>
  <c r="BP40" i="34"/>
  <c r="Y61" i="34"/>
  <c r="Z61" i="34" s="1"/>
  <c r="AA61" i="34" s="1"/>
  <c r="AB61" i="34" s="1"/>
  <c r="CT23" i="34"/>
  <c r="HJ23" i="34"/>
  <c r="DX26" i="34"/>
  <c r="EH26" i="34"/>
  <c r="FV28" i="34"/>
  <c r="GF28" i="34"/>
  <c r="BF29" i="34"/>
  <c r="EH29" i="34"/>
  <c r="ER30" i="34"/>
  <c r="FL31" i="34"/>
  <c r="IN31" i="34"/>
  <c r="FL32" i="34"/>
  <c r="HJ32" i="34"/>
  <c r="DD33" i="34"/>
  <c r="GF33" i="34"/>
  <c r="DX35" i="34"/>
  <c r="DD37" i="34"/>
  <c r="DX39" i="34"/>
  <c r="DD40" i="34"/>
  <c r="EH40" i="34"/>
  <c r="ER40" i="34"/>
  <c r="IQ24" i="34"/>
  <c r="Z66" i="33"/>
  <c r="AA66" i="33" s="1"/>
  <c r="AB66" i="33" s="1"/>
  <c r="X53" i="31"/>
  <c r="Y53" i="31" s="1"/>
  <c r="Z53" i="31" s="1"/>
  <c r="AA53" i="31" s="1"/>
  <c r="AB53" i="31" s="1"/>
  <c r="AC53" i="31" s="1"/>
  <c r="AD53" i="31" s="1"/>
  <c r="AE53" i="31" s="1"/>
  <c r="AF53" i="31" s="1"/>
  <c r="AG53" i="31" s="1"/>
  <c r="AH53" i="31" s="1"/>
  <c r="AI53" i="31" s="1"/>
  <c r="AJ53" i="31" s="1"/>
  <c r="AA57" i="31"/>
  <c r="AB57" i="31" s="1"/>
  <c r="AC57" i="31" s="1"/>
  <c r="AD57" i="31" s="1"/>
  <c r="AE57" i="31" s="1"/>
  <c r="AF57" i="31" s="1"/>
  <c r="AY35" i="37"/>
  <c r="DX31" i="35"/>
  <c r="DX33" i="35"/>
  <c r="DX35" i="35"/>
  <c r="DX39" i="35"/>
  <c r="DN25" i="35"/>
  <c r="DN33" i="35"/>
  <c r="DN34" i="35"/>
  <c r="DN37" i="35"/>
  <c r="DD29" i="35"/>
  <c r="DD41" i="35"/>
  <c r="CT24" i="35"/>
  <c r="CT36" i="35"/>
  <c r="CT41" i="35"/>
  <c r="CT22" i="35"/>
  <c r="C45" i="37"/>
  <c r="BI39" i="37"/>
  <c r="BI35" i="37"/>
  <c r="BI33" i="37"/>
  <c r="AY30" i="37"/>
  <c r="BS24" i="37"/>
  <c r="BS30" i="37"/>
  <c r="BS33" i="37"/>
  <c r="BS31" i="37"/>
  <c r="BS39" i="37"/>
  <c r="BI25" i="37"/>
  <c r="AY24" i="37"/>
  <c r="BI32" i="37"/>
  <c r="BS28" i="37"/>
  <c r="BS34" i="37"/>
  <c r="BS32" i="37"/>
  <c r="BS35" i="37"/>
  <c r="BI40" i="37"/>
  <c r="BI30" i="37"/>
  <c r="BS27" i="37"/>
  <c r="BS25" i="37"/>
  <c r="BS36" i="37"/>
  <c r="BS37" i="37"/>
  <c r="BS38" i="37"/>
  <c r="CK41" i="37"/>
  <c r="CB41" i="37" s="1"/>
  <c r="CK37" i="37"/>
  <c r="CB37" i="37" s="1"/>
  <c r="CK38" i="37"/>
  <c r="CB38" i="37" s="1"/>
  <c r="CK39" i="37"/>
  <c r="CB39" i="37" s="1"/>
  <c r="CK34" i="37"/>
  <c r="CB34" i="37" s="1"/>
  <c r="CK35" i="37"/>
  <c r="CB35" i="37" s="1"/>
  <c r="CK31" i="37"/>
  <c r="CB31" i="37" s="1"/>
  <c r="G28" i="37" s="1"/>
  <c r="CK40" i="37"/>
  <c r="CB40" i="37" s="1"/>
  <c r="CK36" i="37"/>
  <c r="CB36" i="37" s="1"/>
  <c r="CK32" i="37"/>
  <c r="CB32" i="37" s="1"/>
  <c r="G29" i="37" s="1"/>
  <c r="CK28" i="37"/>
  <c r="CB28" i="37" s="1"/>
  <c r="G25" i="37" s="1"/>
  <c r="CK24" i="37"/>
  <c r="CB24" i="37" s="1"/>
  <c r="G21" i="37" s="1"/>
  <c r="CK30" i="37"/>
  <c r="CB30" i="37" s="1"/>
  <c r="G27" i="37" s="1"/>
  <c r="CK29" i="37"/>
  <c r="CB29" i="37" s="1"/>
  <c r="G26" i="37" s="1"/>
  <c r="CK25" i="37"/>
  <c r="CB25" i="37" s="1"/>
  <c r="G22" i="37" s="1"/>
  <c r="CK33" i="37"/>
  <c r="CB33" i="37" s="1"/>
  <c r="G30" i="37" s="1"/>
  <c r="CK26" i="37"/>
  <c r="CB26" i="37" s="1"/>
  <c r="G23" i="37" s="1"/>
  <c r="CK27" i="37"/>
  <c r="CB27" i="37" s="1"/>
  <c r="G24" i="37" s="1"/>
  <c r="CK23" i="37"/>
  <c r="CB23" i="37" s="1"/>
  <c r="G20" i="37" s="1"/>
  <c r="CL20" i="37"/>
  <c r="CC20" i="37"/>
  <c r="C11" i="37"/>
  <c r="P10" i="37" s="1"/>
  <c r="W7" i="37"/>
  <c r="AU27" i="37"/>
  <c r="AV26" i="37"/>
  <c r="AY40" i="37"/>
  <c r="AY36" i="37"/>
  <c r="AY34" i="37"/>
  <c r="BI29" i="37"/>
  <c r="BS26" i="37"/>
  <c r="BS29" i="37"/>
  <c r="BS41" i="37"/>
  <c r="BS40" i="37"/>
  <c r="AY26" i="37"/>
  <c r="D24" i="36"/>
  <c r="BI29" i="36"/>
  <c r="D25" i="36"/>
  <c r="BI27" i="36"/>
  <c r="D20" i="36"/>
  <c r="BI25" i="36"/>
  <c r="BI28" i="36"/>
  <c r="F21" i="36"/>
  <c r="BS24" i="36"/>
  <c r="F24" i="36"/>
  <c r="BS27" i="36"/>
  <c r="F27" i="36"/>
  <c r="BS30" i="36"/>
  <c r="F28" i="36"/>
  <c r="BS31" i="36"/>
  <c r="AU27" i="36"/>
  <c r="AV26" i="36"/>
  <c r="G21" i="36"/>
  <c r="CC24" i="36"/>
  <c r="G27" i="36"/>
  <c r="CC30" i="36"/>
  <c r="G26" i="36"/>
  <c r="CC29" i="36"/>
  <c r="W7" i="36"/>
  <c r="D19" i="36"/>
  <c r="AY22" i="36"/>
  <c r="F25" i="36"/>
  <c r="BS28" i="36"/>
  <c r="F23" i="36"/>
  <c r="BS26" i="36"/>
  <c r="F29" i="36"/>
  <c r="BS32" i="36"/>
  <c r="G25" i="36"/>
  <c r="CC28" i="36"/>
  <c r="G23" i="36"/>
  <c r="CC26" i="36"/>
  <c r="C9" i="36"/>
  <c r="E27" i="36"/>
  <c r="BI30" i="36"/>
  <c r="D29" i="36"/>
  <c r="AY32" i="36"/>
  <c r="CU32" i="36"/>
  <c r="CL32" i="36" s="1"/>
  <c r="CU33" i="36"/>
  <c r="CL33" i="36" s="1"/>
  <c r="CU31" i="36"/>
  <c r="CL31" i="36" s="1"/>
  <c r="CU28" i="36"/>
  <c r="CL28" i="36" s="1"/>
  <c r="CU24" i="36"/>
  <c r="CL24" i="36" s="1"/>
  <c r="CU25" i="36"/>
  <c r="CL25" i="36" s="1"/>
  <c r="CU30" i="36"/>
  <c r="CL30" i="36" s="1"/>
  <c r="CU29" i="36"/>
  <c r="CL29" i="36" s="1"/>
  <c r="CU26" i="36"/>
  <c r="CL26" i="36" s="1"/>
  <c r="CU27" i="36"/>
  <c r="CL27" i="36" s="1"/>
  <c r="CU23" i="36"/>
  <c r="CL23" i="36" s="1"/>
  <c r="CU22" i="36"/>
  <c r="CL22" i="36" s="1"/>
  <c r="CV20" i="36"/>
  <c r="CM20" i="36"/>
  <c r="F26" i="36"/>
  <c r="BS29" i="36"/>
  <c r="F30" i="36"/>
  <c r="BS33" i="36"/>
  <c r="E19" i="36"/>
  <c r="BI22" i="36"/>
  <c r="G20" i="36"/>
  <c r="CC23" i="36"/>
  <c r="G22" i="36"/>
  <c r="CC25" i="36"/>
  <c r="G28" i="36"/>
  <c r="CC31" i="36"/>
  <c r="BI23" i="36"/>
  <c r="F22" i="36"/>
  <c r="BS25" i="36"/>
  <c r="F20" i="36"/>
  <c r="BS23" i="36"/>
  <c r="G19" i="36"/>
  <c r="CC22" i="36"/>
  <c r="G24" i="36"/>
  <c r="CC27" i="36"/>
  <c r="G29" i="36"/>
  <c r="CC32" i="36"/>
  <c r="G30" i="36"/>
  <c r="CC33" i="36"/>
  <c r="CJ28" i="35"/>
  <c r="CT37" i="35"/>
  <c r="EH37" i="35"/>
  <c r="BF41" i="35"/>
  <c r="BZ30" i="35"/>
  <c r="CJ30" i="35"/>
  <c r="CJ31" i="35"/>
  <c r="DN40" i="35"/>
  <c r="BG22" i="35"/>
  <c r="AX22" i="35" s="1"/>
  <c r="DN22" i="35"/>
  <c r="BQ25" i="35"/>
  <c r="BH25" i="35" s="1"/>
  <c r="BI25" i="35" s="1"/>
  <c r="BZ25" i="35"/>
  <c r="EH26" i="35"/>
  <c r="ER28" i="35"/>
  <c r="DD32" i="35"/>
  <c r="ER32" i="35"/>
  <c r="BZ34" i="35"/>
  <c r="DX34" i="35"/>
  <c r="BZ36" i="35"/>
  <c r="EH36" i="35"/>
  <c r="CT39" i="35"/>
  <c r="EH39" i="35"/>
  <c r="CJ22" i="35"/>
  <c r="BQ23" i="35"/>
  <c r="BH23" i="35" s="1"/>
  <c r="BI23" i="35" s="1"/>
  <c r="DN23" i="35"/>
  <c r="BQ24" i="35"/>
  <c r="BH24" i="35" s="1"/>
  <c r="E21" i="35" s="1"/>
  <c r="CT25" i="35"/>
  <c r="DX26" i="35"/>
  <c r="CT27" i="35"/>
  <c r="DX28" i="35"/>
  <c r="BP29" i="35"/>
  <c r="DD30" i="35"/>
  <c r="DN30" i="35"/>
  <c r="DX30" i="35"/>
  <c r="BF31" i="35"/>
  <c r="BP31" i="35"/>
  <c r="BZ31" i="35"/>
  <c r="BZ32" i="35"/>
  <c r="BF33" i="35"/>
  <c r="BF34" i="35"/>
  <c r="ER34" i="35"/>
  <c r="CT35" i="35"/>
  <c r="BF36" i="35"/>
  <c r="DD37" i="35"/>
  <c r="ER37" i="35"/>
  <c r="CJ38" i="35"/>
  <c r="DD38" i="35"/>
  <c r="DX38" i="35"/>
  <c r="ER38" i="35"/>
  <c r="CJ40" i="35"/>
  <c r="DD40" i="35"/>
  <c r="DX41" i="35"/>
  <c r="DD22" i="35"/>
  <c r="EH22" i="35"/>
  <c r="BF23" i="35"/>
  <c r="BZ24" i="35"/>
  <c r="DD25" i="35"/>
  <c r="BG26" i="35"/>
  <c r="AX26" i="35" s="1"/>
  <c r="D23" i="35" s="1"/>
  <c r="BQ22" i="35"/>
  <c r="BH22" i="35" s="1"/>
  <c r="E19" i="35" s="1"/>
  <c r="DX22" i="35"/>
  <c r="ER22" i="35"/>
  <c r="DD23" i="35"/>
  <c r="BF24" i="35"/>
  <c r="DD24" i="35"/>
  <c r="DN24" i="35"/>
  <c r="CJ25" i="35"/>
  <c r="EH25" i="35"/>
  <c r="ER25" i="35"/>
  <c r="BF26" i="35"/>
  <c r="DD26" i="35"/>
  <c r="BG27" i="35"/>
  <c r="AX27" i="35" s="1"/>
  <c r="D24" i="35" s="1"/>
  <c r="BZ27" i="35"/>
  <c r="EH27" i="35"/>
  <c r="CT28" i="35"/>
  <c r="BZ29" i="35"/>
  <c r="ER30" i="35"/>
  <c r="CT31" i="35"/>
  <c r="DD31" i="35"/>
  <c r="DN31" i="35"/>
  <c r="BG32" i="35"/>
  <c r="AX32" i="35" s="1"/>
  <c r="DN32" i="35"/>
  <c r="BQ33" i="35"/>
  <c r="BH33" i="35" s="1"/>
  <c r="BI33" i="35" s="1"/>
  <c r="BZ33" i="35"/>
  <c r="CJ33" i="35"/>
  <c r="CT33" i="35"/>
  <c r="CT34" i="35"/>
  <c r="ER35" i="35"/>
  <c r="CT38" i="35"/>
  <c r="EH38" i="35"/>
  <c r="BF39" i="35"/>
  <c r="BQ40" i="35"/>
  <c r="BH40" i="35" s="1"/>
  <c r="E37" i="35" s="1"/>
  <c r="DX40" i="35"/>
  <c r="ER40" i="35"/>
  <c r="BG41" i="35"/>
  <c r="AX41" i="35" s="1"/>
  <c r="AY41" i="35" s="1"/>
  <c r="BQ41" i="35"/>
  <c r="BH41" i="35" s="1"/>
  <c r="BI41" i="35" s="1"/>
  <c r="CJ41" i="35"/>
  <c r="D20" i="35"/>
  <c r="AY23" i="35"/>
  <c r="E22" i="35"/>
  <c r="D22" i="35"/>
  <c r="AY25" i="35"/>
  <c r="E24" i="35"/>
  <c r="BI27" i="35"/>
  <c r="D65" i="35"/>
  <c r="W5" i="35"/>
  <c r="F21" i="35"/>
  <c r="BS24" i="35"/>
  <c r="D19" i="35"/>
  <c r="AY22" i="35"/>
  <c r="CA26" i="35"/>
  <c r="BR26" i="35" s="1"/>
  <c r="CK41" i="35"/>
  <c r="CB41" i="35" s="1"/>
  <c r="CK37" i="35"/>
  <c r="CB37" i="35" s="1"/>
  <c r="CK38" i="35"/>
  <c r="CB38" i="35" s="1"/>
  <c r="CK36" i="35"/>
  <c r="CB36" i="35" s="1"/>
  <c r="CK35" i="35"/>
  <c r="CB35" i="35" s="1"/>
  <c r="CK33" i="35"/>
  <c r="CB33" i="35" s="1"/>
  <c r="CK30" i="35"/>
  <c r="CB30" i="35" s="1"/>
  <c r="CK28" i="35"/>
  <c r="CB28" i="35" s="1"/>
  <c r="CK32" i="35"/>
  <c r="CB32" i="35" s="1"/>
  <c r="CK29" i="35"/>
  <c r="CB29" i="35" s="1"/>
  <c r="CK40" i="35"/>
  <c r="CB40" i="35" s="1"/>
  <c r="CK34" i="35"/>
  <c r="CB34" i="35" s="1"/>
  <c r="CK31" i="35"/>
  <c r="CB31" i="35" s="1"/>
  <c r="CK26" i="35"/>
  <c r="CB26" i="35" s="1"/>
  <c r="CA22" i="35"/>
  <c r="BR22" i="35" s="1"/>
  <c r="CK23" i="35"/>
  <c r="CB23" i="35" s="1"/>
  <c r="CK24" i="35"/>
  <c r="CB24" i="35" s="1"/>
  <c r="CA25" i="35"/>
  <c r="BR25" i="35" s="1"/>
  <c r="DN26" i="35"/>
  <c r="BP27" i="35"/>
  <c r="CK27" i="35"/>
  <c r="CB27" i="35" s="1"/>
  <c r="E25" i="35"/>
  <c r="CA28" i="35"/>
  <c r="BR28" i="35" s="1"/>
  <c r="EH29" i="35"/>
  <c r="CA35" i="35"/>
  <c r="BR35" i="35" s="1"/>
  <c r="D36" i="35"/>
  <c r="AY39" i="35"/>
  <c r="CK22" i="35"/>
  <c r="CB22" i="35" s="1"/>
  <c r="CK25" i="35"/>
  <c r="CB25" i="35" s="1"/>
  <c r="CC20" i="35"/>
  <c r="BF22" i="35"/>
  <c r="BP23" i="35"/>
  <c r="CA23" i="35"/>
  <c r="BR23" i="35" s="1"/>
  <c r="BP24" i="35"/>
  <c r="AU25" i="35"/>
  <c r="BF25" i="35"/>
  <c r="BF27" i="35"/>
  <c r="DX27" i="35"/>
  <c r="BZ28" i="35"/>
  <c r="DN28" i="35"/>
  <c r="BG29" i="35"/>
  <c r="AX29" i="35" s="1"/>
  <c r="CJ29" i="35"/>
  <c r="BP34" i="35"/>
  <c r="BQ34" i="35"/>
  <c r="BH34" i="35" s="1"/>
  <c r="D33" i="35"/>
  <c r="AY36" i="35"/>
  <c r="BP38" i="35"/>
  <c r="BQ38" i="35"/>
  <c r="BH38" i="35" s="1"/>
  <c r="BG24" i="35"/>
  <c r="AX24" i="35" s="1"/>
  <c r="W6" i="35"/>
  <c r="CA38" i="35"/>
  <c r="BR38" i="35" s="1"/>
  <c r="CA34" i="35"/>
  <c r="BR34" i="35" s="1"/>
  <c r="CA39" i="35"/>
  <c r="BR39" i="35" s="1"/>
  <c r="CA36" i="35"/>
  <c r="BR36" i="35" s="1"/>
  <c r="CA30" i="35"/>
  <c r="BR30" i="35" s="1"/>
  <c r="CA41" i="35"/>
  <c r="BR41" i="35" s="1"/>
  <c r="CA31" i="35"/>
  <c r="BR31" i="35" s="1"/>
  <c r="CA33" i="35"/>
  <c r="BR33" i="35" s="1"/>
  <c r="CA29" i="35"/>
  <c r="BR29" i="35" s="1"/>
  <c r="CA37" i="35"/>
  <c r="BR37" i="35" s="1"/>
  <c r="CA32" i="35"/>
  <c r="BR32" i="35" s="1"/>
  <c r="CA40" i="35"/>
  <c r="BR40" i="35" s="1"/>
  <c r="CA27" i="35"/>
  <c r="BR27" i="35" s="1"/>
  <c r="CL20" i="35"/>
  <c r="BG28" i="35"/>
  <c r="AX28" i="35" s="1"/>
  <c r="D29" i="35"/>
  <c r="AY32" i="35"/>
  <c r="BF38" i="35"/>
  <c r="BG38" i="35"/>
  <c r="AX38" i="35" s="1"/>
  <c r="CK39" i="35"/>
  <c r="CB39" i="35" s="1"/>
  <c r="BQ30" i="35"/>
  <c r="BH30" i="35" s="1"/>
  <c r="BG31" i="35"/>
  <c r="AX31" i="35" s="1"/>
  <c r="BF32" i="35"/>
  <c r="BQ32" i="35"/>
  <c r="BH32" i="35" s="1"/>
  <c r="CT32" i="35"/>
  <c r="EH32" i="35"/>
  <c r="BP35" i="35"/>
  <c r="CJ36" i="35"/>
  <c r="DN29" i="35"/>
  <c r="BG33" i="35"/>
  <c r="AX33" i="35" s="1"/>
  <c r="D32" i="35"/>
  <c r="AY35" i="35"/>
  <c r="E34" i="35"/>
  <c r="BI37" i="35"/>
  <c r="BQ31" i="35"/>
  <c r="BH31" i="35" s="1"/>
  <c r="CJ32" i="35"/>
  <c r="DX32" i="35"/>
  <c r="DD35" i="35"/>
  <c r="BF40" i="35"/>
  <c r="CT40" i="35"/>
  <c r="EH40" i="35"/>
  <c r="D38" i="35"/>
  <c r="BQ36" i="35"/>
  <c r="BH36" i="35" s="1"/>
  <c r="BQ39" i="35"/>
  <c r="BH39" i="35" s="1"/>
  <c r="BQ35" i="35"/>
  <c r="BH35" i="35" s="1"/>
  <c r="EH35" i="35"/>
  <c r="BG37" i="35"/>
  <c r="AX37" i="35" s="1"/>
  <c r="CJ37" i="35"/>
  <c r="DX37" i="35"/>
  <c r="BZ38" i="35"/>
  <c r="DN38" i="35"/>
  <c r="BP39" i="35"/>
  <c r="DD39" i="35"/>
  <c r="ER39" i="35"/>
  <c r="BG40" i="35"/>
  <c r="AX40" i="35" s="1"/>
  <c r="BZ41" i="35"/>
  <c r="DN41" i="35"/>
  <c r="DN22" i="34"/>
  <c r="GF22" i="34"/>
  <c r="HJ22" i="34"/>
  <c r="HT22" i="34"/>
  <c r="BZ23" i="34"/>
  <c r="GF23" i="34"/>
  <c r="GZ23" i="34"/>
  <c r="ID23" i="34"/>
  <c r="BQ24" i="34"/>
  <c r="DD24" i="34"/>
  <c r="ER24" i="34"/>
  <c r="GF24" i="34"/>
  <c r="HT24" i="34"/>
  <c r="BQ25" i="34"/>
  <c r="BH25" i="34" s="1"/>
  <c r="BP26" i="34"/>
  <c r="DN26" i="34"/>
  <c r="FL26" i="34"/>
  <c r="GZ26" i="34"/>
  <c r="IN26" i="34"/>
  <c r="DX27" i="34"/>
  <c r="FL27" i="34"/>
  <c r="GZ27" i="34"/>
  <c r="IN27" i="34"/>
  <c r="DN28" i="34"/>
  <c r="FL28" i="34"/>
  <c r="HJ28" i="34"/>
  <c r="BZ29" i="34"/>
  <c r="DX29" i="34"/>
  <c r="GF29" i="34"/>
  <c r="ID29" i="34"/>
  <c r="BZ30" i="34"/>
  <c r="DX30" i="34"/>
  <c r="GF30" i="34"/>
  <c r="BZ31" i="34"/>
  <c r="EH31" i="34"/>
  <c r="ID31" i="34"/>
  <c r="CT32" i="34"/>
  <c r="ER32" i="34"/>
  <c r="GZ32" i="34"/>
  <c r="BQ33" i="34"/>
  <c r="BZ33" i="34"/>
  <c r="DX33" i="34"/>
  <c r="FV33" i="34"/>
  <c r="ID33" i="34"/>
  <c r="CJ34" i="34"/>
  <c r="ER34" i="34"/>
  <c r="BQ35" i="34"/>
  <c r="DN35" i="34"/>
  <c r="BG36" i="34"/>
  <c r="DD36" i="34"/>
  <c r="FL36" i="34"/>
  <c r="CT37" i="34"/>
  <c r="FB37" i="34"/>
  <c r="BZ38" i="34"/>
  <c r="CJ38" i="34"/>
  <c r="CT39" i="34"/>
  <c r="ER39" i="34"/>
  <c r="FB39" i="34"/>
  <c r="FL39" i="34"/>
  <c r="BQ40" i="34"/>
  <c r="DN40" i="34"/>
  <c r="FB40" i="34"/>
  <c r="BF41" i="34"/>
  <c r="CJ41" i="34"/>
  <c r="CT41" i="34"/>
  <c r="FB22" i="34"/>
  <c r="BG23" i="34"/>
  <c r="AX23" i="34" s="1"/>
  <c r="AY23" i="34" s="1"/>
  <c r="BQ23" i="34"/>
  <c r="CJ23" i="34"/>
  <c r="DN23" i="34"/>
  <c r="HT23" i="34"/>
  <c r="IN23" i="34"/>
  <c r="BG24" i="34"/>
  <c r="AX24" i="34" s="1"/>
  <c r="D21" i="34" s="1"/>
  <c r="BZ24" i="34"/>
  <c r="CT24" i="34"/>
  <c r="DN24" i="34"/>
  <c r="EH24" i="34"/>
  <c r="FB24" i="34"/>
  <c r="FV24" i="34"/>
  <c r="GP24" i="34"/>
  <c r="HJ24" i="34"/>
  <c r="ID24" i="34"/>
  <c r="BG25" i="34"/>
  <c r="AX25" i="34" s="1"/>
  <c r="D22" i="34" s="1"/>
  <c r="CT25" i="34"/>
  <c r="EH25" i="34"/>
  <c r="FV25" i="34"/>
  <c r="HJ25" i="34"/>
  <c r="BG26" i="34"/>
  <c r="DD26" i="34"/>
  <c r="FB26" i="34"/>
  <c r="FV26" i="34"/>
  <c r="GP26" i="34"/>
  <c r="HJ26" i="34"/>
  <c r="ID26" i="34"/>
  <c r="BZ27" i="34"/>
  <c r="FB28" i="34"/>
  <c r="BG29" i="34"/>
  <c r="BP29" i="34"/>
  <c r="DN29" i="34"/>
  <c r="HT29" i="34"/>
  <c r="BQ30" i="34"/>
  <c r="FL30" i="34"/>
  <c r="HT30" i="34"/>
  <c r="DN31" i="34"/>
  <c r="FV31" i="34"/>
  <c r="CJ32" i="34"/>
  <c r="EH32" i="34"/>
  <c r="GF32" i="34"/>
  <c r="IN32" i="34"/>
  <c r="DN33" i="34"/>
  <c r="FL33" i="34"/>
  <c r="HJ33" i="34"/>
  <c r="BZ34" i="34"/>
  <c r="DX34" i="34"/>
  <c r="BF35" i="34"/>
  <c r="DD35" i="34"/>
  <c r="FB35" i="34"/>
  <c r="CT36" i="34"/>
  <c r="ER36" i="34"/>
  <c r="CJ37" i="34"/>
  <c r="EH37" i="34"/>
  <c r="BQ38" i="34"/>
  <c r="DD38" i="34"/>
  <c r="EH39" i="34"/>
  <c r="BF40" i="34"/>
  <c r="BZ40" i="34"/>
  <c r="BP41" i="34"/>
  <c r="DN41" i="34"/>
  <c r="EH41" i="34"/>
  <c r="DD22" i="34"/>
  <c r="GP22" i="34"/>
  <c r="GZ22" i="34"/>
  <c r="ID22" i="34"/>
  <c r="IN22" i="34"/>
  <c r="DD23" i="34"/>
  <c r="DX23" i="34"/>
  <c r="FB23" i="34"/>
  <c r="CJ24" i="34"/>
  <c r="DX24" i="34"/>
  <c r="FL24" i="34"/>
  <c r="GZ24" i="34"/>
  <c r="IN24" i="34"/>
  <c r="BP25" i="34"/>
  <c r="CJ25" i="34"/>
  <c r="DD25" i="34"/>
  <c r="DX25" i="34"/>
  <c r="ER25" i="34"/>
  <c r="FL25" i="34"/>
  <c r="GF25" i="34"/>
  <c r="GZ25" i="34"/>
  <c r="HT25" i="34"/>
  <c r="IN25" i="34"/>
  <c r="CJ26" i="34"/>
  <c r="ER26" i="34"/>
  <c r="GF26" i="34"/>
  <c r="HT26" i="34"/>
  <c r="BQ27" i="34"/>
  <c r="CJ27" i="34"/>
  <c r="BQ28" i="34"/>
  <c r="EH28" i="34"/>
  <c r="GP28" i="34"/>
  <c r="DD29" i="34"/>
  <c r="BG30" i="34"/>
  <c r="DD30" i="34"/>
  <c r="GZ30" i="34"/>
  <c r="BF31" i="34"/>
  <c r="FB31" i="34"/>
  <c r="HJ31" i="34"/>
  <c r="BQ32" i="34"/>
  <c r="DX32" i="34"/>
  <c r="FV32" i="34"/>
  <c r="HT32" i="34"/>
  <c r="CT33" i="34"/>
  <c r="FB33" i="34"/>
  <c r="GZ33" i="34"/>
  <c r="BG34" i="34"/>
  <c r="BP34" i="34"/>
  <c r="DN34" i="34"/>
  <c r="FL34" i="34"/>
  <c r="CT35" i="34"/>
  <c r="ER35" i="34"/>
  <c r="CJ36" i="34"/>
  <c r="EH36" i="34"/>
  <c r="BQ37" i="34"/>
  <c r="BZ37" i="34"/>
  <c r="DX37" i="34"/>
  <c r="BF38" i="34"/>
  <c r="CT38" i="34"/>
  <c r="ER38" i="34"/>
  <c r="CT40" i="34"/>
  <c r="FB41" i="34"/>
  <c r="FL41" i="34"/>
  <c r="W6" i="34"/>
  <c r="AY22" i="34"/>
  <c r="D65" i="34"/>
  <c r="C8" i="34"/>
  <c r="C9" i="34" s="1"/>
  <c r="W5" i="34"/>
  <c r="CU40" i="34"/>
  <c r="CU41" i="34"/>
  <c r="CU36" i="34"/>
  <c r="CU32" i="34"/>
  <c r="CU39" i="34"/>
  <c r="CU37" i="34"/>
  <c r="CU33" i="34"/>
  <c r="CU34" i="34"/>
  <c r="CU38" i="34"/>
  <c r="CU35" i="34"/>
  <c r="CU29" i="34"/>
  <c r="CU30" i="34"/>
  <c r="CU31" i="34"/>
  <c r="CU28" i="34"/>
  <c r="CU27" i="34"/>
  <c r="CU24" i="34"/>
  <c r="CL24" i="34" s="1"/>
  <c r="CU25" i="34"/>
  <c r="CL25" i="34" s="1"/>
  <c r="CU26" i="34"/>
  <c r="CU23" i="34"/>
  <c r="CL23" i="34" s="1"/>
  <c r="CV20" i="34"/>
  <c r="CM20" i="34"/>
  <c r="CU22" i="34"/>
  <c r="CL22" i="34" s="1"/>
  <c r="AY24" i="34"/>
  <c r="AY25" i="34"/>
  <c r="CA39" i="34"/>
  <c r="CA40" i="34"/>
  <c r="CA41" i="34"/>
  <c r="CA38" i="34"/>
  <c r="CA34" i="34"/>
  <c r="CA35" i="34"/>
  <c r="CA31" i="34"/>
  <c r="CA36" i="34"/>
  <c r="CA32" i="34"/>
  <c r="CA37" i="34"/>
  <c r="CA33" i="34"/>
  <c r="CA29" i="34"/>
  <c r="CA30" i="34"/>
  <c r="CA26" i="34"/>
  <c r="CA27" i="34"/>
  <c r="CA23" i="34"/>
  <c r="BR23" i="34" s="1"/>
  <c r="CA24" i="34"/>
  <c r="BR24" i="34" s="1"/>
  <c r="CA28" i="34"/>
  <c r="CA25" i="34"/>
  <c r="BR25" i="34" s="1"/>
  <c r="AV25" i="34"/>
  <c r="AU26" i="34"/>
  <c r="IQ26" i="34" s="1"/>
  <c r="BS20" i="34"/>
  <c r="BF22" i="34"/>
  <c r="CT22" i="34"/>
  <c r="EH22" i="34"/>
  <c r="FV22" i="34"/>
  <c r="CK41" i="34"/>
  <c r="CK38" i="34"/>
  <c r="CK39" i="34"/>
  <c r="CK40" i="34"/>
  <c r="CK37" i="34"/>
  <c r="CK33" i="34"/>
  <c r="CK34" i="34"/>
  <c r="CK35" i="34"/>
  <c r="CK31" i="34"/>
  <c r="CK36" i="34"/>
  <c r="CK30" i="34"/>
  <c r="CK32" i="34"/>
  <c r="CK29" i="34"/>
  <c r="CK25" i="34"/>
  <c r="CB25" i="34" s="1"/>
  <c r="CK26" i="34"/>
  <c r="CK27" i="34"/>
  <c r="CK23" i="34"/>
  <c r="CB23" i="34" s="1"/>
  <c r="CK28" i="34"/>
  <c r="CK24" i="34"/>
  <c r="CB24" i="34" s="1"/>
  <c r="CK22" i="34"/>
  <c r="CB22" i="34" s="1"/>
  <c r="BQ22" i="34"/>
  <c r="BH22" i="34" s="1"/>
  <c r="CA22" i="34"/>
  <c r="BR22" i="34" s="1"/>
  <c r="BQ26" i="34"/>
  <c r="BG27" i="34"/>
  <c r="FB29" i="34"/>
  <c r="FL29" i="34"/>
  <c r="GP29" i="34"/>
  <c r="GZ29" i="34"/>
  <c r="BP24" i="34"/>
  <c r="BF25" i="34"/>
  <c r="DD27" i="34"/>
  <c r="ER27" i="34"/>
  <c r="GF27" i="34"/>
  <c r="HT27" i="34"/>
  <c r="CJ28" i="34"/>
  <c r="BP23" i="34"/>
  <c r="BF24" i="34"/>
  <c r="BP27" i="34"/>
  <c r="BF28" i="34"/>
  <c r="CT28" i="34"/>
  <c r="GZ28" i="34"/>
  <c r="IN28" i="34"/>
  <c r="BQ29" i="34"/>
  <c r="BG28" i="34"/>
  <c r="BP30" i="34"/>
  <c r="BG31" i="34"/>
  <c r="BF30" i="34"/>
  <c r="DN30" i="34"/>
  <c r="FB30" i="34"/>
  <c r="GP30" i="34"/>
  <c r="ID30" i="34"/>
  <c r="BQ31" i="34"/>
  <c r="DD31" i="34"/>
  <c r="ER31" i="34"/>
  <c r="GF31" i="34"/>
  <c r="HT31" i="34"/>
  <c r="BG33" i="34"/>
  <c r="BQ34" i="34"/>
  <c r="BG35" i="34"/>
  <c r="BG38" i="34"/>
  <c r="BP32" i="34"/>
  <c r="BF33" i="34"/>
  <c r="BP36" i="34"/>
  <c r="BF37" i="34"/>
  <c r="BP38" i="34"/>
  <c r="DX38" i="34"/>
  <c r="FL38" i="34"/>
  <c r="BF39" i="34"/>
  <c r="BZ39" i="34"/>
  <c r="DN39" i="34"/>
  <c r="BG40" i="34"/>
  <c r="BQ41" i="34"/>
  <c r="BP31" i="34"/>
  <c r="BF32" i="34"/>
  <c r="BP35" i="34"/>
  <c r="BF36" i="34"/>
  <c r="DN38" i="34"/>
  <c r="FB38" i="34"/>
  <c r="BP39" i="34"/>
  <c r="DD39" i="34"/>
  <c r="BG41" i="34"/>
  <c r="DX40" i="34"/>
  <c r="FL40" i="34"/>
  <c r="BZ41" i="34"/>
  <c r="O49" i="33"/>
  <c r="O50" i="33" s="1"/>
  <c r="O51" i="33" s="1"/>
  <c r="O52" i="33" s="1"/>
  <c r="O53" i="33" s="1"/>
  <c r="O54" i="33" s="1"/>
  <c r="O55" i="33" s="1"/>
  <c r="O56" i="33" s="1"/>
  <c r="O57" i="33" s="1"/>
  <c r="O58" i="33" s="1"/>
  <c r="O59" i="33" s="1"/>
  <c r="O60" i="33" s="1"/>
  <c r="O61" i="33" s="1"/>
  <c r="O62" i="33" s="1"/>
  <c r="O63" i="33" s="1"/>
  <c r="O64" i="33" s="1"/>
  <c r="O65" i="33" s="1"/>
  <c r="O66" i="33" s="1"/>
  <c r="B21" i="33"/>
  <c r="B22" i="33" s="1"/>
  <c r="B23" i="33" s="1"/>
  <c r="B24" i="33" s="1"/>
  <c r="B25" i="33" s="1"/>
  <c r="B26" i="33" s="1"/>
  <c r="B27" i="33" s="1"/>
  <c r="B28" i="33" s="1"/>
  <c r="B29" i="33" s="1"/>
  <c r="B30" i="33" s="1"/>
  <c r="B31" i="33" s="1"/>
  <c r="B32" i="33" s="1"/>
  <c r="B33" i="33" s="1"/>
  <c r="B34" i="33" s="1"/>
  <c r="B35" i="33" s="1"/>
  <c r="B36" i="33" s="1"/>
  <c r="B37" i="33" s="1"/>
  <c r="B38" i="33" s="1"/>
  <c r="S45" i="33"/>
  <c r="T45" i="33" s="1"/>
  <c r="U45" i="33" s="1"/>
  <c r="V45" i="33" s="1"/>
  <c r="W45" i="33" s="1"/>
  <c r="X45" i="33" s="1"/>
  <c r="Y45" i="33" s="1"/>
  <c r="Z45" i="33" s="1"/>
  <c r="AA45" i="33" s="1"/>
  <c r="AB45" i="33" s="1"/>
  <c r="AC45" i="33" s="1"/>
  <c r="AD45" i="33" s="1"/>
  <c r="AE45" i="33" s="1"/>
  <c r="AF45" i="33" s="1"/>
  <c r="AG45" i="33" s="1"/>
  <c r="AH45" i="33" s="1"/>
  <c r="AI45" i="33" s="1"/>
  <c r="AJ45" i="33" s="1"/>
  <c r="F17" i="33"/>
  <c r="G17" i="33" s="1"/>
  <c r="H17" i="33" s="1"/>
  <c r="I17" i="33" s="1"/>
  <c r="FK41" i="33"/>
  <c r="FI41" i="33"/>
  <c r="FG41" i="33"/>
  <c r="FA41" i="33"/>
  <c r="EY41" i="33"/>
  <c r="EW41" i="33"/>
  <c r="EQ41" i="33"/>
  <c r="EO41" i="33"/>
  <c r="EM41" i="33"/>
  <c r="EG41" i="33"/>
  <c r="EE41" i="33"/>
  <c r="EC41" i="33"/>
  <c r="DW41" i="33"/>
  <c r="DU41" i="33"/>
  <c r="DS41" i="33"/>
  <c r="DM41" i="33"/>
  <c r="DK41" i="33"/>
  <c r="DI41" i="33"/>
  <c r="DC41" i="33"/>
  <c r="DA41" i="33"/>
  <c r="CY41" i="33"/>
  <c r="CS41" i="33"/>
  <c r="CQ41" i="33"/>
  <c r="CO41" i="33"/>
  <c r="CI41" i="33"/>
  <c r="CG41" i="33"/>
  <c r="CE41" i="33"/>
  <c r="BY41" i="33"/>
  <c r="BW41" i="33"/>
  <c r="BU41" i="33"/>
  <c r="BO41" i="33"/>
  <c r="BM41" i="33"/>
  <c r="BK41" i="33"/>
  <c r="BE41" i="33"/>
  <c r="BC41" i="33"/>
  <c r="BA41" i="33"/>
  <c r="FK40" i="33"/>
  <c r="FI40" i="33"/>
  <c r="FG40" i="33"/>
  <c r="FA40" i="33"/>
  <c r="EY40" i="33"/>
  <c r="EW40" i="33"/>
  <c r="EQ40" i="33"/>
  <c r="EO40" i="33"/>
  <c r="EM40" i="33"/>
  <c r="EG40" i="33"/>
  <c r="EE40" i="33"/>
  <c r="EC40" i="33"/>
  <c r="DW40" i="33"/>
  <c r="DU40" i="33"/>
  <c r="DS40" i="33"/>
  <c r="DM40" i="33"/>
  <c r="DK40" i="33"/>
  <c r="DI40" i="33"/>
  <c r="DC40" i="33"/>
  <c r="DA40" i="33"/>
  <c r="CY40" i="33"/>
  <c r="CS40" i="33"/>
  <c r="CQ40" i="33"/>
  <c r="CO40" i="33"/>
  <c r="CI40" i="33"/>
  <c r="CG40" i="33"/>
  <c r="CE40" i="33"/>
  <c r="BY40" i="33"/>
  <c r="BW40" i="33"/>
  <c r="BU40" i="33"/>
  <c r="BO40" i="33"/>
  <c r="BM40" i="33"/>
  <c r="BK40" i="33"/>
  <c r="BE40" i="33"/>
  <c r="BC40" i="33"/>
  <c r="BA40" i="33"/>
  <c r="FK39" i="33"/>
  <c r="FI39" i="33"/>
  <c r="FG39" i="33"/>
  <c r="FA39" i="33"/>
  <c r="EY39" i="33"/>
  <c r="EW39" i="33"/>
  <c r="EQ39" i="33"/>
  <c r="EO39" i="33"/>
  <c r="EM39" i="33"/>
  <c r="EG39" i="33"/>
  <c r="EE39" i="33"/>
  <c r="EC39" i="33"/>
  <c r="DW39" i="33"/>
  <c r="DU39" i="33"/>
  <c r="DS39" i="33"/>
  <c r="DM39" i="33"/>
  <c r="DK39" i="33"/>
  <c r="DI39" i="33"/>
  <c r="DC39" i="33"/>
  <c r="DA39" i="33"/>
  <c r="CY39" i="33"/>
  <c r="CS39" i="33"/>
  <c r="CQ39" i="33"/>
  <c r="CO39" i="33"/>
  <c r="CI39" i="33"/>
  <c r="CG39" i="33"/>
  <c r="CE39" i="33"/>
  <c r="BY39" i="33"/>
  <c r="BW39" i="33"/>
  <c r="BU39" i="33"/>
  <c r="BO39" i="33"/>
  <c r="BM39" i="33"/>
  <c r="BK39" i="33"/>
  <c r="BE39" i="33"/>
  <c r="BC39" i="33"/>
  <c r="BA39" i="33"/>
  <c r="FK38" i="33"/>
  <c r="FI38" i="33"/>
  <c r="FG38" i="33"/>
  <c r="FA38" i="33"/>
  <c r="EY38" i="33"/>
  <c r="EW38" i="33"/>
  <c r="EQ38" i="33"/>
  <c r="EO38" i="33"/>
  <c r="EM38" i="33"/>
  <c r="EG38" i="33"/>
  <c r="EE38" i="33"/>
  <c r="EC38" i="33"/>
  <c r="DW38" i="33"/>
  <c r="DU38" i="33"/>
  <c r="DS38" i="33"/>
  <c r="DM38" i="33"/>
  <c r="DK38" i="33"/>
  <c r="DI38" i="33"/>
  <c r="DC38" i="33"/>
  <c r="DA38" i="33"/>
  <c r="CY38" i="33"/>
  <c r="CS38" i="33"/>
  <c r="CQ38" i="33"/>
  <c r="CO38" i="33"/>
  <c r="CI38" i="33"/>
  <c r="CG38" i="33"/>
  <c r="CE38" i="33"/>
  <c r="BY38" i="33"/>
  <c r="BW38" i="33"/>
  <c r="BU38" i="33"/>
  <c r="BO38" i="33"/>
  <c r="BM38" i="33"/>
  <c r="BK38" i="33"/>
  <c r="BE38" i="33"/>
  <c r="BC38" i="33"/>
  <c r="BA38" i="33"/>
  <c r="FK37" i="33"/>
  <c r="FI37" i="33"/>
  <c r="FG37" i="33"/>
  <c r="FA37" i="33"/>
  <c r="EY37" i="33"/>
  <c r="EW37" i="33"/>
  <c r="EQ37" i="33"/>
  <c r="EO37" i="33"/>
  <c r="EM37" i="33"/>
  <c r="EG37" i="33"/>
  <c r="EE37" i="33"/>
  <c r="EC37" i="33"/>
  <c r="DW37" i="33"/>
  <c r="DU37" i="33"/>
  <c r="DS37" i="33"/>
  <c r="DM37" i="33"/>
  <c r="DK37" i="33"/>
  <c r="DI37" i="33"/>
  <c r="DC37" i="33"/>
  <c r="DA37" i="33"/>
  <c r="CY37" i="33"/>
  <c r="CS37" i="33"/>
  <c r="CQ37" i="33"/>
  <c r="CO37" i="33"/>
  <c r="CI37" i="33"/>
  <c r="CG37" i="33"/>
  <c r="CE37" i="33"/>
  <c r="BY37" i="33"/>
  <c r="BW37" i="33"/>
  <c r="BU37" i="33"/>
  <c r="BO37" i="33"/>
  <c r="BM37" i="33"/>
  <c r="BK37" i="33"/>
  <c r="BE37" i="33"/>
  <c r="BC37" i="33"/>
  <c r="BA37" i="33"/>
  <c r="FK36" i="33"/>
  <c r="FI36" i="33"/>
  <c r="FG36" i="33"/>
  <c r="FA36" i="33"/>
  <c r="EY36" i="33"/>
  <c r="EW36" i="33"/>
  <c r="EQ36" i="33"/>
  <c r="EO36" i="33"/>
  <c r="EM36" i="33"/>
  <c r="EG36" i="33"/>
  <c r="EE36" i="33"/>
  <c r="EC36" i="33"/>
  <c r="DW36" i="33"/>
  <c r="DU36" i="33"/>
  <c r="DS36" i="33"/>
  <c r="DM36" i="33"/>
  <c r="DK36" i="33"/>
  <c r="DI36" i="33"/>
  <c r="DC36" i="33"/>
  <c r="DA36" i="33"/>
  <c r="CY36" i="33"/>
  <c r="CS36" i="33"/>
  <c r="CQ36" i="33"/>
  <c r="CO36" i="33"/>
  <c r="CI36" i="33"/>
  <c r="CG36" i="33"/>
  <c r="CE36" i="33"/>
  <c r="BY36" i="33"/>
  <c r="BW36" i="33"/>
  <c r="BU36" i="33"/>
  <c r="BO36" i="33"/>
  <c r="BM36" i="33"/>
  <c r="BK36" i="33"/>
  <c r="BE36" i="33"/>
  <c r="BC36" i="33"/>
  <c r="BA36" i="33"/>
  <c r="FK35" i="33"/>
  <c r="FI35" i="33"/>
  <c r="FG35" i="33"/>
  <c r="FA35" i="33"/>
  <c r="EY35" i="33"/>
  <c r="EW35" i="33"/>
  <c r="EQ35" i="33"/>
  <c r="EO35" i="33"/>
  <c r="EM35" i="33"/>
  <c r="EG35" i="33"/>
  <c r="EE35" i="33"/>
  <c r="EC35" i="33"/>
  <c r="DW35" i="33"/>
  <c r="DU35" i="33"/>
  <c r="DS35" i="33"/>
  <c r="DM35" i="33"/>
  <c r="DK35" i="33"/>
  <c r="DI35" i="33"/>
  <c r="DC35" i="33"/>
  <c r="DA35" i="33"/>
  <c r="CY35" i="33"/>
  <c r="CS35" i="33"/>
  <c r="CQ35" i="33"/>
  <c r="CO35" i="33"/>
  <c r="CI35" i="33"/>
  <c r="CG35" i="33"/>
  <c r="CE35" i="33"/>
  <c r="BY35" i="33"/>
  <c r="BW35" i="33"/>
  <c r="BU35" i="33"/>
  <c r="BO35" i="33"/>
  <c r="BM35" i="33"/>
  <c r="BK35" i="33"/>
  <c r="BE35" i="33"/>
  <c r="BC35" i="33"/>
  <c r="BA35" i="33"/>
  <c r="FK34" i="33"/>
  <c r="FI34" i="33"/>
  <c r="FG34" i="33"/>
  <c r="FA34" i="33"/>
  <c r="EY34" i="33"/>
  <c r="EW34" i="33"/>
  <c r="EQ34" i="33"/>
  <c r="EO34" i="33"/>
  <c r="EM34" i="33"/>
  <c r="EG34" i="33"/>
  <c r="EE34" i="33"/>
  <c r="EC34" i="33"/>
  <c r="DW34" i="33"/>
  <c r="DU34" i="33"/>
  <c r="DS34" i="33"/>
  <c r="DM34" i="33"/>
  <c r="DK34" i="33"/>
  <c r="DI34" i="33"/>
  <c r="DC34" i="33"/>
  <c r="DA34" i="33"/>
  <c r="CY34" i="33"/>
  <c r="CS34" i="33"/>
  <c r="CQ34" i="33"/>
  <c r="CO34" i="33"/>
  <c r="CI34" i="33"/>
  <c r="CG34" i="33"/>
  <c r="CE34" i="33"/>
  <c r="BY34" i="33"/>
  <c r="BW34" i="33"/>
  <c r="BU34" i="33"/>
  <c r="BO34" i="33"/>
  <c r="BM34" i="33"/>
  <c r="BK34" i="33"/>
  <c r="BE34" i="33"/>
  <c r="BC34" i="33"/>
  <c r="BA34" i="33"/>
  <c r="IM33" i="33"/>
  <c r="IK33" i="33"/>
  <c r="II33" i="33"/>
  <c r="IC33" i="33"/>
  <c r="IA33" i="33"/>
  <c r="HY33" i="33"/>
  <c r="HS33" i="33"/>
  <c r="HQ33" i="33"/>
  <c r="HO33" i="33"/>
  <c r="HI33" i="33"/>
  <c r="HG33" i="33"/>
  <c r="HE33" i="33"/>
  <c r="GY33" i="33"/>
  <c r="GW33" i="33"/>
  <c r="GU33" i="33"/>
  <c r="GO33" i="33"/>
  <c r="GM33" i="33"/>
  <c r="GK33" i="33"/>
  <c r="GE33" i="33"/>
  <c r="GC33" i="33"/>
  <c r="GA33" i="33"/>
  <c r="FU33" i="33"/>
  <c r="FS33" i="33"/>
  <c r="FQ33" i="33"/>
  <c r="FK33" i="33"/>
  <c r="FI33" i="33"/>
  <c r="FG33" i="33"/>
  <c r="FA33" i="33"/>
  <c r="EY33" i="33"/>
  <c r="EW33" i="33"/>
  <c r="EQ33" i="33"/>
  <c r="EO33" i="33"/>
  <c r="EM33" i="33"/>
  <c r="EG33" i="33"/>
  <c r="EE33" i="33"/>
  <c r="EC33" i="33"/>
  <c r="DW33" i="33"/>
  <c r="DU33" i="33"/>
  <c r="DS33" i="33"/>
  <c r="DM33" i="33"/>
  <c r="DK33" i="33"/>
  <c r="DI33" i="33"/>
  <c r="DC33" i="33"/>
  <c r="DA33" i="33"/>
  <c r="CY33" i="33"/>
  <c r="CS33" i="33"/>
  <c r="CQ33" i="33"/>
  <c r="CO33" i="33"/>
  <c r="CI33" i="33"/>
  <c r="CG33" i="33"/>
  <c r="CE33" i="33"/>
  <c r="BY33" i="33"/>
  <c r="BW33" i="33"/>
  <c r="BU33" i="33"/>
  <c r="BO33" i="33"/>
  <c r="BM33" i="33"/>
  <c r="BK33" i="33"/>
  <c r="BE33" i="33"/>
  <c r="BC33" i="33"/>
  <c r="BA33" i="33"/>
  <c r="IM32" i="33"/>
  <c r="IK32" i="33"/>
  <c r="II32" i="33"/>
  <c r="IC32" i="33"/>
  <c r="IA32" i="33"/>
  <c r="HY32" i="33"/>
  <c r="HS32" i="33"/>
  <c r="HQ32" i="33"/>
  <c r="HO32" i="33"/>
  <c r="HI32" i="33"/>
  <c r="HG32" i="33"/>
  <c r="HE32" i="33"/>
  <c r="GY32" i="33"/>
  <c r="GW32" i="33"/>
  <c r="GU32" i="33"/>
  <c r="GO32" i="33"/>
  <c r="GM32" i="33"/>
  <c r="GK32" i="33"/>
  <c r="GE32" i="33"/>
  <c r="GC32" i="33"/>
  <c r="GA32" i="33"/>
  <c r="FU32" i="33"/>
  <c r="FS32" i="33"/>
  <c r="FQ32" i="33"/>
  <c r="FK32" i="33"/>
  <c r="FI32" i="33"/>
  <c r="FG32" i="33"/>
  <c r="FA32" i="33"/>
  <c r="EY32" i="33"/>
  <c r="EW32" i="33"/>
  <c r="EQ32" i="33"/>
  <c r="EO32" i="33"/>
  <c r="EM32" i="33"/>
  <c r="EG32" i="33"/>
  <c r="EE32" i="33"/>
  <c r="EC32" i="33"/>
  <c r="DW32" i="33"/>
  <c r="DU32" i="33"/>
  <c r="DS32" i="33"/>
  <c r="DM32" i="33"/>
  <c r="DK32" i="33"/>
  <c r="DI32" i="33"/>
  <c r="DC32" i="33"/>
  <c r="DA32" i="33"/>
  <c r="CY32" i="33"/>
  <c r="CS32" i="33"/>
  <c r="CQ32" i="33"/>
  <c r="CO32" i="33"/>
  <c r="CI32" i="33"/>
  <c r="CG32" i="33"/>
  <c r="CE32" i="33"/>
  <c r="BY32" i="33"/>
  <c r="BW32" i="33"/>
  <c r="BU32" i="33"/>
  <c r="BO32" i="33"/>
  <c r="BM32" i="33"/>
  <c r="BK32" i="33"/>
  <c r="BE32" i="33"/>
  <c r="BC32" i="33"/>
  <c r="BA32" i="33"/>
  <c r="IM31" i="33"/>
  <c r="IK31" i="33"/>
  <c r="II31" i="33"/>
  <c r="IC31" i="33"/>
  <c r="IA31" i="33"/>
  <c r="HY31" i="33"/>
  <c r="HS31" i="33"/>
  <c r="HQ31" i="33"/>
  <c r="HO31" i="33"/>
  <c r="HI31" i="33"/>
  <c r="HG31" i="33"/>
  <c r="HE31" i="33"/>
  <c r="GY31" i="33"/>
  <c r="GW31" i="33"/>
  <c r="GU31" i="33"/>
  <c r="GO31" i="33"/>
  <c r="GM31" i="33"/>
  <c r="GK31" i="33"/>
  <c r="GE31" i="33"/>
  <c r="GC31" i="33"/>
  <c r="GA31" i="33"/>
  <c r="FU31" i="33"/>
  <c r="FS31" i="33"/>
  <c r="FQ31" i="33"/>
  <c r="FK31" i="33"/>
  <c r="FI31" i="33"/>
  <c r="FG31" i="33"/>
  <c r="FA31" i="33"/>
  <c r="EY31" i="33"/>
  <c r="EW31" i="33"/>
  <c r="EQ31" i="33"/>
  <c r="EO31" i="33"/>
  <c r="EM31" i="33"/>
  <c r="EG31" i="33"/>
  <c r="EE31" i="33"/>
  <c r="EC31" i="33"/>
  <c r="DW31" i="33"/>
  <c r="DU31" i="33"/>
  <c r="DS31" i="33"/>
  <c r="DM31" i="33"/>
  <c r="DK31" i="33"/>
  <c r="DI31" i="33"/>
  <c r="DC31" i="33"/>
  <c r="DA31" i="33"/>
  <c r="CY31" i="33"/>
  <c r="CS31" i="33"/>
  <c r="CQ31" i="33"/>
  <c r="CO31" i="33"/>
  <c r="CI31" i="33"/>
  <c r="CG31" i="33"/>
  <c r="CE31" i="33"/>
  <c r="BY31" i="33"/>
  <c r="BW31" i="33"/>
  <c r="BU31" i="33"/>
  <c r="BO31" i="33"/>
  <c r="BM31" i="33"/>
  <c r="BK31" i="33"/>
  <c r="BE31" i="33"/>
  <c r="BC31" i="33"/>
  <c r="BA31" i="33"/>
  <c r="IM30" i="33"/>
  <c r="IK30" i="33"/>
  <c r="II30" i="33"/>
  <c r="IC30" i="33"/>
  <c r="IA30" i="33"/>
  <c r="HY30" i="33"/>
  <c r="HS30" i="33"/>
  <c r="HQ30" i="33"/>
  <c r="HO30" i="33"/>
  <c r="HI30" i="33"/>
  <c r="HG30" i="33"/>
  <c r="HE30" i="33"/>
  <c r="GY30" i="33"/>
  <c r="GW30" i="33"/>
  <c r="GU30" i="33"/>
  <c r="GO30" i="33"/>
  <c r="GM30" i="33"/>
  <c r="GK30" i="33"/>
  <c r="GE30" i="33"/>
  <c r="GC30" i="33"/>
  <c r="GA30" i="33"/>
  <c r="FU30" i="33"/>
  <c r="FS30" i="33"/>
  <c r="FQ30" i="33"/>
  <c r="FK30" i="33"/>
  <c r="FI30" i="33"/>
  <c r="FG30" i="33"/>
  <c r="FA30" i="33"/>
  <c r="EY30" i="33"/>
  <c r="EW30" i="33"/>
  <c r="EQ30" i="33"/>
  <c r="EO30" i="33"/>
  <c r="EM30" i="33"/>
  <c r="EG30" i="33"/>
  <c r="EE30" i="33"/>
  <c r="EC30" i="33"/>
  <c r="DW30" i="33"/>
  <c r="DU30" i="33"/>
  <c r="DS30" i="33"/>
  <c r="DM30" i="33"/>
  <c r="DK30" i="33"/>
  <c r="DI30" i="33"/>
  <c r="DC30" i="33"/>
  <c r="DA30" i="33"/>
  <c r="CY30" i="33"/>
  <c r="CS30" i="33"/>
  <c r="CQ30" i="33"/>
  <c r="CO30" i="33"/>
  <c r="CI30" i="33"/>
  <c r="CG30" i="33"/>
  <c r="CE30" i="33"/>
  <c r="BY30" i="33"/>
  <c r="BW30" i="33"/>
  <c r="BU30" i="33"/>
  <c r="BO30" i="33"/>
  <c r="BM30" i="33"/>
  <c r="BK30" i="33"/>
  <c r="BE30" i="33"/>
  <c r="BC30" i="33"/>
  <c r="BA30" i="33"/>
  <c r="IM29" i="33"/>
  <c r="IK29" i="33"/>
  <c r="II29" i="33"/>
  <c r="IC29" i="33"/>
  <c r="IA29" i="33"/>
  <c r="HY29" i="33"/>
  <c r="HS29" i="33"/>
  <c r="HQ29" i="33"/>
  <c r="HO29" i="33"/>
  <c r="HI29" i="33"/>
  <c r="HG29" i="33"/>
  <c r="HE29" i="33"/>
  <c r="GY29" i="33"/>
  <c r="GW29" i="33"/>
  <c r="GU29" i="33"/>
  <c r="GO29" i="33"/>
  <c r="GM29" i="33"/>
  <c r="GK29" i="33"/>
  <c r="GE29" i="33"/>
  <c r="GC29" i="33"/>
  <c r="GA29" i="33"/>
  <c r="FU29" i="33"/>
  <c r="FS29" i="33"/>
  <c r="FQ29" i="33"/>
  <c r="FK29" i="33"/>
  <c r="FI29" i="33"/>
  <c r="FG29" i="33"/>
  <c r="FA29" i="33"/>
  <c r="EY29" i="33"/>
  <c r="EW29" i="33"/>
  <c r="EQ29" i="33"/>
  <c r="EO29" i="33"/>
  <c r="EM29" i="33"/>
  <c r="EG29" i="33"/>
  <c r="EE29" i="33"/>
  <c r="EC29" i="33"/>
  <c r="DW29" i="33"/>
  <c r="DU29" i="33"/>
  <c r="DS29" i="33"/>
  <c r="DM29" i="33"/>
  <c r="DK29" i="33"/>
  <c r="DI29" i="33"/>
  <c r="DC29" i="33"/>
  <c r="DA29" i="33"/>
  <c r="CY29" i="33"/>
  <c r="CS29" i="33"/>
  <c r="CQ29" i="33"/>
  <c r="CO29" i="33"/>
  <c r="CI29" i="33"/>
  <c r="CG29" i="33"/>
  <c r="CE29" i="33"/>
  <c r="BY29" i="33"/>
  <c r="BW29" i="33"/>
  <c r="BU29" i="33"/>
  <c r="BO29" i="33"/>
  <c r="BM29" i="33"/>
  <c r="BK29" i="33"/>
  <c r="BE29" i="33"/>
  <c r="BC29" i="33"/>
  <c r="BA29" i="33"/>
  <c r="IM28" i="33"/>
  <c r="IK28" i="33"/>
  <c r="II28" i="33"/>
  <c r="IC28" i="33"/>
  <c r="IA28" i="33"/>
  <c r="HY28" i="33"/>
  <c r="HS28" i="33"/>
  <c r="HQ28" i="33"/>
  <c r="HO28" i="33"/>
  <c r="HI28" i="33"/>
  <c r="HG28" i="33"/>
  <c r="HE28" i="33"/>
  <c r="GY28" i="33"/>
  <c r="GW28" i="33"/>
  <c r="GU28" i="33"/>
  <c r="GO28" i="33"/>
  <c r="GM28" i="33"/>
  <c r="GK28" i="33"/>
  <c r="GE28" i="33"/>
  <c r="GC28" i="33"/>
  <c r="GA28" i="33"/>
  <c r="FU28" i="33"/>
  <c r="FS28" i="33"/>
  <c r="FQ28" i="33"/>
  <c r="FK28" i="33"/>
  <c r="FI28" i="33"/>
  <c r="FG28" i="33"/>
  <c r="FA28" i="33"/>
  <c r="EY28" i="33"/>
  <c r="EW28" i="33"/>
  <c r="EQ28" i="33"/>
  <c r="EO28" i="33"/>
  <c r="EM28" i="33"/>
  <c r="EG28" i="33"/>
  <c r="EE28" i="33"/>
  <c r="EC28" i="33"/>
  <c r="DW28" i="33"/>
  <c r="DU28" i="33"/>
  <c r="DS28" i="33"/>
  <c r="DM28" i="33"/>
  <c r="DK28" i="33"/>
  <c r="DI28" i="33"/>
  <c r="DC28" i="33"/>
  <c r="DA28" i="33"/>
  <c r="CY28" i="33"/>
  <c r="CS28" i="33"/>
  <c r="CQ28" i="33"/>
  <c r="CO28" i="33"/>
  <c r="CI28" i="33"/>
  <c r="CG28" i="33"/>
  <c r="CE28" i="33"/>
  <c r="BY28" i="33"/>
  <c r="BW28" i="33"/>
  <c r="BU28" i="33"/>
  <c r="BO28" i="33"/>
  <c r="BM28" i="33"/>
  <c r="BK28" i="33"/>
  <c r="BE28" i="33"/>
  <c r="BC28" i="33"/>
  <c r="BA28" i="33"/>
  <c r="IM27" i="33"/>
  <c r="IK27" i="33"/>
  <c r="II27" i="33"/>
  <c r="IC27" i="33"/>
  <c r="IA27" i="33"/>
  <c r="HY27" i="33"/>
  <c r="HS27" i="33"/>
  <c r="HQ27" i="33"/>
  <c r="HO27" i="33"/>
  <c r="HI27" i="33"/>
  <c r="HG27" i="33"/>
  <c r="HE27" i="33"/>
  <c r="GY27" i="33"/>
  <c r="GW27" i="33"/>
  <c r="GU27" i="33"/>
  <c r="GO27" i="33"/>
  <c r="GM27" i="33"/>
  <c r="GK27" i="33"/>
  <c r="GE27" i="33"/>
  <c r="GC27" i="33"/>
  <c r="GA27" i="33"/>
  <c r="FU27" i="33"/>
  <c r="FS27" i="33"/>
  <c r="FQ27" i="33"/>
  <c r="FK27" i="33"/>
  <c r="FI27" i="33"/>
  <c r="FG27" i="33"/>
  <c r="FA27" i="33"/>
  <c r="EY27" i="33"/>
  <c r="EW27" i="33"/>
  <c r="EQ27" i="33"/>
  <c r="EO27" i="33"/>
  <c r="EM27" i="33"/>
  <c r="EG27" i="33"/>
  <c r="EE27" i="33"/>
  <c r="EC27" i="33"/>
  <c r="DW27" i="33"/>
  <c r="DU27" i="33"/>
  <c r="DS27" i="33"/>
  <c r="DM27" i="33"/>
  <c r="DK27" i="33"/>
  <c r="DI27" i="33"/>
  <c r="DC27" i="33"/>
  <c r="DA27" i="33"/>
  <c r="CY27" i="33"/>
  <c r="CS27" i="33"/>
  <c r="CQ27" i="33"/>
  <c r="CO27" i="33"/>
  <c r="CI27" i="33"/>
  <c r="CG27" i="33"/>
  <c r="CE27" i="33"/>
  <c r="BY27" i="33"/>
  <c r="BW27" i="33"/>
  <c r="BU27" i="33"/>
  <c r="BO27" i="33"/>
  <c r="BM27" i="33"/>
  <c r="BK27" i="33"/>
  <c r="BE27" i="33"/>
  <c r="BC27" i="33"/>
  <c r="BA27" i="33"/>
  <c r="IM26" i="33"/>
  <c r="IK26" i="33"/>
  <c r="II26" i="33"/>
  <c r="IC26" i="33"/>
  <c r="IA26" i="33"/>
  <c r="HY26" i="33"/>
  <c r="HS26" i="33"/>
  <c r="HQ26" i="33"/>
  <c r="HO26" i="33"/>
  <c r="HI26" i="33"/>
  <c r="HG26" i="33"/>
  <c r="HE26" i="33"/>
  <c r="GY26" i="33"/>
  <c r="GW26" i="33"/>
  <c r="GU26" i="33"/>
  <c r="GO26" i="33"/>
  <c r="GM26" i="33"/>
  <c r="GK26" i="33"/>
  <c r="GE26" i="33"/>
  <c r="GC26" i="33"/>
  <c r="GA26" i="33"/>
  <c r="FU26" i="33"/>
  <c r="FS26" i="33"/>
  <c r="FQ26" i="33"/>
  <c r="FK26" i="33"/>
  <c r="FI26" i="33"/>
  <c r="FG26" i="33"/>
  <c r="FA26" i="33"/>
  <c r="EY26" i="33"/>
  <c r="EW26" i="33"/>
  <c r="EQ26" i="33"/>
  <c r="EO26" i="33"/>
  <c r="EM26" i="33"/>
  <c r="EG26" i="33"/>
  <c r="EE26" i="33"/>
  <c r="EC26" i="33"/>
  <c r="DW26" i="33"/>
  <c r="DU26" i="33"/>
  <c r="DS26" i="33"/>
  <c r="DM26" i="33"/>
  <c r="DK26" i="33"/>
  <c r="DI26" i="33"/>
  <c r="DC26" i="33"/>
  <c r="DA26" i="33"/>
  <c r="CY26" i="33"/>
  <c r="CS26" i="33"/>
  <c r="CQ26" i="33"/>
  <c r="CO26" i="33"/>
  <c r="CI26" i="33"/>
  <c r="CG26" i="33"/>
  <c r="CE26" i="33"/>
  <c r="BY26" i="33"/>
  <c r="BW26" i="33"/>
  <c r="BU26" i="33"/>
  <c r="BO26" i="33"/>
  <c r="BM26" i="33"/>
  <c r="BK26" i="33"/>
  <c r="BE26" i="33"/>
  <c r="BC26" i="33"/>
  <c r="BA26" i="33"/>
  <c r="IM25" i="33"/>
  <c r="IK25" i="33"/>
  <c r="II25" i="33"/>
  <c r="IC25" i="33"/>
  <c r="IA25" i="33"/>
  <c r="HY25" i="33"/>
  <c r="HS25" i="33"/>
  <c r="HQ25" i="33"/>
  <c r="HO25" i="33"/>
  <c r="HI25" i="33"/>
  <c r="HG25" i="33"/>
  <c r="HE25" i="33"/>
  <c r="GY25" i="33"/>
  <c r="GW25" i="33"/>
  <c r="GU25" i="33"/>
  <c r="GO25" i="33"/>
  <c r="GM25" i="33"/>
  <c r="GK25" i="33"/>
  <c r="GE25" i="33"/>
  <c r="GC25" i="33"/>
  <c r="GA25" i="33"/>
  <c r="FU25" i="33"/>
  <c r="FS25" i="33"/>
  <c r="FQ25" i="33"/>
  <c r="FK25" i="33"/>
  <c r="FI25" i="33"/>
  <c r="FG25" i="33"/>
  <c r="FA25" i="33"/>
  <c r="EY25" i="33"/>
  <c r="EW25" i="33"/>
  <c r="EQ25" i="33"/>
  <c r="EO25" i="33"/>
  <c r="EM25" i="33"/>
  <c r="EG25" i="33"/>
  <c r="EE25" i="33"/>
  <c r="EC25" i="33"/>
  <c r="DW25" i="33"/>
  <c r="DU25" i="33"/>
  <c r="DS25" i="33"/>
  <c r="DM25" i="33"/>
  <c r="DK25" i="33"/>
  <c r="DI25" i="33"/>
  <c r="DC25" i="33"/>
  <c r="DA25" i="33"/>
  <c r="CY25" i="33"/>
  <c r="CS25" i="33"/>
  <c r="CQ25" i="33"/>
  <c r="CO25" i="33"/>
  <c r="CI25" i="33"/>
  <c r="CG25" i="33"/>
  <c r="CE25" i="33"/>
  <c r="BY25" i="33"/>
  <c r="BW25" i="33"/>
  <c r="BU25" i="33"/>
  <c r="BO25" i="33"/>
  <c r="BM25" i="33"/>
  <c r="BK25" i="33"/>
  <c r="BE25" i="33"/>
  <c r="BC25" i="33"/>
  <c r="BA25" i="33"/>
  <c r="IM24" i="33"/>
  <c r="IK24" i="33"/>
  <c r="II24" i="33"/>
  <c r="IC24" i="33"/>
  <c r="IA24" i="33"/>
  <c r="HY24" i="33"/>
  <c r="HS24" i="33"/>
  <c r="HQ24" i="33"/>
  <c r="HO24" i="33"/>
  <c r="HI24" i="33"/>
  <c r="HG24" i="33"/>
  <c r="HE24" i="33"/>
  <c r="GY24" i="33"/>
  <c r="GW24" i="33"/>
  <c r="GU24" i="33"/>
  <c r="GO24" i="33"/>
  <c r="GM24" i="33"/>
  <c r="GK24" i="33"/>
  <c r="GE24" i="33"/>
  <c r="GC24" i="33"/>
  <c r="GA24" i="33"/>
  <c r="FU24" i="33"/>
  <c r="FS24" i="33"/>
  <c r="FQ24" i="33"/>
  <c r="FK24" i="33"/>
  <c r="FI24" i="33"/>
  <c r="FG24" i="33"/>
  <c r="FA24" i="33"/>
  <c r="EY24" i="33"/>
  <c r="EW24" i="33"/>
  <c r="EQ24" i="33"/>
  <c r="EO24" i="33"/>
  <c r="EM24" i="33"/>
  <c r="EG24" i="33"/>
  <c r="EE24" i="33"/>
  <c r="EC24" i="33"/>
  <c r="DW24" i="33"/>
  <c r="DU24" i="33"/>
  <c r="DS24" i="33"/>
  <c r="DM24" i="33"/>
  <c r="DK24" i="33"/>
  <c r="DI24" i="33"/>
  <c r="DC24" i="33"/>
  <c r="DA24" i="33"/>
  <c r="CY24" i="33"/>
  <c r="CS24" i="33"/>
  <c r="CQ24" i="33"/>
  <c r="CO24" i="33"/>
  <c r="CI24" i="33"/>
  <c r="CG24" i="33"/>
  <c r="CE24" i="33"/>
  <c r="BY24" i="33"/>
  <c r="BW24" i="33"/>
  <c r="BU24" i="33"/>
  <c r="BO24" i="33"/>
  <c r="BM24" i="33"/>
  <c r="BK24" i="33"/>
  <c r="BE24" i="33"/>
  <c r="BC24" i="33"/>
  <c r="BA24" i="33"/>
  <c r="AW24" i="33"/>
  <c r="AW25" i="33" s="1"/>
  <c r="AW26" i="33" s="1"/>
  <c r="AW27" i="33" s="1"/>
  <c r="AW28" i="33" s="1"/>
  <c r="AW29" i="33" s="1"/>
  <c r="AW30" i="33" s="1"/>
  <c r="AW31" i="33" s="1"/>
  <c r="AW32" i="33" s="1"/>
  <c r="AW33" i="33" s="1"/>
  <c r="AW34" i="33" s="1"/>
  <c r="AW35" i="33" s="1"/>
  <c r="AW36" i="33" s="1"/>
  <c r="AW37" i="33" s="1"/>
  <c r="AW38" i="33" s="1"/>
  <c r="AW39" i="33" s="1"/>
  <c r="AW40" i="33" s="1"/>
  <c r="AW41" i="33" s="1"/>
  <c r="AV24" i="33"/>
  <c r="AU24" i="33"/>
  <c r="AU25" i="33" s="1"/>
  <c r="AU26" i="33" s="1"/>
  <c r="IM23" i="33"/>
  <c r="IK23" i="33"/>
  <c r="II23" i="33"/>
  <c r="IC23" i="33"/>
  <c r="IA23" i="33"/>
  <c r="HY23" i="33"/>
  <c r="HS23" i="33"/>
  <c r="HQ23" i="33"/>
  <c r="HO23" i="33"/>
  <c r="HI23" i="33"/>
  <c r="HG23" i="33"/>
  <c r="HE23" i="33"/>
  <c r="GY23" i="33"/>
  <c r="GW23" i="33"/>
  <c r="GU23" i="33"/>
  <c r="GO23" i="33"/>
  <c r="GM23" i="33"/>
  <c r="GK23" i="33"/>
  <c r="GE23" i="33"/>
  <c r="GC23" i="33"/>
  <c r="GA23" i="33"/>
  <c r="FU23" i="33"/>
  <c r="FS23" i="33"/>
  <c r="FQ23" i="33"/>
  <c r="FK23" i="33"/>
  <c r="FI23" i="33"/>
  <c r="FG23" i="33"/>
  <c r="FA23" i="33"/>
  <c r="EY23" i="33"/>
  <c r="EW23" i="33"/>
  <c r="EQ23" i="33"/>
  <c r="EO23" i="33"/>
  <c r="EM23" i="33"/>
  <c r="EG23" i="33"/>
  <c r="EE23" i="33"/>
  <c r="EC23" i="33"/>
  <c r="DW23" i="33"/>
  <c r="DU23" i="33"/>
  <c r="DS23" i="33"/>
  <c r="DM23" i="33"/>
  <c r="DK23" i="33"/>
  <c r="DI23" i="33"/>
  <c r="DC23" i="33"/>
  <c r="DA23" i="33"/>
  <c r="CY23" i="33"/>
  <c r="CS23" i="33"/>
  <c r="CQ23" i="33"/>
  <c r="CO23" i="33"/>
  <c r="CI23" i="33"/>
  <c r="CG23" i="33"/>
  <c r="CE23" i="33"/>
  <c r="BY23" i="33"/>
  <c r="BW23" i="33"/>
  <c r="BU23" i="33"/>
  <c r="BO23" i="33"/>
  <c r="BM23" i="33"/>
  <c r="BK23" i="33"/>
  <c r="BE23" i="33"/>
  <c r="BC23" i="33"/>
  <c r="BA23" i="33"/>
  <c r="AV23" i="33"/>
  <c r="IM22" i="33"/>
  <c r="IK22" i="33"/>
  <c r="II22" i="33"/>
  <c r="IC22" i="33"/>
  <c r="IA22" i="33"/>
  <c r="HY22" i="33"/>
  <c r="HS22" i="33"/>
  <c r="HQ22" i="33"/>
  <c r="HO22" i="33"/>
  <c r="HI22" i="33"/>
  <c r="HG22" i="33"/>
  <c r="HE22" i="33"/>
  <c r="GY22" i="33"/>
  <c r="GW22" i="33"/>
  <c r="GU22" i="33"/>
  <c r="GO22" i="33"/>
  <c r="GM22" i="33"/>
  <c r="GK22" i="33"/>
  <c r="GE22" i="33"/>
  <c r="GC22" i="33"/>
  <c r="GA22" i="33"/>
  <c r="FU22" i="33"/>
  <c r="FS22" i="33"/>
  <c r="FQ22" i="33"/>
  <c r="FK22" i="33"/>
  <c r="FI22" i="33"/>
  <c r="FG22" i="33"/>
  <c r="FA22" i="33"/>
  <c r="EY22" i="33"/>
  <c r="EW22" i="33"/>
  <c r="EQ22" i="33"/>
  <c r="EO22" i="33"/>
  <c r="EM22" i="33"/>
  <c r="EG22" i="33"/>
  <c r="EE22" i="33"/>
  <c r="EC22" i="33"/>
  <c r="DW22" i="33"/>
  <c r="DU22" i="33"/>
  <c r="DS22" i="33"/>
  <c r="DM22" i="33"/>
  <c r="DK22" i="33"/>
  <c r="DI22" i="33"/>
  <c r="DC22" i="33"/>
  <c r="DA22" i="33"/>
  <c r="CY22" i="33"/>
  <c r="CS22" i="33"/>
  <c r="CQ22" i="33"/>
  <c r="CO22" i="33"/>
  <c r="CI22" i="33"/>
  <c r="CG22" i="33"/>
  <c r="CE22" i="33"/>
  <c r="BY22" i="33"/>
  <c r="BW22" i="33"/>
  <c r="BU22" i="33"/>
  <c r="BO22" i="33"/>
  <c r="BM22" i="33"/>
  <c r="BK22" i="33"/>
  <c r="BE22" i="33"/>
  <c r="BC22" i="33"/>
  <c r="BA22" i="33"/>
  <c r="AV22" i="33"/>
  <c r="BI21" i="33"/>
  <c r="BJ21" i="33" s="1"/>
  <c r="BK21" i="33" s="1"/>
  <c r="BL21" i="33" s="1"/>
  <c r="BM21" i="33" s="1"/>
  <c r="BN21" i="33" s="1"/>
  <c r="BO21" i="33" s="1"/>
  <c r="BP21" i="33" s="1"/>
  <c r="BQ21" i="33" s="1"/>
  <c r="BR21" i="33" s="1"/>
  <c r="BS21" i="33" s="1"/>
  <c r="BT21" i="33" s="1"/>
  <c r="BU21" i="33" s="1"/>
  <c r="BV21" i="33" s="1"/>
  <c r="BW21" i="33" s="1"/>
  <c r="BX21" i="33" s="1"/>
  <c r="BY21" i="33" s="1"/>
  <c r="BZ21" i="33" s="1"/>
  <c r="CA21" i="33" s="1"/>
  <c r="CB21" i="33" s="1"/>
  <c r="CC21" i="33" s="1"/>
  <c r="CD21" i="33" s="1"/>
  <c r="CE21" i="33" s="1"/>
  <c r="CF21" i="33" s="1"/>
  <c r="CG21" i="33" s="1"/>
  <c r="CH21" i="33" s="1"/>
  <c r="CI21" i="33" s="1"/>
  <c r="CJ21" i="33" s="1"/>
  <c r="CK21" i="33" s="1"/>
  <c r="CL21" i="33" s="1"/>
  <c r="CM21" i="33" s="1"/>
  <c r="CN21" i="33" s="1"/>
  <c r="CO21" i="33" s="1"/>
  <c r="CP21" i="33" s="1"/>
  <c r="CQ21" i="33" s="1"/>
  <c r="CR21" i="33" s="1"/>
  <c r="CS21" i="33" s="1"/>
  <c r="CT21" i="33" s="1"/>
  <c r="CU21" i="33" s="1"/>
  <c r="CV21" i="33" s="1"/>
  <c r="CW21" i="33" s="1"/>
  <c r="CX21" i="33" s="1"/>
  <c r="CY21" i="33" s="1"/>
  <c r="CZ21" i="33" s="1"/>
  <c r="DA21" i="33" s="1"/>
  <c r="DB21" i="33" s="1"/>
  <c r="DC21" i="33" s="1"/>
  <c r="DD21" i="33" s="1"/>
  <c r="DE21" i="33" s="1"/>
  <c r="DF21" i="33" s="1"/>
  <c r="DG21" i="33" s="1"/>
  <c r="DH21" i="33" s="1"/>
  <c r="DI21" i="33" s="1"/>
  <c r="DJ21" i="33" s="1"/>
  <c r="DK21" i="33" s="1"/>
  <c r="DL21" i="33" s="1"/>
  <c r="DM21" i="33" s="1"/>
  <c r="DN21" i="33" s="1"/>
  <c r="DO21" i="33" s="1"/>
  <c r="DP21" i="33" s="1"/>
  <c r="DQ21" i="33" s="1"/>
  <c r="DR21" i="33" s="1"/>
  <c r="DS21" i="33" s="1"/>
  <c r="DT21" i="33" s="1"/>
  <c r="DU21" i="33" s="1"/>
  <c r="DV21" i="33" s="1"/>
  <c r="DW21" i="33" s="1"/>
  <c r="DX21" i="33" s="1"/>
  <c r="DY21" i="33" s="1"/>
  <c r="DZ21" i="33" s="1"/>
  <c r="EA21" i="33" s="1"/>
  <c r="EB21" i="33" s="1"/>
  <c r="EC21" i="33" s="1"/>
  <c r="ED21" i="33" s="1"/>
  <c r="EE21" i="33" s="1"/>
  <c r="EF21" i="33" s="1"/>
  <c r="EG21" i="33" s="1"/>
  <c r="EH21" i="33" s="1"/>
  <c r="EI21" i="33" s="1"/>
  <c r="EJ21" i="33" s="1"/>
  <c r="EK21" i="33" s="1"/>
  <c r="EL21" i="33" s="1"/>
  <c r="EM21" i="33" s="1"/>
  <c r="EN21" i="33" s="1"/>
  <c r="EO21" i="33" s="1"/>
  <c r="EP21" i="33" s="1"/>
  <c r="EQ21" i="33" s="1"/>
  <c r="ER21" i="33" s="1"/>
  <c r="ES21" i="33" s="1"/>
  <c r="ET21" i="33" s="1"/>
  <c r="EU21" i="33" s="1"/>
  <c r="EV21" i="33" s="1"/>
  <c r="EW21" i="33" s="1"/>
  <c r="EX21" i="33" s="1"/>
  <c r="EY21" i="33" s="1"/>
  <c r="EZ21" i="33" s="1"/>
  <c r="FA21" i="33" s="1"/>
  <c r="FB21" i="33" s="1"/>
  <c r="FC21" i="33" s="1"/>
  <c r="FD21" i="33" s="1"/>
  <c r="FE21" i="33" s="1"/>
  <c r="FF21" i="33" s="1"/>
  <c r="FG21" i="33" s="1"/>
  <c r="FH21" i="33" s="1"/>
  <c r="FI21" i="33" s="1"/>
  <c r="FJ21" i="33" s="1"/>
  <c r="FK21" i="33" s="1"/>
  <c r="FL21" i="33" s="1"/>
  <c r="FM21" i="33" s="1"/>
  <c r="FN21" i="33" s="1"/>
  <c r="FO21" i="33" s="1"/>
  <c r="FP21" i="33" s="1"/>
  <c r="FQ21" i="33" s="1"/>
  <c r="FR21" i="33" s="1"/>
  <c r="FS21" i="33" s="1"/>
  <c r="FT21" i="33" s="1"/>
  <c r="FU21" i="33" s="1"/>
  <c r="FV21" i="33" s="1"/>
  <c r="FW21" i="33" s="1"/>
  <c r="FX21" i="33" s="1"/>
  <c r="FY21" i="33" s="1"/>
  <c r="FZ21" i="33" s="1"/>
  <c r="GA21" i="33" s="1"/>
  <c r="GB21" i="33" s="1"/>
  <c r="GC21" i="33" s="1"/>
  <c r="GD21" i="33" s="1"/>
  <c r="GE21" i="33" s="1"/>
  <c r="GF21" i="33" s="1"/>
  <c r="GG21" i="33" s="1"/>
  <c r="GH21" i="33" s="1"/>
  <c r="GI21" i="33" s="1"/>
  <c r="GJ21" i="33" s="1"/>
  <c r="GK21" i="33" s="1"/>
  <c r="GL21" i="33" s="1"/>
  <c r="GM21" i="33" s="1"/>
  <c r="GN21" i="33" s="1"/>
  <c r="GO21" i="33" s="1"/>
  <c r="GP21" i="33" s="1"/>
  <c r="GQ21" i="33" s="1"/>
  <c r="GR21" i="33" s="1"/>
  <c r="GS21" i="33" s="1"/>
  <c r="GT21" i="33" s="1"/>
  <c r="GU21" i="33" s="1"/>
  <c r="GV21" i="33" s="1"/>
  <c r="GW21" i="33" s="1"/>
  <c r="GX21" i="33" s="1"/>
  <c r="GY21" i="33" s="1"/>
  <c r="GZ21" i="33" s="1"/>
  <c r="HA21" i="33" s="1"/>
  <c r="HB21" i="33" s="1"/>
  <c r="HC21" i="33" s="1"/>
  <c r="HD21" i="33" s="1"/>
  <c r="HE21" i="33" s="1"/>
  <c r="HF21" i="33" s="1"/>
  <c r="HG21" i="33" s="1"/>
  <c r="HH21" i="33" s="1"/>
  <c r="HI21" i="33" s="1"/>
  <c r="HJ21" i="33" s="1"/>
  <c r="HK21" i="33" s="1"/>
  <c r="HL21" i="33" s="1"/>
  <c r="HM21" i="33" s="1"/>
  <c r="HN21" i="33" s="1"/>
  <c r="HO21" i="33" s="1"/>
  <c r="HP21" i="33" s="1"/>
  <c r="HQ21" i="33" s="1"/>
  <c r="HR21" i="33" s="1"/>
  <c r="HS21" i="33" s="1"/>
  <c r="HT21" i="33" s="1"/>
  <c r="HU21" i="33" s="1"/>
  <c r="HV21" i="33" s="1"/>
  <c r="HW21" i="33" s="1"/>
  <c r="HX21" i="33" s="1"/>
  <c r="HY21" i="33" s="1"/>
  <c r="HZ21" i="33" s="1"/>
  <c r="IA21" i="33" s="1"/>
  <c r="IB21" i="33" s="1"/>
  <c r="IC21" i="33" s="1"/>
  <c r="ID21" i="33" s="1"/>
  <c r="IE21" i="33" s="1"/>
  <c r="IF21" i="33" s="1"/>
  <c r="IG21" i="33" s="1"/>
  <c r="IH21" i="33" s="1"/>
  <c r="II21" i="33" s="1"/>
  <c r="IJ21" i="33" s="1"/>
  <c r="IK21" i="33" s="1"/>
  <c r="IL21" i="33" s="1"/>
  <c r="IM21" i="33" s="1"/>
  <c r="IN21" i="33" s="1"/>
  <c r="IO21" i="33" s="1"/>
  <c r="AZ21" i="33"/>
  <c r="BA21" i="33" s="1"/>
  <c r="BB21" i="33" s="1"/>
  <c r="BC21" i="33" s="1"/>
  <c r="BD21" i="33" s="1"/>
  <c r="BE21" i="33" s="1"/>
  <c r="BF21" i="33" s="1"/>
  <c r="BG21" i="33" s="1"/>
  <c r="BR20" i="33"/>
  <c r="CB20" i="33" s="1"/>
  <c r="CC20" i="33" s="1"/>
  <c r="BI20" i="33"/>
  <c r="AY20" i="33"/>
  <c r="O11" i="33"/>
  <c r="O10" i="33"/>
  <c r="O9" i="33"/>
  <c r="V8" i="33"/>
  <c r="O8" i="33"/>
  <c r="V7" i="33"/>
  <c r="O7" i="33"/>
  <c r="V6" i="33"/>
  <c r="O6" i="33"/>
  <c r="C6" i="33"/>
  <c r="V5" i="33"/>
  <c r="O5" i="33"/>
  <c r="O4" i="33"/>
  <c r="C4" i="33"/>
  <c r="D4" i="33" s="1"/>
  <c r="C3" i="33"/>
  <c r="D3" i="33" s="1"/>
  <c r="AY34" i="35" l="1"/>
  <c r="E20" i="35"/>
  <c r="P13" i="34"/>
  <c r="D27" i="35"/>
  <c r="J3" i="33"/>
  <c r="P13" i="33" s="1"/>
  <c r="J4" i="35"/>
  <c r="P14" i="35" s="1"/>
  <c r="P13" i="35"/>
  <c r="P83" i="33"/>
  <c r="P85" i="33" s="1"/>
  <c r="P76" i="33"/>
  <c r="P78" i="33" s="1"/>
  <c r="AB75" i="33" s="1"/>
  <c r="FY26" i="40"/>
  <c r="Q23" i="40"/>
  <c r="Q25" i="40"/>
  <c r="FY28" i="40"/>
  <c r="FY20" i="40"/>
  <c r="Q17" i="40"/>
  <c r="FY22" i="40"/>
  <c r="Q19" i="40"/>
  <c r="Q26" i="40"/>
  <c r="FY29" i="40"/>
  <c r="FY27" i="40"/>
  <c r="Q24" i="40"/>
  <c r="GQ31" i="40"/>
  <c r="GH31" i="40" s="1"/>
  <c r="GQ26" i="40"/>
  <c r="GH26" i="40" s="1"/>
  <c r="GQ30" i="40"/>
  <c r="GH30" i="40" s="1"/>
  <c r="GQ27" i="40"/>
  <c r="GH27" i="40" s="1"/>
  <c r="GQ22" i="40"/>
  <c r="GH22" i="40" s="1"/>
  <c r="GQ28" i="40"/>
  <c r="GH28" i="40" s="1"/>
  <c r="GQ25" i="40"/>
  <c r="GH25" i="40" s="1"/>
  <c r="GQ23" i="40"/>
  <c r="GH23" i="40" s="1"/>
  <c r="GQ29" i="40"/>
  <c r="GH29" i="40" s="1"/>
  <c r="GQ20" i="40"/>
  <c r="GH20" i="40" s="1"/>
  <c r="GR18" i="40"/>
  <c r="GQ21" i="40"/>
  <c r="GH21" i="40" s="1"/>
  <c r="GI18" i="40"/>
  <c r="GQ24" i="40"/>
  <c r="GH24" i="40" s="1"/>
  <c r="FY31" i="40"/>
  <c r="Q28" i="40"/>
  <c r="FY24" i="40"/>
  <c r="Q21" i="40"/>
  <c r="Q27" i="40"/>
  <c r="FY30" i="40"/>
  <c r="AV37" i="40"/>
  <c r="AU38" i="40"/>
  <c r="B35" i="40"/>
  <c r="D34" i="40"/>
  <c r="E34" i="40"/>
  <c r="F34" i="40"/>
  <c r="G34" i="40"/>
  <c r="H34" i="40"/>
  <c r="I34" i="40"/>
  <c r="J34" i="40"/>
  <c r="K34" i="40"/>
  <c r="L34" i="40"/>
  <c r="M34" i="40"/>
  <c r="N34" i="40"/>
  <c r="O34" i="40"/>
  <c r="Q18" i="40"/>
  <c r="FY21" i="40"/>
  <c r="Q22" i="40"/>
  <c r="FY25" i="40"/>
  <c r="FY23" i="40"/>
  <c r="Q20" i="40"/>
  <c r="D51" i="37"/>
  <c r="AN48" i="37"/>
  <c r="AN53" i="37" s="1"/>
  <c r="D31" i="37"/>
  <c r="B32" i="37"/>
  <c r="G31" i="37"/>
  <c r="F31" i="37"/>
  <c r="E31" i="37"/>
  <c r="E30" i="35"/>
  <c r="AY26" i="35"/>
  <c r="AY27" i="35"/>
  <c r="BI29" i="35"/>
  <c r="BI24" i="35"/>
  <c r="BI26" i="35"/>
  <c r="E22" i="34"/>
  <c r="BI25" i="34"/>
  <c r="D20" i="34"/>
  <c r="BH24" i="34"/>
  <c r="AX26" i="34"/>
  <c r="D23" i="34" s="1"/>
  <c r="CL26" i="34"/>
  <c r="CB26" i="34"/>
  <c r="CC26" i="34" s="1"/>
  <c r="BR26" i="34"/>
  <c r="F23" i="34" s="1"/>
  <c r="BH26" i="34"/>
  <c r="BH23" i="34"/>
  <c r="BI23" i="34" s="1"/>
  <c r="BP36" i="33"/>
  <c r="FV29" i="33"/>
  <c r="BP23" i="33"/>
  <c r="DD23" i="33"/>
  <c r="ER23" i="33"/>
  <c r="CT33" i="33"/>
  <c r="BP25" i="33"/>
  <c r="ER41" i="33"/>
  <c r="EH38" i="33"/>
  <c r="CT41" i="33"/>
  <c r="DN23" i="33"/>
  <c r="BZ24" i="33"/>
  <c r="DN24" i="33"/>
  <c r="FB24" i="33"/>
  <c r="GP24" i="33"/>
  <c r="EH26" i="33"/>
  <c r="IN27" i="33"/>
  <c r="FB31" i="33"/>
  <c r="BZ35" i="33"/>
  <c r="CJ36" i="33"/>
  <c r="CT36" i="33"/>
  <c r="DD36" i="33"/>
  <c r="DX36" i="33"/>
  <c r="BQ37" i="33"/>
  <c r="BH37" i="33" s="1"/>
  <c r="E34" i="33" s="1"/>
  <c r="EH37" i="33"/>
  <c r="CJ38" i="33"/>
  <c r="EH40" i="33"/>
  <c r="BS20" i="33"/>
  <c r="DD40" i="33"/>
  <c r="GF32" i="33"/>
  <c r="BP33" i="33"/>
  <c r="EH33" i="33"/>
  <c r="BF34" i="33"/>
  <c r="DX38" i="33"/>
  <c r="BQ24" i="33"/>
  <c r="BH24" i="33" s="1"/>
  <c r="DD25" i="33"/>
  <c r="ER25" i="33"/>
  <c r="GF25" i="33"/>
  <c r="HT25" i="33"/>
  <c r="DD26" i="33"/>
  <c r="DX30" i="33"/>
  <c r="GZ30" i="33"/>
  <c r="IN30" i="33"/>
  <c r="DX31" i="33"/>
  <c r="FV31" i="33"/>
  <c r="GP31" i="33"/>
  <c r="HJ31" i="33"/>
  <c r="BG33" i="33"/>
  <c r="AX33" i="33" s="1"/>
  <c r="AY33" i="33" s="1"/>
  <c r="DD33" i="33"/>
  <c r="BQ36" i="33"/>
  <c r="BH36" i="33" s="1"/>
  <c r="BI36" i="33" s="1"/>
  <c r="BZ36" i="33"/>
  <c r="EH41" i="33"/>
  <c r="HT22" i="33"/>
  <c r="CT27" i="33"/>
  <c r="HJ27" i="33"/>
  <c r="ID27" i="33"/>
  <c r="BQ28" i="33"/>
  <c r="BH28" i="33" s="1"/>
  <c r="GF28" i="33"/>
  <c r="HT28" i="33"/>
  <c r="ER29" i="33"/>
  <c r="GP29" i="33"/>
  <c r="HJ29" i="33"/>
  <c r="ID29" i="33"/>
  <c r="BZ30" i="33"/>
  <c r="GP30" i="33"/>
  <c r="ID30" i="33"/>
  <c r="BZ31" i="33"/>
  <c r="DN31" i="33"/>
  <c r="FL31" i="33"/>
  <c r="EH34" i="33"/>
  <c r="BZ40" i="33"/>
  <c r="BF41" i="33"/>
  <c r="CJ27" i="33"/>
  <c r="FL27" i="33"/>
  <c r="GZ27" i="33"/>
  <c r="EH29" i="33"/>
  <c r="GF29" i="33"/>
  <c r="CJ34" i="33"/>
  <c r="DX34" i="33"/>
  <c r="CT38" i="33"/>
  <c r="FL38" i="33"/>
  <c r="DN39" i="33"/>
  <c r="BQ40" i="33"/>
  <c r="BH40" i="33" s="1"/>
  <c r="BI40" i="33" s="1"/>
  <c r="DX26" i="33"/>
  <c r="FV26" i="33"/>
  <c r="BP32" i="33"/>
  <c r="FB35" i="33"/>
  <c r="BF37" i="33"/>
  <c r="DN40" i="33"/>
  <c r="CA22" i="33"/>
  <c r="BR22" i="33" s="1"/>
  <c r="F19" i="33" s="1"/>
  <c r="DN22" i="33"/>
  <c r="FB22" i="33"/>
  <c r="GP22" i="33"/>
  <c r="HJ22" i="33"/>
  <c r="BG23" i="33"/>
  <c r="AX23" i="33" s="1"/>
  <c r="AY23" i="33" s="1"/>
  <c r="GF23" i="33"/>
  <c r="HT23" i="33"/>
  <c r="ID24" i="33"/>
  <c r="CT25" i="33"/>
  <c r="CT26" i="33"/>
  <c r="ER26" i="33"/>
  <c r="ER28" i="33"/>
  <c r="CJ29" i="33"/>
  <c r="CT29" i="33"/>
  <c r="DX29" i="33"/>
  <c r="CT30" i="33"/>
  <c r="ER30" i="33"/>
  <c r="FL30" i="33"/>
  <c r="GF30" i="33"/>
  <c r="BQ31" i="33"/>
  <c r="BH31" i="33" s="1"/>
  <c r="E28" i="33" s="1"/>
  <c r="DD31" i="33"/>
  <c r="FB32" i="33"/>
  <c r="HT32" i="33"/>
  <c r="FV33" i="33"/>
  <c r="HJ33" i="33"/>
  <c r="BG34" i="33"/>
  <c r="AX34" i="33" s="1"/>
  <c r="AY34" i="33" s="1"/>
  <c r="BQ34" i="33"/>
  <c r="BH34" i="33" s="1"/>
  <c r="FL34" i="33"/>
  <c r="DD35" i="33"/>
  <c r="DN35" i="33"/>
  <c r="DD37" i="33"/>
  <c r="BG38" i="33"/>
  <c r="AX38" i="33" s="1"/>
  <c r="AY38" i="33" s="1"/>
  <c r="CJ39" i="33"/>
  <c r="FB39" i="33"/>
  <c r="BG40" i="33"/>
  <c r="AX40" i="33" s="1"/>
  <c r="ER40" i="33"/>
  <c r="BZ41" i="33"/>
  <c r="CK28" i="33"/>
  <c r="CB28" i="33" s="1"/>
  <c r="G25" i="33" s="1"/>
  <c r="ER22" i="33"/>
  <c r="GF22" i="33"/>
  <c r="HJ23" i="33"/>
  <c r="DX24" i="33"/>
  <c r="ER24" i="33"/>
  <c r="CA25" i="33"/>
  <c r="BR25" i="33" s="1"/>
  <c r="F22" i="33" s="1"/>
  <c r="DN25" i="33"/>
  <c r="ID25" i="33"/>
  <c r="HJ26" i="33"/>
  <c r="BF27" i="33"/>
  <c r="BZ27" i="33"/>
  <c r="DX27" i="33"/>
  <c r="BZ28" i="33"/>
  <c r="DN28" i="33"/>
  <c r="ID28" i="33"/>
  <c r="BF29" i="33"/>
  <c r="BZ29" i="33"/>
  <c r="IN29" i="33"/>
  <c r="CJ30" i="33"/>
  <c r="EH30" i="33"/>
  <c r="BG31" i="33"/>
  <c r="AX31" i="33" s="1"/>
  <c r="HT31" i="33"/>
  <c r="ID31" i="33"/>
  <c r="DD32" i="33"/>
  <c r="ER32" i="33"/>
  <c r="GP32" i="33"/>
  <c r="CT34" i="33"/>
  <c r="CJ35" i="33"/>
  <c r="ER36" i="33"/>
  <c r="CT37" i="33"/>
  <c r="ER37" i="33"/>
  <c r="BZ39" i="33"/>
  <c r="DX39" i="33"/>
  <c r="BG41" i="33"/>
  <c r="AX41" i="33" s="1"/>
  <c r="D38" i="33" s="1"/>
  <c r="DD41" i="33"/>
  <c r="FB41" i="33"/>
  <c r="CC23" i="37"/>
  <c r="CC25" i="37"/>
  <c r="CC24" i="37"/>
  <c r="CC40" i="37"/>
  <c r="CC39" i="37"/>
  <c r="CC27" i="37"/>
  <c r="CC29" i="37"/>
  <c r="CC28" i="37"/>
  <c r="CC31" i="37"/>
  <c r="CC38" i="37"/>
  <c r="AV27" i="37"/>
  <c r="AU28" i="37"/>
  <c r="CC26" i="37"/>
  <c r="CC30" i="37"/>
  <c r="CC32" i="37"/>
  <c r="CC35" i="37"/>
  <c r="CC37" i="37"/>
  <c r="W8" i="37"/>
  <c r="F9" i="37"/>
  <c r="C46" i="37" s="1"/>
  <c r="H51" i="37" s="1"/>
  <c r="CU40" i="37"/>
  <c r="CL40" i="37" s="1"/>
  <c r="CU41" i="37"/>
  <c r="CL41" i="37" s="1"/>
  <c r="CU37" i="37"/>
  <c r="CL37" i="37" s="1"/>
  <c r="CU38" i="37"/>
  <c r="CL38" i="37" s="1"/>
  <c r="CU36" i="37"/>
  <c r="CL36" i="37" s="1"/>
  <c r="CU33" i="37"/>
  <c r="CL33" i="37" s="1"/>
  <c r="H30" i="37" s="1"/>
  <c r="CU34" i="37"/>
  <c r="CL34" i="37" s="1"/>
  <c r="H31" i="37" s="1"/>
  <c r="CU30" i="37"/>
  <c r="CL30" i="37" s="1"/>
  <c r="H27" i="37" s="1"/>
  <c r="CU35" i="37"/>
  <c r="CL35" i="37" s="1"/>
  <c r="CU31" i="37"/>
  <c r="CL31" i="37" s="1"/>
  <c r="H28" i="37" s="1"/>
  <c r="CU27" i="37"/>
  <c r="CL27" i="37" s="1"/>
  <c r="H24" i="37" s="1"/>
  <c r="CU23" i="37"/>
  <c r="CL23" i="37" s="1"/>
  <c r="H20" i="37" s="1"/>
  <c r="CU39" i="37"/>
  <c r="CL39" i="37" s="1"/>
  <c r="CU28" i="37"/>
  <c r="CL28" i="37" s="1"/>
  <c r="H25" i="37" s="1"/>
  <c r="CU29" i="37"/>
  <c r="CL29" i="37" s="1"/>
  <c r="H26" i="37" s="1"/>
  <c r="CU25" i="37"/>
  <c r="CL25" i="37" s="1"/>
  <c r="H22" i="37" s="1"/>
  <c r="CU32" i="37"/>
  <c r="CL32" i="37" s="1"/>
  <c r="H29" i="37" s="1"/>
  <c r="CM20" i="37"/>
  <c r="CU26" i="37"/>
  <c r="CL26" i="37" s="1"/>
  <c r="H23" i="37" s="1"/>
  <c r="CU24" i="37"/>
  <c r="CL24" i="37" s="1"/>
  <c r="H21" i="37" s="1"/>
  <c r="CV20" i="37"/>
  <c r="CC33" i="37"/>
  <c r="CC36" i="37"/>
  <c r="CC34" i="37"/>
  <c r="CC41" i="37"/>
  <c r="F56" i="37"/>
  <c r="DE31" i="36"/>
  <c r="CV31" i="36" s="1"/>
  <c r="DE32" i="36"/>
  <c r="CV32" i="36" s="1"/>
  <c r="DE33" i="36"/>
  <c r="CV33" i="36" s="1"/>
  <c r="DE30" i="36"/>
  <c r="CV30" i="36" s="1"/>
  <c r="DE27" i="36"/>
  <c r="CV27" i="36" s="1"/>
  <c r="DE28" i="36"/>
  <c r="CV28" i="36" s="1"/>
  <c r="DE24" i="36"/>
  <c r="CV24" i="36" s="1"/>
  <c r="DE22" i="36"/>
  <c r="CV22" i="36" s="1"/>
  <c r="DE29" i="36"/>
  <c r="CV29" i="36" s="1"/>
  <c r="DE25" i="36"/>
  <c r="CV25" i="36" s="1"/>
  <c r="DE26" i="36"/>
  <c r="CV26" i="36" s="1"/>
  <c r="DF20" i="36"/>
  <c r="CW20" i="36"/>
  <c r="DE23" i="36"/>
  <c r="CV23" i="36" s="1"/>
  <c r="H23" i="36"/>
  <c r="CM26" i="36"/>
  <c r="H21" i="36"/>
  <c r="CM24" i="36"/>
  <c r="H28" i="36"/>
  <c r="CM31" i="36"/>
  <c r="C45" i="36"/>
  <c r="H19" i="36"/>
  <c r="CM22" i="36"/>
  <c r="H26" i="36"/>
  <c r="CM29" i="36"/>
  <c r="H25" i="36"/>
  <c r="CM28" i="36"/>
  <c r="H29" i="36"/>
  <c r="CM32" i="36"/>
  <c r="H20" i="36"/>
  <c r="CM23" i="36"/>
  <c r="H27" i="36"/>
  <c r="CM30" i="36"/>
  <c r="AU28" i="36"/>
  <c r="AV27" i="36"/>
  <c r="H24" i="36"/>
  <c r="CM27" i="36"/>
  <c r="H22" i="36"/>
  <c r="CM25" i="36"/>
  <c r="H30" i="36"/>
  <c r="CM33" i="36"/>
  <c r="BI40" i="35"/>
  <c r="E38" i="35"/>
  <c r="BI22" i="35"/>
  <c r="D34" i="35"/>
  <c r="AY37" i="35"/>
  <c r="E33" i="35"/>
  <c r="BI36" i="35"/>
  <c r="D30" i="35"/>
  <c r="AY33" i="35"/>
  <c r="D35" i="35"/>
  <c r="AY38" i="35"/>
  <c r="F24" i="35"/>
  <c r="BS27" i="35"/>
  <c r="F26" i="35"/>
  <c r="BS29" i="35"/>
  <c r="F27" i="35"/>
  <c r="BS30" i="35"/>
  <c r="F31" i="35"/>
  <c r="BS34" i="35"/>
  <c r="E35" i="35"/>
  <c r="BI38" i="35"/>
  <c r="D26" i="35"/>
  <c r="AY29" i="35"/>
  <c r="AV25" i="35"/>
  <c r="AU26" i="35"/>
  <c r="G19" i="35"/>
  <c r="CC22" i="35"/>
  <c r="F32" i="35"/>
  <c r="BS35" i="35"/>
  <c r="BS28" i="35"/>
  <c r="F25" i="35"/>
  <c r="F19" i="35"/>
  <c r="BS22" i="35"/>
  <c r="G37" i="35"/>
  <c r="CC40" i="35"/>
  <c r="G27" i="35"/>
  <c r="CC30" i="35"/>
  <c r="G35" i="35"/>
  <c r="CC38" i="35"/>
  <c r="F23" i="35"/>
  <c r="BS26" i="35"/>
  <c r="D28" i="35"/>
  <c r="AY31" i="35"/>
  <c r="F37" i="35"/>
  <c r="BS40" i="35"/>
  <c r="F30" i="35"/>
  <c r="BS33" i="35"/>
  <c r="F33" i="35"/>
  <c r="BS36" i="35"/>
  <c r="F35" i="35"/>
  <c r="BS38" i="35"/>
  <c r="E31" i="35"/>
  <c r="BI34" i="35"/>
  <c r="F22" i="35"/>
  <c r="BS25" i="35"/>
  <c r="G23" i="35"/>
  <c r="CC26" i="35"/>
  <c r="G26" i="35"/>
  <c r="CC29" i="35"/>
  <c r="G30" i="35"/>
  <c r="CC33" i="35"/>
  <c r="G34" i="35"/>
  <c r="CC37" i="35"/>
  <c r="W7" i="35"/>
  <c r="D37" i="35"/>
  <c r="AY40" i="35"/>
  <c r="E32" i="35"/>
  <c r="BI35" i="35"/>
  <c r="BI31" i="35"/>
  <c r="E28" i="35"/>
  <c r="E27" i="35"/>
  <c r="BI30" i="35"/>
  <c r="D25" i="35"/>
  <c r="AY28" i="35"/>
  <c r="F29" i="35"/>
  <c r="BS32" i="35"/>
  <c r="F28" i="35"/>
  <c r="BS31" i="35"/>
  <c r="F36" i="35"/>
  <c r="BS39" i="35"/>
  <c r="F20" i="35"/>
  <c r="BS23" i="35"/>
  <c r="G21" i="35"/>
  <c r="CC24" i="35"/>
  <c r="G28" i="35"/>
  <c r="CC31" i="35"/>
  <c r="G29" i="35"/>
  <c r="CC32" i="35"/>
  <c r="G32" i="35"/>
  <c r="CC35" i="35"/>
  <c r="G38" i="35"/>
  <c r="CC41" i="35"/>
  <c r="E36" i="35"/>
  <c r="BI39" i="35"/>
  <c r="E29" i="35"/>
  <c r="BI32" i="35"/>
  <c r="G36" i="35"/>
  <c r="CC39" i="35"/>
  <c r="CU40" i="35"/>
  <c r="CL40" i="35" s="1"/>
  <c r="CU36" i="35"/>
  <c r="CL36" i="35" s="1"/>
  <c r="CU41" i="35"/>
  <c r="CL41" i="35" s="1"/>
  <c r="CU37" i="35"/>
  <c r="CL37" i="35" s="1"/>
  <c r="CU34" i="35"/>
  <c r="CL34" i="35" s="1"/>
  <c r="CU32" i="35"/>
  <c r="CL32" i="35" s="1"/>
  <c r="CU33" i="35"/>
  <c r="CL33" i="35" s="1"/>
  <c r="CU38" i="35"/>
  <c r="CL38" i="35" s="1"/>
  <c r="CU27" i="35"/>
  <c r="CL27" i="35" s="1"/>
  <c r="CU31" i="35"/>
  <c r="CL31" i="35" s="1"/>
  <c r="CU30" i="35"/>
  <c r="CL30" i="35" s="1"/>
  <c r="CU29" i="35"/>
  <c r="CL29" i="35" s="1"/>
  <c r="CU39" i="35"/>
  <c r="CL39" i="35" s="1"/>
  <c r="CU28" i="35"/>
  <c r="CL28" i="35" s="1"/>
  <c r="CU25" i="35"/>
  <c r="CL25" i="35" s="1"/>
  <c r="CU22" i="35"/>
  <c r="CL22" i="35" s="1"/>
  <c r="CU24" i="35"/>
  <c r="CL24" i="35" s="1"/>
  <c r="CU23" i="35"/>
  <c r="CL23" i="35" s="1"/>
  <c r="CM20" i="35"/>
  <c r="CU35" i="35"/>
  <c r="CL35" i="35" s="1"/>
  <c r="CU26" i="35"/>
  <c r="CL26" i="35" s="1"/>
  <c r="CV20" i="35"/>
  <c r="F34" i="35"/>
  <c r="BS37" i="35"/>
  <c r="F38" i="35"/>
  <c r="BS41" i="35"/>
  <c r="D21" i="35"/>
  <c r="AY24" i="35"/>
  <c r="G22" i="35"/>
  <c r="CC25" i="35"/>
  <c r="G24" i="35"/>
  <c r="CC27" i="35"/>
  <c r="G20" i="35"/>
  <c r="CC23" i="35"/>
  <c r="G31" i="35"/>
  <c r="CC34" i="35"/>
  <c r="G25" i="35"/>
  <c r="CC28" i="35"/>
  <c r="G33" i="35"/>
  <c r="CC36" i="35"/>
  <c r="C9" i="35"/>
  <c r="AY26" i="34"/>
  <c r="C45" i="34"/>
  <c r="F8" i="34"/>
  <c r="C11" i="34" s="1"/>
  <c r="P10" i="34" s="1"/>
  <c r="F19" i="34"/>
  <c r="BS22" i="34"/>
  <c r="G22" i="34"/>
  <c r="CC25" i="34"/>
  <c r="F20" i="34"/>
  <c r="BS23" i="34"/>
  <c r="H20" i="34"/>
  <c r="CM23" i="34"/>
  <c r="E23" i="34"/>
  <c r="BI26" i="34"/>
  <c r="E19" i="34"/>
  <c r="BI22" i="34"/>
  <c r="G20" i="34"/>
  <c r="CC23" i="34"/>
  <c r="F22" i="34"/>
  <c r="BS25" i="34"/>
  <c r="H19" i="34"/>
  <c r="CM22" i="34"/>
  <c r="H23" i="34"/>
  <c r="CM26" i="34"/>
  <c r="G19" i="34"/>
  <c r="CC22" i="34"/>
  <c r="AU27" i="34"/>
  <c r="IQ27" i="34" s="1"/>
  <c r="BH27" i="34" s="1"/>
  <c r="AV26" i="34"/>
  <c r="H22" i="34"/>
  <c r="CM25" i="34"/>
  <c r="W7" i="34"/>
  <c r="G21" i="34"/>
  <c r="CC24" i="34"/>
  <c r="G23" i="34"/>
  <c r="F21" i="34"/>
  <c r="BS24" i="34"/>
  <c r="DE40" i="34"/>
  <c r="DE41" i="34"/>
  <c r="DE35" i="34"/>
  <c r="DE31" i="34"/>
  <c r="DE39" i="34"/>
  <c r="DE38" i="34"/>
  <c r="DE36" i="34"/>
  <c r="DE32" i="34"/>
  <c r="DE37" i="34"/>
  <c r="DE33" i="34"/>
  <c r="DE34" i="34"/>
  <c r="DE28" i="34"/>
  <c r="DE30" i="34"/>
  <c r="DE27" i="34"/>
  <c r="CV27" i="34" s="1"/>
  <c r="DE29" i="34"/>
  <c r="DE23" i="34"/>
  <c r="CV23" i="34" s="1"/>
  <c r="DE24" i="34"/>
  <c r="CV24" i="34" s="1"/>
  <c r="DE22" i="34"/>
  <c r="CV22" i="34" s="1"/>
  <c r="DE25" i="34"/>
  <c r="CV25" i="34" s="1"/>
  <c r="DE26" i="34"/>
  <c r="CV26" i="34" s="1"/>
  <c r="DF20" i="34"/>
  <c r="CW20" i="34"/>
  <c r="H21" i="34"/>
  <c r="CM24" i="34"/>
  <c r="D65" i="33"/>
  <c r="BF22" i="33"/>
  <c r="CJ22" i="33"/>
  <c r="CT22" i="33"/>
  <c r="DX22" i="33"/>
  <c r="EH22" i="33"/>
  <c r="FL22" i="33"/>
  <c r="FV22" i="33"/>
  <c r="BZ23" i="33"/>
  <c r="FV23" i="33"/>
  <c r="ID23" i="33"/>
  <c r="CJ24" i="33"/>
  <c r="DD24" i="33"/>
  <c r="IN24" i="33"/>
  <c r="BQ25" i="33"/>
  <c r="BH25" i="33" s="1"/>
  <c r="BI25" i="33" s="1"/>
  <c r="BZ25" i="33"/>
  <c r="GP25" i="33"/>
  <c r="HJ25" i="33"/>
  <c r="BG26" i="33"/>
  <c r="AX26" i="33" s="1"/>
  <c r="AY26" i="33" s="1"/>
  <c r="BP26" i="33"/>
  <c r="CJ26" i="33"/>
  <c r="HT26" i="33"/>
  <c r="IN26" i="33"/>
  <c r="FV27" i="33"/>
  <c r="GP27" i="33"/>
  <c r="CJ28" i="33"/>
  <c r="DD28" i="33"/>
  <c r="GP28" i="33"/>
  <c r="DD29" i="33"/>
  <c r="FB29" i="33"/>
  <c r="GZ29" i="33"/>
  <c r="DD30" i="33"/>
  <c r="FB30" i="33"/>
  <c r="HJ30" i="33"/>
  <c r="CJ31" i="33"/>
  <c r="EH31" i="33"/>
  <c r="GF31" i="33"/>
  <c r="IN31" i="33"/>
  <c r="DN32" i="33"/>
  <c r="BF33" i="33"/>
  <c r="GF33" i="33"/>
  <c r="IN33" i="33"/>
  <c r="DN34" i="33"/>
  <c r="BP35" i="33"/>
  <c r="FL35" i="33"/>
  <c r="BF36" i="33"/>
  <c r="FB36" i="33"/>
  <c r="BP40" i="33"/>
  <c r="CT40" i="33"/>
  <c r="DX41" i="33"/>
  <c r="DN41" i="33"/>
  <c r="FL41" i="33"/>
  <c r="BP22" i="33"/>
  <c r="DD22" i="33"/>
  <c r="ID22" i="33"/>
  <c r="CT23" i="33"/>
  <c r="FB23" i="33"/>
  <c r="FL24" i="33"/>
  <c r="GF24" i="33"/>
  <c r="BF25" i="33"/>
  <c r="EH25" i="33"/>
  <c r="FL26" i="33"/>
  <c r="DN27" i="33"/>
  <c r="BZ34" i="33"/>
  <c r="ER35" i="33"/>
  <c r="EH36" i="33"/>
  <c r="EH23" i="33"/>
  <c r="GP23" i="33"/>
  <c r="BP24" i="33"/>
  <c r="GZ24" i="33"/>
  <c r="HT24" i="33"/>
  <c r="FB25" i="33"/>
  <c r="FV25" i="33"/>
  <c r="BF26" i="33"/>
  <c r="GF26" i="33"/>
  <c r="GZ26" i="33"/>
  <c r="EH27" i="33"/>
  <c r="FB27" i="33"/>
  <c r="BP28" i="33"/>
  <c r="FB28" i="33"/>
  <c r="BG29" i="33"/>
  <c r="AX29" i="33" s="1"/>
  <c r="D26" i="33" s="1"/>
  <c r="DN29" i="33"/>
  <c r="FL29" i="33"/>
  <c r="HT29" i="33"/>
  <c r="BQ30" i="33"/>
  <c r="BH30" i="33" s="1"/>
  <c r="BI30" i="33" s="1"/>
  <c r="DN30" i="33"/>
  <c r="FV30" i="33"/>
  <c r="HT30" i="33"/>
  <c r="CT31" i="33"/>
  <c r="ER31" i="33"/>
  <c r="GZ31" i="33"/>
  <c r="BQ32" i="33"/>
  <c r="BH32" i="33" s="1"/>
  <c r="BI32" i="33" s="1"/>
  <c r="BZ32" i="33"/>
  <c r="ID32" i="33"/>
  <c r="ER33" i="33"/>
  <c r="BQ35" i="33"/>
  <c r="BH35" i="33" s="1"/>
  <c r="E32" i="33" s="1"/>
  <c r="DX35" i="33"/>
  <c r="BG36" i="33"/>
  <c r="AX36" i="33" s="1"/>
  <c r="D33" i="33" s="1"/>
  <c r="DN36" i="33"/>
  <c r="FL36" i="33"/>
  <c r="BG37" i="33"/>
  <c r="AX37" i="33" s="1"/>
  <c r="AY37" i="33" s="1"/>
  <c r="BP37" i="33"/>
  <c r="BF38" i="33"/>
  <c r="FL39" i="33"/>
  <c r="BF40" i="33"/>
  <c r="FB40" i="33"/>
  <c r="E25" i="33"/>
  <c r="BI28" i="33"/>
  <c r="BQ22" i="33"/>
  <c r="BH22" i="33" s="1"/>
  <c r="AU27" i="33"/>
  <c r="AV26" i="33"/>
  <c r="W6" i="33"/>
  <c r="CA41" i="33"/>
  <c r="BR41" i="33" s="1"/>
  <c r="CA37" i="33"/>
  <c r="BR37" i="33" s="1"/>
  <c r="CA38" i="33"/>
  <c r="BR38" i="33" s="1"/>
  <c r="CA34" i="33"/>
  <c r="BR34" i="33" s="1"/>
  <c r="CA39" i="33"/>
  <c r="BR39" i="33" s="1"/>
  <c r="CA35" i="33"/>
  <c r="BR35" i="33" s="1"/>
  <c r="CA36" i="33"/>
  <c r="BR36" i="33" s="1"/>
  <c r="CA33" i="33"/>
  <c r="BR33" i="33" s="1"/>
  <c r="CA29" i="33"/>
  <c r="BR29" i="33" s="1"/>
  <c r="CA40" i="33"/>
  <c r="BR40" i="33" s="1"/>
  <c r="CA30" i="33"/>
  <c r="BR30" i="33" s="1"/>
  <c r="CA31" i="33"/>
  <c r="BR31" i="33" s="1"/>
  <c r="CA26" i="33"/>
  <c r="BR26" i="33" s="1"/>
  <c r="CA27" i="33"/>
  <c r="BR27" i="33" s="1"/>
  <c r="CA32" i="33"/>
  <c r="BR32" i="33" s="1"/>
  <c r="CA28" i="33"/>
  <c r="BR28" i="33" s="1"/>
  <c r="CA24" i="33"/>
  <c r="BR24" i="33" s="1"/>
  <c r="CL20" i="33"/>
  <c r="BZ22" i="33"/>
  <c r="BQ23" i="33"/>
  <c r="BH23" i="33" s="1"/>
  <c r="BG25" i="33"/>
  <c r="AX25" i="33" s="1"/>
  <c r="E22" i="33"/>
  <c r="CJ25" i="33"/>
  <c r="DX25" i="33"/>
  <c r="FL25" i="33"/>
  <c r="GZ25" i="33"/>
  <c r="IN25" i="33"/>
  <c r="BQ26" i="33"/>
  <c r="BH26" i="33" s="1"/>
  <c r="BG27" i="33"/>
  <c r="AX27" i="33" s="1"/>
  <c r="BP29" i="33"/>
  <c r="BQ29" i="33"/>
  <c r="BH29" i="33" s="1"/>
  <c r="C8" i="33"/>
  <c r="C9" i="33" s="1"/>
  <c r="BG22" i="33"/>
  <c r="AX22" i="33" s="1"/>
  <c r="D19" i="33" s="1"/>
  <c r="CA23" i="33"/>
  <c r="BR23" i="33" s="1"/>
  <c r="CK23" i="33"/>
  <c r="CB23" i="33" s="1"/>
  <c r="E21" i="33"/>
  <c r="BI24" i="33"/>
  <c r="CK24" i="33"/>
  <c r="CB24" i="33" s="1"/>
  <c r="BZ26" i="33"/>
  <c r="DN26" i="33"/>
  <c r="FB26" i="33"/>
  <c r="GP26" i="33"/>
  <c r="ID26" i="33"/>
  <c r="BQ27" i="33"/>
  <c r="BH27" i="33" s="1"/>
  <c r="DD27" i="33"/>
  <c r="ER27" i="33"/>
  <c r="GF27" i="33"/>
  <c r="HT27" i="33"/>
  <c r="BF30" i="33"/>
  <c r="BG30" i="33"/>
  <c r="AX30" i="33" s="1"/>
  <c r="W5" i="33"/>
  <c r="CK40" i="33"/>
  <c r="CB40" i="33" s="1"/>
  <c r="CK36" i="33"/>
  <c r="CB36" i="33" s="1"/>
  <c r="CK41" i="33"/>
  <c r="CB41" i="33" s="1"/>
  <c r="CK37" i="33"/>
  <c r="CB37" i="33" s="1"/>
  <c r="CK38" i="33"/>
  <c r="CB38" i="33" s="1"/>
  <c r="CK34" i="33"/>
  <c r="CB34" i="33" s="1"/>
  <c r="CK32" i="33"/>
  <c r="CB32" i="33" s="1"/>
  <c r="CK35" i="33"/>
  <c r="CB35" i="33" s="1"/>
  <c r="CK33" i="33"/>
  <c r="CB33" i="33" s="1"/>
  <c r="CK29" i="33"/>
  <c r="CB29" i="33" s="1"/>
  <c r="CK39" i="33"/>
  <c r="CB39" i="33" s="1"/>
  <c r="CK30" i="33"/>
  <c r="CB30" i="33" s="1"/>
  <c r="CK25" i="33"/>
  <c r="CB25" i="33" s="1"/>
  <c r="CK26" i="33"/>
  <c r="CB26" i="33" s="1"/>
  <c r="CK27" i="33"/>
  <c r="CB27" i="33" s="1"/>
  <c r="CK22" i="33"/>
  <c r="CB22" i="33" s="1"/>
  <c r="GZ22" i="33"/>
  <c r="IN22" i="33"/>
  <c r="CJ23" i="33"/>
  <c r="DX23" i="33"/>
  <c r="FL23" i="33"/>
  <c r="GZ23" i="33"/>
  <c r="IN23" i="33"/>
  <c r="BG24" i="33"/>
  <c r="AX24" i="33" s="1"/>
  <c r="CT24" i="33"/>
  <c r="EH24" i="33"/>
  <c r="FV24" i="33"/>
  <c r="HJ24" i="33"/>
  <c r="BG28" i="33"/>
  <c r="AX28" i="33" s="1"/>
  <c r="CT28" i="33"/>
  <c r="BI31" i="33"/>
  <c r="CK31" i="33"/>
  <c r="CB31" i="33" s="1"/>
  <c r="BP41" i="33"/>
  <c r="BQ41" i="33"/>
  <c r="BH41" i="33" s="1"/>
  <c r="D28" i="33"/>
  <c r="AY31" i="33"/>
  <c r="D37" i="33"/>
  <c r="AY40" i="33"/>
  <c r="BF23" i="33"/>
  <c r="BF24" i="33"/>
  <c r="AV25" i="33"/>
  <c r="BP27" i="33"/>
  <c r="BF28" i="33"/>
  <c r="DX28" i="33"/>
  <c r="BG32" i="33"/>
  <c r="AX32" i="33" s="1"/>
  <c r="CJ32" i="33"/>
  <c r="CT32" i="33"/>
  <c r="DX32" i="33"/>
  <c r="FL32" i="33"/>
  <c r="GZ32" i="33"/>
  <c r="IN32" i="33"/>
  <c r="BQ33" i="33"/>
  <c r="BH33" i="33" s="1"/>
  <c r="EH28" i="33"/>
  <c r="FL28" i="33"/>
  <c r="FV28" i="33"/>
  <c r="GZ28" i="33"/>
  <c r="HJ28" i="33"/>
  <c r="IN28" i="33"/>
  <c r="EH32" i="33"/>
  <c r="FV32" i="33"/>
  <c r="HJ32" i="33"/>
  <c r="BZ33" i="33"/>
  <c r="CJ33" i="33"/>
  <c r="DN33" i="33"/>
  <c r="DX33" i="33"/>
  <c r="FB33" i="33"/>
  <c r="FL33" i="33"/>
  <c r="GP33" i="33"/>
  <c r="GZ33" i="33"/>
  <c r="HT33" i="33"/>
  <c r="E31" i="33"/>
  <c r="BI34" i="33"/>
  <c r="BP31" i="33"/>
  <c r="BF32" i="33"/>
  <c r="ID33" i="33"/>
  <c r="BZ37" i="33"/>
  <c r="DN37" i="33"/>
  <c r="FB37" i="33"/>
  <c r="BQ38" i="33"/>
  <c r="BH38" i="33" s="1"/>
  <c r="DD38" i="33"/>
  <c r="ER38" i="33"/>
  <c r="CJ41" i="33"/>
  <c r="BP30" i="33"/>
  <c r="BF31" i="33"/>
  <c r="BP34" i="33"/>
  <c r="DD34" i="33"/>
  <c r="ER34" i="33"/>
  <c r="CJ37" i="33"/>
  <c r="DX37" i="33"/>
  <c r="FL37" i="33"/>
  <c r="BZ38" i="33"/>
  <c r="DN38" i="33"/>
  <c r="FB38" i="33"/>
  <c r="BG39" i="33"/>
  <c r="AX39" i="33" s="1"/>
  <c r="BQ39" i="33"/>
  <c r="BH39" i="33" s="1"/>
  <c r="CT39" i="33"/>
  <c r="EH39" i="33"/>
  <c r="FB34" i="33"/>
  <c r="BG35" i="33"/>
  <c r="AX35" i="33" s="1"/>
  <c r="CT35" i="33"/>
  <c r="EH35" i="33"/>
  <c r="BP39" i="33"/>
  <c r="DD39" i="33"/>
  <c r="ER39" i="33"/>
  <c r="CJ40" i="33"/>
  <c r="DX40" i="33"/>
  <c r="FL40" i="33"/>
  <c r="BF35" i="33"/>
  <c r="BP38" i="33"/>
  <c r="BF39" i="33"/>
  <c r="BK23" i="31"/>
  <c r="BM23" i="31"/>
  <c r="BO23" i="31"/>
  <c r="BU23" i="31"/>
  <c r="BW23" i="31"/>
  <c r="BY23" i="31"/>
  <c r="CE23" i="31"/>
  <c r="CG23" i="31"/>
  <c r="CI23" i="31"/>
  <c r="CO23" i="31"/>
  <c r="CQ23" i="31"/>
  <c r="CS23" i="31"/>
  <c r="CY23" i="31"/>
  <c r="DA23" i="31"/>
  <c r="DC23" i="31"/>
  <c r="DI23" i="31"/>
  <c r="DK23" i="31"/>
  <c r="DM23" i="31"/>
  <c r="DS23" i="31"/>
  <c r="DU23" i="31"/>
  <c r="DW23" i="31"/>
  <c r="EC23" i="31"/>
  <c r="EE23" i="31"/>
  <c r="EG23" i="31"/>
  <c r="EM23" i="31"/>
  <c r="EO23" i="31"/>
  <c r="EQ23" i="31"/>
  <c r="EW23" i="31"/>
  <c r="EY23" i="31"/>
  <c r="FA23" i="31"/>
  <c r="FG23" i="31"/>
  <c r="FI23" i="31"/>
  <c r="FK23" i="31"/>
  <c r="FQ23" i="31"/>
  <c r="FS23" i="31"/>
  <c r="FU23" i="31"/>
  <c r="GA23" i="31"/>
  <c r="GC23" i="31"/>
  <c r="GE23" i="31"/>
  <c r="GK23" i="31"/>
  <c r="GM23" i="31"/>
  <c r="GO23" i="31"/>
  <c r="GU23" i="31"/>
  <c r="GW23" i="31"/>
  <c r="GY23" i="31"/>
  <c r="HE23" i="31"/>
  <c r="HG23" i="31"/>
  <c r="HI23" i="31"/>
  <c r="HO23" i="31"/>
  <c r="HQ23" i="31"/>
  <c r="HS23" i="31"/>
  <c r="HY23" i="31"/>
  <c r="IA23" i="31"/>
  <c r="IC23" i="31"/>
  <c r="II23" i="31"/>
  <c r="IN23" i="31" s="1"/>
  <c r="IK23" i="31"/>
  <c r="IM23" i="31"/>
  <c r="BK24" i="31"/>
  <c r="BM24" i="31"/>
  <c r="BO24" i="31"/>
  <c r="BU24" i="31"/>
  <c r="BW24" i="31"/>
  <c r="BY24" i="31"/>
  <c r="CE24" i="31"/>
  <c r="CG24" i="31"/>
  <c r="CI24" i="31"/>
  <c r="CO24" i="31"/>
  <c r="CQ24" i="31"/>
  <c r="CS24" i="31"/>
  <c r="CY24" i="31"/>
  <c r="DA24" i="31"/>
  <c r="DC24" i="31"/>
  <c r="DI24" i="31"/>
  <c r="DK24" i="31"/>
  <c r="DM24" i="31"/>
  <c r="DS24" i="31"/>
  <c r="DU24" i="31"/>
  <c r="DW24" i="31"/>
  <c r="EC24" i="31"/>
  <c r="EE24" i="31"/>
  <c r="EG24" i="31"/>
  <c r="EM24" i="31"/>
  <c r="EO24" i="31"/>
  <c r="EQ24" i="31"/>
  <c r="EW24" i="31"/>
  <c r="EY24" i="31"/>
  <c r="FA24" i="31"/>
  <c r="FG24" i="31"/>
  <c r="FI24" i="31"/>
  <c r="FK24" i="31"/>
  <c r="FQ24" i="31"/>
  <c r="FS24" i="31"/>
  <c r="FU24" i="31"/>
  <c r="GA24" i="31"/>
  <c r="GC24" i="31"/>
  <c r="GE24" i="31"/>
  <c r="GK24" i="31"/>
  <c r="GM24" i="31"/>
  <c r="GO24" i="31"/>
  <c r="GU24" i="31"/>
  <c r="GW24" i="31"/>
  <c r="GY24" i="31"/>
  <c r="HE24" i="31"/>
  <c r="HG24" i="31"/>
  <c r="HI24" i="31"/>
  <c r="HO24" i="31"/>
  <c r="HQ24" i="31"/>
  <c r="HS24" i="31"/>
  <c r="HY24" i="31"/>
  <c r="IA24" i="31"/>
  <c r="IC24" i="31"/>
  <c r="II24" i="31"/>
  <c r="IK24" i="31"/>
  <c r="IM24" i="31"/>
  <c r="BK25" i="31"/>
  <c r="BM25" i="31"/>
  <c r="BO25" i="31"/>
  <c r="BU25" i="31"/>
  <c r="BW25" i="31"/>
  <c r="BY25" i="31"/>
  <c r="CE25" i="31"/>
  <c r="CG25" i="31"/>
  <c r="CI25" i="31"/>
  <c r="CO25" i="31"/>
  <c r="CQ25" i="31"/>
  <c r="CS25" i="31"/>
  <c r="CY25" i="31"/>
  <c r="DA25" i="31"/>
  <c r="DC25" i="31"/>
  <c r="DI25" i="31"/>
  <c r="DK25" i="31"/>
  <c r="DM25" i="31"/>
  <c r="DS25" i="31"/>
  <c r="DU25" i="31"/>
  <c r="DW25" i="31"/>
  <c r="EC25" i="31"/>
  <c r="EE25" i="31"/>
  <c r="EG25" i="31"/>
  <c r="EM25" i="31"/>
  <c r="EO25" i="31"/>
  <c r="EQ25" i="31"/>
  <c r="EW25" i="31"/>
  <c r="EY25" i="31"/>
  <c r="FA25" i="31"/>
  <c r="FG25" i="31"/>
  <c r="FI25" i="31"/>
  <c r="FK25" i="31"/>
  <c r="FQ25" i="31"/>
  <c r="FS25" i="31"/>
  <c r="FU25" i="31"/>
  <c r="GA25" i="31"/>
  <c r="GC25" i="31"/>
  <c r="GE25" i="31"/>
  <c r="GK25" i="31"/>
  <c r="GM25" i="31"/>
  <c r="GO25" i="31"/>
  <c r="GU25" i="31"/>
  <c r="GW25" i="31"/>
  <c r="GY25" i="31"/>
  <c r="HE25" i="31"/>
  <c r="HG25" i="31"/>
  <c r="HI25" i="31"/>
  <c r="HO25" i="31"/>
  <c r="HQ25" i="31"/>
  <c r="HS25" i="31"/>
  <c r="HY25" i="31"/>
  <c r="IA25" i="31"/>
  <c r="IC25" i="31"/>
  <c r="II25" i="31"/>
  <c r="IK25" i="31"/>
  <c r="IM25" i="31"/>
  <c r="BK26" i="31"/>
  <c r="BM26" i="31"/>
  <c r="BO26" i="31"/>
  <c r="BU26" i="31"/>
  <c r="BW26" i="31"/>
  <c r="BY26" i="31"/>
  <c r="CE26" i="31"/>
  <c r="CG26" i="31"/>
  <c r="CI26" i="31"/>
  <c r="CO26" i="31"/>
  <c r="CQ26" i="31"/>
  <c r="CS26" i="31"/>
  <c r="CY26" i="31"/>
  <c r="DA26" i="31"/>
  <c r="DC26" i="31"/>
  <c r="DI26" i="31"/>
  <c r="DK26" i="31"/>
  <c r="DM26" i="31"/>
  <c r="DS26" i="31"/>
  <c r="DU26" i="31"/>
  <c r="DW26" i="31"/>
  <c r="EC26" i="31"/>
  <c r="EE26" i="31"/>
  <c r="EG26" i="31"/>
  <c r="EM26" i="31"/>
  <c r="EO26" i="31"/>
  <c r="EQ26" i="31"/>
  <c r="EW26" i="31"/>
  <c r="EY26" i="31"/>
  <c r="FA26" i="31"/>
  <c r="FG26" i="31"/>
  <c r="FI26" i="31"/>
  <c r="FK26" i="31"/>
  <c r="FQ26" i="31"/>
  <c r="FS26" i="31"/>
  <c r="FU26" i="31"/>
  <c r="GA26" i="31"/>
  <c r="GC26" i="31"/>
  <c r="GE26" i="31"/>
  <c r="GK26" i="31"/>
  <c r="GM26" i="31"/>
  <c r="GO26" i="31"/>
  <c r="GU26" i="31"/>
  <c r="GW26" i="31"/>
  <c r="GY26" i="31"/>
  <c r="HE26" i="31"/>
  <c r="HG26" i="31"/>
  <c r="HI26" i="31"/>
  <c r="HO26" i="31"/>
  <c r="HQ26" i="31"/>
  <c r="HS26" i="31"/>
  <c r="HY26" i="31"/>
  <c r="IA26" i="31"/>
  <c r="IC26" i="31"/>
  <c r="II26" i="31"/>
  <c r="IK26" i="31"/>
  <c r="IM26" i="31"/>
  <c r="BK27" i="31"/>
  <c r="BM27" i="31"/>
  <c r="BO27" i="31"/>
  <c r="BU27" i="31"/>
  <c r="BW27" i="31"/>
  <c r="BY27" i="31"/>
  <c r="CE27" i="31"/>
  <c r="CG27" i="31"/>
  <c r="CI27" i="31"/>
  <c r="CO27" i="31"/>
  <c r="CQ27" i="31"/>
  <c r="CS27" i="31"/>
  <c r="CY27" i="31"/>
  <c r="DA27" i="31"/>
  <c r="DC27" i="31"/>
  <c r="DI27" i="31"/>
  <c r="DK27" i="31"/>
  <c r="DM27" i="31"/>
  <c r="DS27" i="31"/>
  <c r="DU27" i="31"/>
  <c r="DW27" i="31"/>
  <c r="EC27" i="31"/>
  <c r="EE27" i="31"/>
  <c r="EG27" i="31"/>
  <c r="EM27" i="31"/>
  <c r="EO27" i="31"/>
  <c r="EQ27" i="31"/>
  <c r="EW27" i="31"/>
  <c r="EY27" i="31"/>
  <c r="FA27" i="31"/>
  <c r="FG27" i="31"/>
  <c r="FI27" i="31"/>
  <c r="FK27" i="31"/>
  <c r="FQ27" i="31"/>
  <c r="FS27" i="31"/>
  <c r="FU27" i="31"/>
  <c r="GA27" i="31"/>
  <c r="GC27" i="31"/>
  <c r="GE27" i="31"/>
  <c r="GK27" i="31"/>
  <c r="GM27" i="31"/>
  <c r="GO27" i="31"/>
  <c r="GU27" i="31"/>
  <c r="GW27" i="31"/>
  <c r="GY27" i="31"/>
  <c r="HE27" i="31"/>
  <c r="HG27" i="31"/>
  <c r="HI27" i="31"/>
  <c r="HO27" i="31"/>
  <c r="HQ27" i="31"/>
  <c r="HS27" i="31"/>
  <c r="HY27" i="31"/>
  <c r="IA27" i="31"/>
  <c r="IC27" i="31"/>
  <c r="II27" i="31"/>
  <c r="IK27" i="31"/>
  <c r="IM27" i="31"/>
  <c r="BK28" i="31"/>
  <c r="BM28" i="31"/>
  <c r="BO28" i="31"/>
  <c r="BU28" i="31"/>
  <c r="BW28" i="31"/>
  <c r="BY28" i="31"/>
  <c r="CE28" i="31"/>
  <c r="CG28" i="31"/>
  <c r="CI28" i="31"/>
  <c r="CO28" i="31"/>
  <c r="CQ28" i="31"/>
  <c r="CS28" i="31"/>
  <c r="CY28" i="31"/>
  <c r="DA28" i="31"/>
  <c r="DC28" i="31"/>
  <c r="DI28" i="31"/>
  <c r="DK28" i="31"/>
  <c r="DM28" i="31"/>
  <c r="DS28" i="31"/>
  <c r="DU28" i="31"/>
  <c r="DW28" i="31"/>
  <c r="EC28" i="31"/>
  <c r="EE28" i="31"/>
  <c r="EG28" i="31"/>
  <c r="EM28" i="31"/>
  <c r="EO28" i="31"/>
  <c r="EQ28" i="31"/>
  <c r="EW28" i="31"/>
  <c r="EY28" i="31"/>
  <c r="FA28" i="31"/>
  <c r="FG28" i="31"/>
  <c r="FI28" i="31"/>
  <c r="FK28" i="31"/>
  <c r="FQ28" i="31"/>
  <c r="FS28" i="31"/>
  <c r="FU28" i="31"/>
  <c r="GA28" i="31"/>
  <c r="GC28" i="31"/>
  <c r="GE28" i="31"/>
  <c r="GK28" i="31"/>
  <c r="GM28" i="31"/>
  <c r="GO28" i="31"/>
  <c r="GU28" i="31"/>
  <c r="GW28" i="31"/>
  <c r="GY28" i="31"/>
  <c r="HE28" i="31"/>
  <c r="HG28" i="31"/>
  <c r="HI28" i="31"/>
  <c r="HO28" i="31"/>
  <c r="HQ28" i="31"/>
  <c r="HS28" i="31"/>
  <c r="HY28" i="31"/>
  <c r="IA28" i="31"/>
  <c r="IC28" i="31"/>
  <c r="II28" i="31"/>
  <c r="IK28" i="31"/>
  <c r="IM28" i="31"/>
  <c r="BK29" i="31"/>
  <c r="BM29" i="31"/>
  <c r="BO29" i="31"/>
  <c r="BU29" i="31"/>
  <c r="BW29" i="31"/>
  <c r="BY29" i="31"/>
  <c r="CE29" i="31"/>
  <c r="CG29" i="31"/>
  <c r="CI29" i="31"/>
  <c r="CO29" i="31"/>
  <c r="CQ29" i="31"/>
  <c r="CS29" i="31"/>
  <c r="CY29" i="31"/>
  <c r="DA29" i="31"/>
  <c r="DC29" i="31"/>
  <c r="DI29" i="31"/>
  <c r="DK29" i="31"/>
  <c r="DM29" i="31"/>
  <c r="DS29" i="31"/>
  <c r="DU29" i="31"/>
  <c r="DW29" i="31"/>
  <c r="EC29" i="31"/>
  <c r="EE29" i="31"/>
  <c r="EG29" i="31"/>
  <c r="EM29" i="31"/>
  <c r="EO29" i="31"/>
  <c r="EQ29" i="31"/>
  <c r="EW29" i="31"/>
  <c r="EY29" i="31"/>
  <c r="FA29" i="31"/>
  <c r="FG29" i="31"/>
  <c r="FI29" i="31"/>
  <c r="FK29" i="31"/>
  <c r="FQ29" i="31"/>
  <c r="FS29" i="31"/>
  <c r="FU29" i="31"/>
  <c r="GA29" i="31"/>
  <c r="GC29" i="31"/>
  <c r="GE29" i="31"/>
  <c r="GK29" i="31"/>
  <c r="GM29" i="31"/>
  <c r="GO29" i="31"/>
  <c r="GU29" i="31"/>
  <c r="GW29" i="31"/>
  <c r="GY29" i="31"/>
  <c r="HE29" i="31"/>
  <c r="HG29" i="31"/>
  <c r="HI29" i="31"/>
  <c r="HO29" i="31"/>
  <c r="HQ29" i="31"/>
  <c r="HS29" i="31"/>
  <c r="HY29" i="31"/>
  <c r="IA29" i="31"/>
  <c r="IC29" i="31"/>
  <c r="II29" i="31"/>
  <c r="IK29" i="31"/>
  <c r="IM29" i="31"/>
  <c r="BK30" i="31"/>
  <c r="BM30" i="31"/>
  <c r="BO30" i="31"/>
  <c r="BU30" i="31"/>
  <c r="BW30" i="31"/>
  <c r="BY30" i="31"/>
  <c r="CE30" i="31"/>
  <c r="CG30" i="31"/>
  <c r="CI30" i="31"/>
  <c r="CO30" i="31"/>
  <c r="CQ30" i="31"/>
  <c r="CS30" i="31"/>
  <c r="CY30" i="31"/>
  <c r="DA30" i="31"/>
  <c r="DC30" i="31"/>
  <c r="DI30" i="31"/>
  <c r="DK30" i="31"/>
  <c r="DM30" i="31"/>
  <c r="DS30" i="31"/>
  <c r="DU30" i="31"/>
  <c r="DW30" i="31"/>
  <c r="EC30" i="31"/>
  <c r="EE30" i="31"/>
  <c r="EG30" i="31"/>
  <c r="EM30" i="31"/>
  <c r="EO30" i="31"/>
  <c r="EQ30" i="31"/>
  <c r="EW30" i="31"/>
  <c r="EY30" i="31"/>
  <c r="FA30" i="31"/>
  <c r="FG30" i="31"/>
  <c r="FI30" i="31"/>
  <c r="FK30" i="31"/>
  <c r="FQ30" i="31"/>
  <c r="FS30" i="31"/>
  <c r="FU30" i="31"/>
  <c r="GA30" i="31"/>
  <c r="GC30" i="31"/>
  <c r="GE30" i="31"/>
  <c r="GK30" i="31"/>
  <c r="GM30" i="31"/>
  <c r="GO30" i="31"/>
  <c r="GU30" i="31"/>
  <c r="GW30" i="31"/>
  <c r="GY30" i="31"/>
  <c r="HE30" i="31"/>
  <c r="HG30" i="31"/>
  <c r="HI30" i="31"/>
  <c r="HO30" i="31"/>
  <c r="HQ30" i="31"/>
  <c r="HS30" i="31"/>
  <c r="HY30" i="31"/>
  <c r="IA30" i="31"/>
  <c r="IC30" i="31"/>
  <c r="II30" i="31"/>
  <c r="IK30" i="31"/>
  <c r="IM30" i="31"/>
  <c r="BK31" i="31"/>
  <c r="BM31" i="31"/>
  <c r="BO31" i="31"/>
  <c r="BU31" i="31"/>
  <c r="BW31" i="31"/>
  <c r="BY31" i="31"/>
  <c r="CE31" i="31"/>
  <c r="CG31" i="31"/>
  <c r="CI31" i="31"/>
  <c r="CO31" i="31"/>
  <c r="CQ31" i="31"/>
  <c r="CS31" i="31"/>
  <c r="CY31" i="31"/>
  <c r="DA31" i="31"/>
  <c r="DC31" i="31"/>
  <c r="DI31" i="31"/>
  <c r="DK31" i="31"/>
  <c r="DM31" i="31"/>
  <c r="DS31" i="31"/>
  <c r="DU31" i="31"/>
  <c r="DW31" i="31"/>
  <c r="EC31" i="31"/>
  <c r="EE31" i="31"/>
  <c r="EG31" i="31"/>
  <c r="EM31" i="31"/>
  <c r="EO31" i="31"/>
  <c r="EQ31" i="31"/>
  <c r="EW31" i="31"/>
  <c r="EY31" i="31"/>
  <c r="FA31" i="31"/>
  <c r="FG31" i="31"/>
  <c r="FI31" i="31"/>
  <c r="FK31" i="31"/>
  <c r="FQ31" i="31"/>
  <c r="FS31" i="31"/>
  <c r="FU31" i="31"/>
  <c r="GA31" i="31"/>
  <c r="GC31" i="31"/>
  <c r="GE31" i="31"/>
  <c r="GK31" i="31"/>
  <c r="GM31" i="31"/>
  <c r="GO31" i="31"/>
  <c r="GU31" i="31"/>
  <c r="GW31" i="31"/>
  <c r="GY31" i="31"/>
  <c r="HE31" i="31"/>
  <c r="HG31" i="31"/>
  <c r="HI31" i="31"/>
  <c r="HO31" i="31"/>
  <c r="HQ31" i="31"/>
  <c r="HS31" i="31"/>
  <c r="HY31" i="31"/>
  <c r="IA31" i="31"/>
  <c r="IC31" i="31"/>
  <c r="II31" i="31"/>
  <c r="IK31" i="31"/>
  <c r="IM31" i="31"/>
  <c r="BK32" i="31"/>
  <c r="BM32" i="31"/>
  <c r="BO32" i="31"/>
  <c r="BU32" i="31"/>
  <c r="BW32" i="31"/>
  <c r="BY32" i="31"/>
  <c r="CE32" i="31"/>
  <c r="CG32" i="31"/>
  <c r="CI32" i="31"/>
  <c r="CO32" i="31"/>
  <c r="CQ32" i="31"/>
  <c r="CS32" i="31"/>
  <c r="CY32" i="31"/>
  <c r="DA32" i="31"/>
  <c r="DC32" i="31"/>
  <c r="DI32" i="31"/>
  <c r="DK32" i="31"/>
  <c r="DM32" i="31"/>
  <c r="DS32" i="31"/>
  <c r="DU32" i="31"/>
  <c r="DW32" i="31"/>
  <c r="EC32" i="31"/>
  <c r="EE32" i="31"/>
  <c r="EG32" i="31"/>
  <c r="EM32" i="31"/>
  <c r="EO32" i="31"/>
  <c r="EQ32" i="31"/>
  <c r="EW32" i="31"/>
  <c r="EY32" i="31"/>
  <c r="FA32" i="31"/>
  <c r="FG32" i="31"/>
  <c r="FI32" i="31"/>
  <c r="FK32" i="31"/>
  <c r="FQ32" i="31"/>
  <c r="FS32" i="31"/>
  <c r="FU32" i="31"/>
  <c r="GA32" i="31"/>
  <c r="GC32" i="31"/>
  <c r="GE32" i="31"/>
  <c r="GK32" i="31"/>
  <c r="GM32" i="31"/>
  <c r="GO32" i="31"/>
  <c r="GU32" i="31"/>
  <c r="GW32" i="31"/>
  <c r="GY32" i="31"/>
  <c r="HE32" i="31"/>
  <c r="HG32" i="31"/>
  <c r="HI32" i="31"/>
  <c r="HO32" i="31"/>
  <c r="HQ32" i="31"/>
  <c r="HS32" i="31"/>
  <c r="HY32" i="31"/>
  <c r="IA32" i="31"/>
  <c r="IC32" i="31"/>
  <c r="II32" i="31"/>
  <c r="IK32" i="31"/>
  <c r="IM32" i="31"/>
  <c r="BK33" i="31"/>
  <c r="BM33" i="31"/>
  <c r="BO33" i="31"/>
  <c r="BU33" i="31"/>
  <c r="BW33" i="31"/>
  <c r="BY33" i="31"/>
  <c r="CE33" i="31"/>
  <c r="CG33" i="31"/>
  <c r="CI33" i="31"/>
  <c r="CO33" i="31"/>
  <c r="CQ33" i="31"/>
  <c r="CS33" i="31"/>
  <c r="CY33" i="31"/>
  <c r="DA33" i="31"/>
  <c r="DC33" i="31"/>
  <c r="DI33" i="31"/>
  <c r="DK33" i="31"/>
  <c r="DM33" i="31"/>
  <c r="DS33" i="31"/>
  <c r="DU33" i="31"/>
  <c r="DW33" i="31"/>
  <c r="EC33" i="31"/>
  <c r="EE33" i="31"/>
  <c r="EG33" i="31"/>
  <c r="EM33" i="31"/>
  <c r="EO33" i="31"/>
  <c r="EQ33" i="31"/>
  <c r="EW33" i="31"/>
  <c r="EY33" i="31"/>
  <c r="FA33" i="31"/>
  <c r="FG33" i="31"/>
  <c r="FI33" i="31"/>
  <c r="FK33" i="31"/>
  <c r="FQ33" i="31"/>
  <c r="FS33" i="31"/>
  <c r="FU33" i="31"/>
  <c r="GA33" i="31"/>
  <c r="GC33" i="31"/>
  <c r="GE33" i="31"/>
  <c r="GK33" i="31"/>
  <c r="GM33" i="31"/>
  <c r="GO33" i="31"/>
  <c r="GU33" i="31"/>
  <c r="GW33" i="31"/>
  <c r="GY33" i="31"/>
  <c r="HE33" i="31"/>
  <c r="HG33" i="31"/>
  <c r="HI33" i="31"/>
  <c r="HO33" i="31"/>
  <c r="HQ33" i="31"/>
  <c r="HS33" i="31"/>
  <c r="HY33" i="31"/>
  <c r="IA33" i="31"/>
  <c r="IC33" i="31"/>
  <c r="II33" i="31"/>
  <c r="IK33" i="31"/>
  <c r="IM33" i="31"/>
  <c r="BK34" i="31"/>
  <c r="BM34" i="31"/>
  <c r="BO34" i="31"/>
  <c r="BU34" i="31"/>
  <c r="BW34" i="31"/>
  <c r="BY34" i="31"/>
  <c r="CE34" i="31"/>
  <c r="CG34" i="31"/>
  <c r="CI34" i="31"/>
  <c r="CO34" i="31"/>
  <c r="CQ34" i="31"/>
  <c r="CS34" i="31"/>
  <c r="CY34" i="31"/>
  <c r="DA34" i="31"/>
  <c r="DC34" i="31"/>
  <c r="DI34" i="31"/>
  <c r="DK34" i="31"/>
  <c r="DM34" i="31"/>
  <c r="DS34" i="31"/>
  <c r="DU34" i="31"/>
  <c r="DW34" i="31"/>
  <c r="EC34" i="31"/>
  <c r="EE34" i="31"/>
  <c r="EG34" i="31"/>
  <c r="EM34" i="31"/>
  <c r="EO34" i="31"/>
  <c r="EQ34" i="31"/>
  <c r="EW34" i="31"/>
  <c r="EY34" i="31"/>
  <c r="FA34" i="31"/>
  <c r="FG34" i="31"/>
  <c r="FI34" i="31"/>
  <c r="FK34" i="31"/>
  <c r="BK35" i="31"/>
  <c r="BM35" i="31"/>
  <c r="BO35" i="31"/>
  <c r="BU35" i="31"/>
  <c r="BW35" i="31"/>
  <c r="BY35" i="31"/>
  <c r="CE35" i="31"/>
  <c r="CG35" i="31"/>
  <c r="CI35" i="31"/>
  <c r="CO35" i="31"/>
  <c r="CQ35" i="31"/>
  <c r="CS35" i="31"/>
  <c r="CY35" i="31"/>
  <c r="DA35" i="31"/>
  <c r="DC35" i="31"/>
  <c r="DI35" i="31"/>
  <c r="DK35" i="31"/>
  <c r="DM35" i="31"/>
  <c r="DS35" i="31"/>
  <c r="DU35" i="31"/>
  <c r="DW35" i="31"/>
  <c r="EC35" i="31"/>
  <c r="EE35" i="31"/>
  <c r="EG35" i="31"/>
  <c r="EM35" i="31"/>
  <c r="EO35" i="31"/>
  <c r="EQ35" i="31"/>
  <c r="EW35" i="31"/>
  <c r="EY35" i="31"/>
  <c r="FA35" i="31"/>
  <c r="FG35" i="31"/>
  <c r="FI35" i="31"/>
  <c r="FK35" i="31"/>
  <c r="BK36" i="31"/>
  <c r="BM36" i="31"/>
  <c r="BO36" i="31"/>
  <c r="BU36" i="31"/>
  <c r="BW36" i="31"/>
  <c r="BY36" i="31"/>
  <c r="CE36" i="31"/>
  <c r="CG36" i="31"/>
  <c r="CI36" i="31"/>
  <c r="CO36" i="31"/>
  <c r="CQ36" i="31"/>
  <c r="CS36" i="31"/>
  <c r="CY36" i="31"/>
  <c r="DA36" i="31"/>
  <c r="DC36" i="31"/>
  <c r="DI36" i="31"/>
  <c r="DK36" i="31"/>
  <c r="DM36" i="31"/>
  <c r="DS36" i="31"/>
  <c r="DU36" i="31"/>
  <c r="DW36" i="31"/>
  <c r="EC36" i="31"/>
  <c r="EE36" i="31"/>
  <c r="EG36" i="31"/>
  <c r="EM36" i="31"/>
  <c r="EO36" i="31"/>
  <c r="EQ36" i="31"/>
  <c r="EW36" i="31"/>
  <c r="EY36" i="31"/>
  <c r="FA36" i="31"/>
  <c r="FG36" i="31"/>
  <c r="FI36" i="31"/>
  <c r="FK36" i="31"/>
  <c r="BK37" i="31"/>
  <c r="BM37" i="31"/>
  <c r="BO37" i="31"/>
  <c r="BU37" i="31"/>
  <c r="BW37" i="31"/>
  <c r="BY37" i="31"/>
  <c r="CE37" i="31"/>
  <c r="CG37" i="31"/>
  <c r="CI37" i="31"/>
  <c r="CO37" i="31"/>
  <c r="CQ37" i="31"/>
  <c r="CS37" i="31"/>
  <c r="CY37" i="31"/>
  <c r="DA37" i="31"/>
  <c r="DC37" i="31"/>
  <c r="DI37" i="31"/>
  <c r="DK37" i="31"/>
  <c r="DM37" i="31"/>
  <c r="DS37" i="31"/>
  <c r="DU37" i="31"/>
  <c r="DW37" i="31"/>
  <c r="EC37" i="31"/>
  <c r="EE37" i="31"/>
  <c r="EG37" i="31"/>
  <c r="EM37" i="31"/>
  <c r="EO37" i="31"/>
  <c r="EQ37" i="31"/>
  <c r="EW37" i="31"/>
  <c r="EY37" i="31"/>
  <c r="FA37" i="31"/>
  <c r="FG37" i="31"/>
  <c r="FI37" i="31"/>
  <c r="FK37" i="31"/>
  <c r="BK38" i="31"/>
  <c r="BM38" i="31"/>
  <c r="BO38" i="31"/>
  <c r="BU38" i="31"/>
  <c r="BW38" i="31"/>
  <c r="BY38" i="31"/>
  <c r="CE38" i="31"/>
  <c r="CG38" i="31"/>
  <c r="CI38" i="31"/>
  <c r="CO38" i="31"/>
  <c r="CQ38" i="31"/>
  <c r="CS38" i="31"/>
  <c r="CY38" i="31"/>
  <c r="DA38" i="31"/>
  <c r="DC38" i="31"/>
  <c r="DI38" i="31"/>
  <c r="DK38" i="31"/>
  <c r="DM38" i="31"/>
  <c r="DS38" i="31"/>
  <c r="DU38" i="31"/>
  <c r="DW38" i="31"/>
  <c r="EC38" i="31"/>
  <c r="EE38" i="31"/>
  <c r="EG38" i="31"/>
  <c r="EM38" i="31"/>
  <c r="EO38" i="31"/>
  <c r="EQ38" i="31"/>
  <c r="EW38" i="31"/>
  <c r="EY38" i="31"/>
  <c r="FA38" i="31"/>
  <c r="FG38" i="31"/>
  <c r="FI38" i="31"/>
  <c r="FK38" i="31"/>
  <c r="BK39" i="31"/>
  <c r="BM39" i="31"/>
  <c r="BO39" i="31"/>
  <c r="BU39" i="31"/>
  <c r="BW39" i="31"/>
  <c r="BY39" i="31"/>
  <c r="CE39" i="31"/>
  <c r="CG39" i="31"/>
  <c r="CI39" i="31"/>
  <c r="CO39" i="31"/>
  <c r="CQ39" i="31"/>
  <c r="CS39" i="31"/>
  <c r="CY39" i="31"/>
  <c r="DA39" i="31"/>
  <c r="DC39" i="31"/>
  <c r="DI39" i="31"/>
  <c r="DK39" i="31"/>
  <c r="DM39" i="31"/>
  <c r="DS39" i="31"/>
  <c r="DU39" i="31"/>
  <c r="DW39" i="31"/>
  <c r="EC39" i="31"/>
  <c r="EE39" i="31"/>
  <c r="EG39" i="31"/>
  <c r="EM39" i="31"/>
  <c r="EO39" i="31"/>
  <c r="EQ39" i="31"/>
  <c r="EW39" i="31"/>
  <c r="EY39" i="31"/>
  <c r="FA39" i="31"/>
  <c r="FG39" i="31"/>
  <c r="FI39" i="31"/>
  <c r="FK39" i="31"/>
  <c r="BK40" i="31"/>
  <c r="BM40" i="31"/>
  <c r="BO40" i="31"/>
  <c r="BU40" i="31"/>
  <c r="BW40" i="31"/>
  <c r="BY40" i="31"/>
  <c r="CE40" i="31"/>
  <c r="CG40" i="31"/>
  <c r="CI40" i="31"/>
  <c r="CO40" i="31"/>
  <c r="CQ40" i="31"/>
  <c r="CS40" i="31"/>
  <c r="CY40" i="31"/>
  <c r="DA40" i="31"/>
  <c r="DC40" i="31"/>
  <c r="DI40" i="31"/>
  <c r="DK40" i="31"/>
  <c r="DM40" i="31"/>
  <c r="DS40" i="31"/>
  <c r="DU40" i="31"/>
  <c r="DW40" i="31"/>
  <c r="EC40" i="31"/>
  <c r="EE40" i="31"/>
  <c r="EG40" i="31"/>
  <c r="EM40" i="31"/>
  <c r="EO40" i="31"/>
  <c r="EQ40" i="31"/>
  <c r="EW40" i="31"/>
  <c r="EY40" i="31"/>
  <c r="FA40" i="31"/>
  <c r="FG40" i="31"/>
  <c r="FI40" i="31"/>
  <c r="FK40" i="31"/>
  <c r="BK41" i="31"/>
  <c r="BM41" i="31"/>
  <c r="BO41" i="31"/>
  <c r="BU41" i="31"/>
  <c r="BW41" i="31"/>
  <c r="BY41" i="31"/>
  <c r="CE41" i="31"/>
  <c r="CG41" i="31"/>
  <c r="CI41" i="31"/>
  <c r="CO41" i="31"/>
  <c r="CQ41" i="31"/>
  <c r="CS41" i="31"/>
  <c r="CY41" i="31"/>
  <c r="DA41" i="31"/>
  <c r="DC41" i="31"/>
  <c r="DI41" i="31"/>
  <c r="DK41" i="31"/>
  <c r="DM41" i="31"/>
  <c r="DS41" i="31"/>
  <c r="DU41" i="31"/>
  <c r="DW41" i="31"/>
  <c r="EC41" i="31"/>
  <c r="EE41" i="31"/>
  <c r="EG41" i="31"/>
  <c r="EM41" i="31"/>
  <c r="EO41" i="31"/>
  <c r="EQ41" i="31"/>
  <c r="EW41" i="31"/>
  <c r="EY41" i="31"/>
  <c r="FA41" i="31"/>
  <c r="FG41" i="31"/>
  <c r="FI41" i="31"/>
  <c r="FK41" i="31"/>
  <c r="O49" i="31"/>
  <c r="O50" i="31" s="1"/>
  <c r="O51" i="31" s="1"/>
  <c r="O52" i="31" s="1"/>
  <c r="O53" i="31" s="1"/>
  <c r="O54" i="31" s="1"/>
  <c r="O55" i="31" s="1"/>
  <c r="O56" i="31" s="1"/>
  <c r="O57" i="31" s="1"/>
  <c r="O58" i="31" s="1"/>
  <c r="O59" i="31" s="1"/>
  <c r="O60" i="31" s="1"/>
  <c r="O61" i="31" s="1"/>
  <c r="O62" i="31" s="1"/>
  <c r="O63" i="31" s="1"/>
  <c r="O64" i="31" s="1"/>
  <c r="O65" i="31" s="1"/>
  <c r="O66" i="31" s="1"/>
  <c r="B21" i="31"/>
  <c r="B22" i="31" s="1"/>
  <c r="B23" i="31" s="1"/>
  <c r="B24" i="31" s="1"/>
  <c r="B25" i="31" s="1"/>
  <c r="B26" i="31" s="1"/>
  <c r="B27" i="31" s="1"/>
  <c r="B28" i="31" s="1"/>
  <c r="B29" i="31" s="1"/>
  <c r="B30" i="31" s="1"/>
  <c r="B31" i="31" s="1"/>
  <c r="B32" i="31" s="1"/>
  <c r="B33" i="31" s="1"/>
  <c r="B34" i="31" s="1"/>
  <c r="B35" i="31" s="1"/>
  <c r="B36" i="31" s="1"/>
  <c r="B37" i="31" s="1"/>
  <c r="B38" i="31" s="1"/>
  <c r="S45" i="31"/>
  <c r="T45" i="31" s="1"/>
  <c r="U45" i="31" s="1"/>
  <c r="V45" i="31" s="1"/>
  <c r="W45" i="31" s="1"/>
  <c r="X45" i="31" s="1"/>
  <c r="Y45" i="31" s="1"/>
  <c r="Z45" i="31" s="1"/>
  <c r="AA45" i="31" s="1"/>
  <c r="AB45" i="31" s="1"/>
  <c r="AC45" i="31" s="1"/>
  <c r="AD45" i="31" s="1"/>
  <c r="AE45" i="31" s="1"/>
  <c r="AF45" i="31" s="1"/>
  <c r="AG45" i="31" s="1"/>
  <c r="AH45" i="31" s="1"/>
  <c r="AI45" i="31" s="1"/>
  <c r="AJ45" i="31" s="1"/>
  <c r="F17" i="31"/>
  <c r="G17" i="31" s="1"/>
  <c r="H17" i="31" s="1"/>
  <c r="I17" i="31" s="1"/>
  <c r="BE41" i="31"/>
  <c r="BC41" i="31"/>
  <c r="BA41" i="31"/>
  <c r="BE40" i="31"/>
  <c r="BC40" i="31"/>
  <c r="BA40" i="31"/>
  <c r="BE39" i="31"/>
  <c r="BC39" i="31"/>
  <c r="BA39" i="31"/>
  <c r="BE38" i="31"/>
  <c r="BC38" i="31"/>
  <c r="BA38" i="31"/>
  <c r="BE37" i="31"/>
  <c r="BC37" i="31"/>
  <c r="BA37" i="31"/>
  <c r="BE36" i="31"/>
  <c r="BC36" i="31"/>
  <c r="BA36" i="31"/>
  <c r="BE35" i="31"/>
  <c r="BC35" i="31"/>
  <c r="BA35" i="31"/>
  <c r="BE34" i="31"/>
  <c r="BC34" i="31"/>
  <c r="BA34" i="31"/>
  <c r="BE33" i="31"/>
  <c r="BC33" i="31"/>
  <c r="BA33" i="31"/>
  <c r="BE32" i="31"/>
  <c r="BC32" i="31"/>
  <c r="BA32" i="31"/>
  <c r="BE31" i="31"/>
  <c r="BC31" i="31"/>
  <c r="BA31" i="31"/>
  <c r="BE30" i="31"/>
  <c r="BC30" i="31"/>
  <c r="BA30" i="31"/>
  <c r="BE29" i="31"/>
  <c r="BC29" i="31"/>
  <c r="BA29" i="31"/>
  <c r="BE28" i="31"/>
  <c r="BC28" i="31"/>
  <c r="BA28" i="31"/>
  <c r="BE27" i="31"/>
  <c r="BC27" i="31"/>
  <c r="BA27" i="31"/>
  <c r="BE26" i="31"/>
  <c r="BC26" i="31"/>
  <c r="BA26" i="31"/>
  <c r="BE25" i="31"/>
  <c r="BC25" i="31"/>
  <c r="BA25" i="31"/>
  <c r="BE24" i="31"/>
  <c r="BC24" i="31"/>
  <c r="BA24" i="31"/>
  <c r="AW24" i="31"/>
  <c r="AW25" i="31" s="1"/>
  <c r="AW26" i="31" s="1"/>
  <c r="AW27" i="31" s="1"/>
  <c r="AW28" i="31" s="1"/>
  <c r="AW29" i="31" s="1"/>
  <c r="AW30" i="31" s="1"/>
  <c r="AW31" i="31" s="1"/>
  <c r="AW32" i="31" s="1"/>
  <c r="AW33" i="31" s="1"/>
  <c r="AW34" i="31" s="1"/>
  <c r="AW35" i="31" s="1"/>
  <c r="AW36" i="31" s="1"/>
  <c r="AW37" i="31" s="1"/>
  <c r="AW38" i="31" s="1"/>
  <c r="AW39" i="31" s="1"/>
  <c r="AW40" i="31" s="1"/>
  <c r="AW41" i="31" s="1"/>
  <c r="AU24" i="31"/>
  <c r="AU25" i="31" s="1"/>
  <c r="BE23" i="31"/>
  <c r="BC23" i="31"/>
  <c r="BA23" i="31"/>
  <c r="AV23" i="31"/>
  <c r="IM22" i="31"/>
  <c r="IK22" i="31"/>
  <c r="II22" i="31"/>
  <c r="IC22" i="31"/>
  <c r="IA22" i="31"/>
  <c r="HY22" i="31"/>
  <c r="HS22" i="31"/>
  <c r="HQ22" i="31"/>
  <c r="HO22" i="31"/>
  <c r="HI22" i="31"/>
  <c r="HG22" i="31"/>
  <c r="HE22" i="31"/>
  <c r="GY22" i="31"/>
  <c r="GW22" i="31"/>
  <c r="GU22" i="31"/>
  <c r="GO22" i="31"/>
  <c r="GM22" i="31"/>
  <c r="GK22" i="31"/>
  <c r="GE22" i="31"/>
  <c r="GC22" i="31"/>
  <c r="GA22" i="31"/>
  <c r="FU22" i="31"/>
  <c r="FS22" i="31"/>
  <c r="FQ22" i="31"/>
  <c r="FK22" i="31"/>
  <c r="FI22" i="31"/>
  <c r="FG22" i="31"/>
  <c r="FA22" i="31"/>
  <c r="EY22" i="31"/>
  <c r="EW22" i="31"/>
  <c r="EQ22" i="31"/>
  <c r="EO22" i="31"/>
  <c r="EM22" i="31"/>
  <c r="EG22" i="31"/>
  <c r="EE22" i="31"/>
  <c r="EC22" i="31"/>
  <c r="DW22" i="31"/>
  <c r="DU22" i="31"/>
  <c r="DS22" i="31"/>
  <c r="DM22" i="31"/>
  <c r="DK22" i="31"/>
  <c r="DI22" i="31"/>
  <c r="DC22" i="31"/>
  <c r="DA22" i="31"/>
  <c r="CY22" i="31"/>
  <c r="CS22" i="31"/>
  <c r="CQ22" i="31"/>
  <c r="CO22" i="31"/>
  <c r="CI22" i="31"/>
  <c r="CG22" i="31"/>
  <c r="CE22" i="31"/>
  <c r="BY22" i="31"/>
  <c r="BW22" i="31"/>
  <c r="BU22" i="31"/>
  <c r="BO22" i="31"/>
  <c r="BM22" i="31"/>
  <c r="BK22" i="31"/>
  <c r="BE22" i="31"/>
  <c r="BC22" i="31"/>
  <c r="BA22" i="31"/>
  <c r="AV22" i="31"/>
  <c r="BI21" i="31"/>
  <c r="BJ21" i="31" s="1"/>
  <c r="BK21" i="31" s="1"/>
  <c r="BL21" i="31" s="1"/>
  <c r="BM21" i="31" s="1"/>
  <c r="BN21" i="31" s="1"/>
  <c r="BO21" i="31" s="1"/>
  <c r="BP21" i="31" s="1"/>
  <c r="BQ21" i="31" s="1"/>
  <c r="BR21" i="31" s="1"/>
  <c r="BS21" i="31" s="1"/>
  <c r="BT21" i="31" s="1"/>
  <c r="BU21" i="31" s="1"/>
  <c r="BV21" i="31" s="1"/>
  <c r="BW21" i="31" s="1"/>
  <c r="BX21" i="31" s="1"/>
  <c r="BY21" i="31" s="1"/>
  <c r="BZ21" i="31" s="1"/>
  <c r="CA21" i="31" s="1"/>
  <c r="CB21" i="31" s="1"/>
  <c r="CC21" i="31" s="1"/>
  <c r="CD21" i="31" s="1"/>
  <c r="CE21" i="31" s="1"/>
  <c r="CF21" i="31" s="1"/>
  <c r="CG21" i="31" s="1"/>
  <c r="CH21" i="31" s="1"/>
  <c r="CI21" i="31" s="1"/>
  <c r="CJ21" i="31" s="1"/>
  <c r="CK21" i="31" s="1"/>
  <c r="CL21" i="31" s="1"/>
  <c r="CM21" i="31" s="1"/>
  <c r="CN21" i="31" s="1"/>
  <c r="CO21" i="31" s="1"/>
  <c r="CP21" i="31" s="1"/>
  <c r="CQ21" i="31" s="1"/>
  <c r="CR21" i="31" s="1"/>
  <c r="CS21" i="31" s="1"/>
  <c r="CT21" i="31" s="1"/>
  <c r="CU21" i="31" s="1"/>
  <c r="CV21" i="31" s="1"/>
  <c r="CW21" i="31" s="1"/>
  <c r="CX21" i="31" s="1"/>
  <c r="CY21" i="31" s="1"/>
  <c r="CZ21" i="31" s="1"/>
  <c r="DA21" i="31" s="1"/>
  <c r="DB21" i="31" s="1"/>
  <c r="DC21" i="31" s="1"/>
  <c r="DD21" i="31" s="1"/>
  <c r="DE21" i="31" s="1"/>
  <c r="DF21" i="31" s="1"/>
  <c r="DG21" i="31" s="1"/>
  <c r="DH21" i="31" s="1"/>
  <c r="DI21" i="31" s="1"/>
  <c r="DJ21" i="31" s="1"/>
  <c r="DK21" i="31" s="1"/>
  <c r="DL21" i="31" s="1"/>
  <c r="DM21" i="31" s="1"/>
  <c r="DN21" i="31" s="1"/>
  <c r="DO21" i="31" s="1"/>
  <c r="DP21" i="31" s="1"/>
  <c r="DQ21" i="31" s="1"/>
  <c r="DR21" i="31" s="1"/>
  <c r="DS21" i="31" s="1"/>
  <c r="DT21" i="31" s="1"/>
  <c r="DU21" i="31" s="1"/>
  <c r="DV21" i="31" s="1"/>
  <c r="DW21" i="31" s="1"/>
  <c r="DX21" i="31" s="1"/>
  <c r="DY21" i="31" s="1"/>
  <c r="DZ21" i="31" s="1"/>
  <c r="EA21" i="31" s="1"/>
  <c r="EB21" i="31" s="1"/>
  <c r="EC21" i="31" s="1"/>
  <c r="ED21" i="31" s="1"/>
  <c r="EE21" i="31" s="1"/>
  <c r="EF21" i="31" s="1"/>
  <c r="EG21" i="31" s="1"/>
  <c r="EH21" i="31" s="1"/>
  <c r="EI21" i="31" s="1"/>
  <c r="EJ21" i="31" s="1"/>
  <c r="EK21" i="31" s="1"/>
  <c r="EL21" i="31" s="1"/>
  <c r="EM21" i="31" s="1"/>
  <c r="EN21" i="31" s="1"/>
  <c r="EO21" i="31" s="1"/>
  <c r="EP21" i="31" s="1"/>
  <c r="EQ21" i="31" s="1"/>
  <c r="ER21" i="31" s="1"/>
  <c r="ES21" i="31" s="1"/>
  <c r="ET21" i="31" s="1"/>
  <c r="EU21" i="31" s="1"/>
  <c r="EV21" i="31" s="1"/>
  <c r="EW21" i="31" s="1"/>
  <c r="EX21" i="31" s="1"/>
  <c r="EY21" i="31" s="1"/>
  <c r="EZ21" i="31" s="1"/>
  <c r="FA21" i="31" s="1"/>
  <c r="FB21" i="31" s="1"/>
  <c r="FC21" i="31" s="1"/>
  <c r="FD21" i="31" s="1"/>
  <c r="FE21" i="31" s="1"/>
  <c r="FF21" i="31" s="1"/>
  <c r="FG21" i="31" s="1"/>
  <c r="FH21" i="31" s="1"/>
  <c r="FI21" i="31" s="1"/>
  <c r="FJ21" i="31" s="1"/>
  <c r="FK21" i="31" s="1"/>
  <c r="FL21" i="31" s="1"/>
  <c r="FM21" i="31" s="1"/>
  <c r="FN21" i="31" s="1"/>
  <c r="FO21" i="31" s="1"/>
  <c r="FP21" i="31" s="1"/>
  <c r="FQ21" i="31" s="1"/>
  <c r="FR21" i="31" s="1"/>
  <c r="FS21" i="31" s="1"/>
  <c r="FT21" i="31" s="1"/>
  <c r="FU21" i="31" s="1"/>
  <c r="FV21" i="31" s="1"/>
  <c r="FW21" i="31" s="1"/>
  <c r="FX21" i="31" s="1"/>
  <c r="FY21" i="31" s="1"/>
  <c r="FZ21" i="31" s="1"/>
  <c r="GA21" i="31" s="1"/>
  <c r="GB21" i="31" s="1"/>
  <c r="GC21" i="31" s="1"/>
  <c r="GD21" i="31" s="1"/>
  <c r="GE21" i="31" s="1"/>
  <c r="GF21" i="31" s="1"/>
  <c r="GG21" i="31" s="1"/>
  <c r="GH21" i="31" s="1"/>
  <c r="GI21" i="31" s="1"/>
  <c r="GJ21" i="31" s="1"/>
  <c r="GK21" i="31" s="1"/>
  <c r="GL21" i="31" s="1"/>
  <c r="GM21" i="31" s="1"/>
  <c r="GN21" i="31" s="1"/>
  <c r="GO21" i="31" s="1"/>
  <c r="GP21" i="31" s="1"/>
  <c r="GQ21" i="31" s="1"/>
  <c r="GR21" i="31" s="1"/>
  <c r="GS21" i="31" s="1"/>
  <c r="GT21" i="31" s="1"/>
  <c r="GU21" i="31" s="1"/>
  <c r="GV21" i="31" s="1"/>
  <c r="GW21" i="31" s="1"/>
  <c r="GX21" i="31" s="1"/>
  <c r="GY21" i="31" s="1"/>
  <c r="GZ21" i="31" s="1"/>
  <c r="HA21" i="31" s="1"/>
  <c r="HB21" i="31" s="1"/>
  <c r="HC21" i="31" s="1"/>
  <c r="HD21" i="31" s="1"/>
  <c r="HE21" i="31" s="1"/>
  <c r="HF21" i="31" s="1"/>
  <c r="HG21" i="31" s="1"/>
  <c r="HH21" i="31" s="1"/>
  <c r="HI21" i="31" s="1"/>
  <c r="HJ21" i="31" s="1"/>
  <c r="HK21" i="31" s="1"/>
  <c r="HL21" i="31" s="1"/>
  <c r="HM21" i="31" s="1"/>
  <c r="HN21" i="31" s="1"/>
  <c r="HO21" i="31" s="1"/>
  <c r="HP21" i="31" s="1"/>
  <c r="HQ21" i="31" s="1"/>
  <c r="HR21" i="31" s="1"/>
  <c r="HS21" i="31" s="1"/>
  <c r="HT21" i="31" s="1"/>
  <c r="HU21" i="31" s="1"/>
  <c r="HV21" i="31" s="1"/>
  <c r="HW21" i="31" s="1"/>
  <c r="HX21" i="31" s="1"/>
  <c r="HY21" i="31" s="1"/>
  <c r="HZ21" i="31" s="1"/>
  <c r="IA21" i="31" s="1"/>
  <c r="IB21" i="31" s="1"/>
  <c r="IC21" i="31" s="1"/>
  <c r="ID21" i="31" s="1"/>
  <c r="IE21" i="31" s="1"/>
  <c r="IF21" i="31" s="1"/>
  <c r="IG21" i="31" s="1"/>
  <c r="IH21" i="31" s="1"/>
  <c r="II21" i="31" s="1"/>
  <c r="IJ21" i="31" s="1"/>
  <c r="IK21" i="31" s="1"/>
  <c r="IL21" i="31" s="1"/>
  <c r="IM21" i="31" s="1"/>
  <c r="IN21" i="31" s="1"/>
  <c r="IO21" i="31" s="1"/>
  <c r="AZ21" i="31"/>
  <c r="BA21" i="31" s="1"/>
  <c r="BB21" i="31" s="1"/>
  <c r="BC21" i="31" s="1"/>
  <c r="BD21" i="31" s="1"/>
  <c r="BE21" i="31" s="1"/>
  <c r="BF21" i="31" s="1"/>
  <c r="BG21" i="31" s="1"/>
  <c r="BR20" i="31"/>
  <c r="BI20" i="31"/>
  <c r="AY20" i="31"/>
  <c r="O11" i="31"/>
  <c r="O10" i="31"/>
  <c r="O9" i="31"/>
  <c r="V8" i="31"/>
  <c r="O8" i="31"/>
  <c r="V7" i="31"/>
  <c r="O7" i="31"/>
  <c r="V6" i="31"/>
  <c r="O6" i="31"/>
  <c r="C6" i="31"/>
  <c r="V5" i="31"/>
  <c r="O5" i="31"/>
  <c r="O4" i="31"/>
  <c r="C4" i="31"/>
  <c r="D4" i="31" s="1"/>
  <c r="C3" i="31"/>
  <c r="D3" i="31" s="1"/>
  <c r="AV22" i="29"/>
  <c r="BA22" i="29"/>
  <c r="BC22" i="29"/>
  <c r="BE22" i="29"/>
  <c r="BK22" i="29"/>
  <c r="BM22" i="29"/>
  <c r="BO22" i="29"/>
  <c r="BU22" i="29"/>
  <c r="BW22" i="29"/>
  <c r="BY22" i="29"/>
  <c r="CE22" i="29"/>
  <c r="CG22" i="29"/>
  <c r="CI22" i="29"/>
  <c r="CO22" i="29"/>
  <c r="CQ22" i="29"/>
  <c r="CS22" i="29"/>
  <c r="CY22" i="29"/>
  <c r="DA22" i="29"/>
  <c r="DC22" i="29"/>
  <c r="DI22" i="29"/>
  <c r="DK22" i="29"/>
  <c r="DM22" i="29"/>
  <c r="DS22" i="29"/>
  <c r="DU22" i="29"/>
  <c r="DW22" i="29"/>
  <c r="EC22" i="29"/>
  <c r="EE22" i="29"/>
  <c r="EG22" i="29"/>
  <c r="EM22" i="29"/>
  <c r="EO22" i="29"/>
  <c r="EQ22" i="29"/>
  <c r="EW22" i="29"/>
  <c r="EY22" i="29"/>
  <c r="FA22" i="29"/>
  <c r="FG22" i="29"/>
  <c r="FI22" i="29"/>
  <c r="FK22" i="29"/>
  <c r="FQ22" i="29"/>
  <c r="FS22" i="29"/>
  <c r="FU22" i="29"/>
  <c r="GA22" i="29"/>
  <c r="GC22" i="29"/>
  <c r="GE22" i="29"/>
  <c r="GK22" i="29"/>
  <c r="GM22" i="29"/>
  <c r="GO22" i="29"/>
  <c r="GU22" i="29"/>
  <c r="GW22" i="29"/>
  <c r="GY22" i="29"/>
  <c r="HE22" i="29"/>
  <c r="HG22" i="29"/>
  <c r="HI22" i="29"/>
  <c r="HO22" i="29"/>
  <c r="HQ22" i="29"/>
  <c r="HS22" i="29"/>
  <c r="HY22" i="29"/>
  <c r="IA22" i="29"/>
  <c r="IC22" i="29"/>
  <c r="II22" i="29"/>
  <c r="IK22" i="29"/>
  <c r="IM22" i="29"/>
  <c r="BE41" i="29"/>
  <c r="BC41" i="29"/>
  <c r="BA41" i="29"/>
  <c r="BE40" i="29"/>
  <c r="BC40" i="29"/>
  <c r="BA40" i="29"/>
  <c r="BE39" i="29"/>
  <c r="BC39" i="29"/>
  <c r="BA39" i="29"/>
  <c r="BE38" i="29"/>
  <c r="BC38" i="29"/>
  <c r="BA38" i="29"/>
  <c r="BE37" i="29"/>
  <c r="BC37" i="29"/>
  <c r="BA37" i="29"/>
  <c r="BE36" i="29"/>
  <c r="BC36" i="29"/>
  <c r="BA36" i="29"/>
  <c r="BE35" i="29"/>
  <c r="BC35" i="29"/>
  <c r="BA35" i="29"/>
  <c r="BE34" i="29"/>
  <c r="BC34" i="29"/>
  <c r="BA34" i="29"/>
  <c r="BE33" i="29"/>
  <c r="BC33" i="29"/>
  <c r="BA33" i="29"/>
  <c r="BE32" i="29"/>
  <c r="BC32" i="29"/>
  <c r="BA32" i="29"/>
  <c r="BE31" i="29"/>
  <c r="BC31" i="29"/>
  <c r="BA31" i="29"/>
  <c r="BE30" i="29"/>
  <c r="BC30" i="29"/>
  <c r="BA30" i="29"/>
  <c r="BE29" i="29"/>
  <c r="BC29" i="29"/>
  <c r="BA29" i="29"/>
  <c r="BE28" i="29"/>
  <c r="BC28" i="29"/>
  <c r="BA28" i="29"/>
  <c r="BE27" i="29"/>
  <c r="BC27" i="29"/>
  <c r="BA27" i="29"/>
  <c r="BE26" i="29"/>
  <c r="BC26" i="29"/>
  <c r="BA26" i="29"/>
  <c r="BE25" i="29"/>
  <c r="BC25" i="29"/>
  <c r="BA25" i="29"/>
  <c r="BE24" i="29"/>
  <c r="BC24" i="29"/>
  <c r="BA24" i="29"/>
  <c r="BE23" i="29"/>
  <c r="BC23" i="29"/>
  <c r="BA23" i="29"/>
  <c r="AY20" i="29"/>
  <c r="AB66" i="29"/>
  <c r="Y66" i="29"/>
  <c r="Z66" i="29" s="1"/>
  <c r="T66" i="29"/>
  <c r="U66" i="29" s="1"/>
  <c r="V66" i="29" s="1"/>
  <c r="W66" i="29" s="1"/>
  <c r="AB65" i="29"/>
  <c r="Y65" i="29"/>
  <c r="Z65" i="29" s="1"/>
  <c r="T65" i="29"/>
  <c r="U65" i="29" s="1"/>
  <c r="V65" i="29" s="1"/>
  <c r="W65" i="29" s="1"/>
  <c r="AB64" i="29"/>
  <c r="Y64" i="29"/>
  <c r="Z64" i="29" s="1"/>
  <c r="T64" i="29"/>
  <c r="U64" i="29" s="1"/>
  <c r="V64" i="29" s="1"/>
  <c r="W64" i="29" s="1"/>
  <c r="AB63" i="29"/>
  <c r="Y63" i="29"/>
  <c r="Z63" i="29" s="1"/>
  <c r="T63" i="29"/>
  <c r="U63" i="29" s="1"/>
  <c r="V63" i="29" s="1"/>
  <c r="W63" i="29" s="1"/>
  <c r="AB62" i="29"/>
  <c r="Y62" i="29"/>
  <c r="Z62" i="29" s="1"/>
  <c r="T62" i="29"/>
  <c r="U62" i="29" s="1"/>
  <c r="V62" i="29" s="1"/>
  <c r="W62" i="29" s="1"/>
  <c r="AB61" i="29"/>
  <c r="Y61" i="29"/>
  <c r="Z61" i="29" s="1"/>
  <c r="T61" i="29"/>
  <c r="U61" i="29" s="1"/>
  <c r="V61" i="29" s="1"/>
  <c r="W61" i="29" s="1"/>
  <c r="AB60" i="29"/>
  <c r="Y60" i="29"/>
  <c r="Z60" i="29" s="1"/>
  <c r="T60" i="29"/>
  <c r="U60" i="29" s="1"/>
  <c r="V60" i="29" s="1"/>
  <c r="W60" i="29" s="1"/>
  <c r="AB59" i="29"/>
  <c r="Y59" i="29"/>
  <c r="Z59" i="29" s="1"/>
  <c r="T59" i="29"/>
  <c r="U59" i="29" s="1"/>
  <c r="V59" i="29" s="1"/>
  <c r="W59" i="29" s="1"/>
  <c r="AE58" i="29"/>
  <c r="AF58" i="29" s="1"/>
  <c r="AG58" i="29" s="1"/>
  <c r="AH58" i="29" s="1"/>
  <c r="AI58" i="29" s="1"/>
  <c r="AB58" i="29"/>
  <c r="AC58" i="29" s="1"/>
  <c r="Y58" i="29"/>
  <c r="Z58" i="29" s="1"/>
  <c r="T58" i="29"/>
  <c r="U58" i="29" s="1"/>
  <c r="V58" i="29" s="1"/>
  <c r="W58" i="29" s="1"/>
  <c r="AE57" i="29"/>
  <c r="AF57" i="29" s="1"/>
  <c r="AG57" i="29" s="1"/>
  <c r="AH57" i="29" s="1"/>
  <c r="AI57" i="29" s="1"/>
  <c r="AB57" i="29"/>
  <c r="AC57" i="29" s="1"/>
  <c r="Y57" i="29"/>
  <c r="Z57" i="29" s="1"/>
  <c r="T57" i="29"/>
  <c r="U57" i="29" s="1"/>
  <c r="V57" i="29" s="1"/>
  <c r="W57" i="29" s="1"/>
  <c r="AE56" i="29"/>
  <c r="AF56" i="29" s="1"/>
  <c r="AG56" i="29" s="1"/>
  <c r="AH56" i="29" s="1"/>
  <c r="AI56" i="29" s="1"/>
  <c r="AB56" i="29"/>
  <c r="AC56" i="29" s="1"/>
  <c r="Y56" i="29"/>
  <c r="Z56" i="29" s="1"/>
  <c r="T56" i="29"/>
  <c r="U56" i="29" s="1"/>
  <c r="V56" i="29" s="1"/>
  <c r="W56" i="29" s="1"/>
  <c r="AE55" i="29"/>
  <c r="AF55" i="29" s="1"/>
  <c r="AG55" i="29" s="1"/>
  <c r="AH55" i="29" s="1"/>
  <c r="AI55" i="29" s="1"/>
  <c r="AB55" i="29"/>
  <c r="AC55" i="29" s="1"/>
  <c r="Y55" i="29"/>
  <c r="Z55" i="29" s="1"/>
  <c r="T55" i="29"/>
  <c r="U55" i="29" s="1"/>
  <c r="V55" i="29" s="1"/>
  <c r="W55" i="29" s="1"/>
  <c r="AE54" i="29"/>
  <c r="AF54" i="29" s="1"/>
  <c r="AG54" i="29" s="1"/>
  <c r="AH54" i="29" s="1"/>
  <c r="AI54" i="29" s="1"/>
  <c r="AB54" i="29"/>
  <c r="AC54" i="29" s="1"/>
  <c r="Y54" i="29"/>
  <c r="Z54" i="29" s="1"/>
  <c r="T54" i="29"/>
  <c r="U54" i="29" s="1"/>
  <c r="V54" i="29" s="1"/>
  <c r="W54" i="29" s="1"/>
  <c r="AE53" i="29"/>
  <c r="AF53" i="29" s="1"/>
  <c r="AG53" i="29" s="1"/>
  <c r="AH53" i="29" s="1"/>
  <c r="AB53" i="29"/>
  <c r="AC53" i="29" s="1"/>
  <c r="Y53" i="29"/>
  <c r="Z53" i="29" s="1"/>
  <c r="T53" i="29"/>
  <c r="U53" i="29" s="1"/>
  <c r="V53" i="29" s="1"/>
  <c r="W53" i="29" s="1"/>
  <c r="AE52" i="29"/>
  <c r="AF52" i="29" s="1"/>
  <c r="AG52" i="29" s="1"/>
  <c r="AH52" i="29" s="1"/>
  <c r="AI52" i="29" s="1"/>
  <c r="AB52" i="29"/>
  <c r="AC52" i="29" s="1"/>
  <c r="Y52" i="29"/>
  <c r="Z52" i="29" s="1"/>
  <c r="T52" i="29"/>
  <c r="U52" i="29" s="1"/>
  <c r="V52" i="29" s="1"/>
  <c r="W52" i="29" s="1"/>
  <c r="AE51" i="29"/>
  <c r="AH51" i="29" s="1"/>
  <c r="AI51" i="29" s="1"/>
  <c r="AB51" i="29"/>
  <c r="AC51" i="29" s="1"/>
  <c r="Z51" i="29"/>
  <c r="T51" i="29"/>
  <c r="Y50" i="29"/>
  <c r="Z50" i="29" s="1"/>
  <c r="W50" i="29"/>
  <c r="AF49" i="29"/>
  <c r="AE49" i="29" s="1"/>
  <c r="AD49" i="29" s="1"/>
  <c r="AC49" i="29" s="1"/>
  <c r="AB49" i="29" s="1"/>
  <c r="AA49" i="29" s="1"/>
  <c r="Z49" i="29" s="1"/>
  <c r="Y49" i="29" s="1"/>
  <c r="X49" i="29" s="1"/>
  <c r="T49" i="29"/>
  <c r="U49" i="29" s="1"/>
  <c r="V49" i="29" s="1"/>
  <c r="W49" i="29" s="1"/>
  <c r="O49" i="29"/>
  <c r="O50" i="29" s="1"/>
  <c r="O51" i="29" s="1"/>
  <c r="O52" i="29" s="1"/>
  <c r="O53" i="29" s="1"/>
  <c r="O54" i="29" s="1"/>
  <c r="O55" i="29" s="1"/>
  <c r="O56" i="29" s="1"/>
  <c r="O57" i="29" s="1"/>
  <c r="O58" i="29" s="1"/>
  <c r="O59" i="29" s="1"/>
  <c r="O60" i="29" s="1"/>
  <c r="O61" i="29" s="1"/>
  <c r="O62" i="29" s="1"/>
  <c r="O63" i="29" s="1"/>
  <c r="O64" i="29" s="1"/>
  <c r="O65" i="29" s="1"/>
  <c r="O66" i="29" s="1"/>
  <c r="B21" i="29"/>
  <c r="B22" i="29" s="1"/>
  <c r="B23" i="29" s="1"/>
  <c r="B24" i="29" s="1"/>
  <c r="B25" i="29" s="1"/>
  <c r="B26" i="29" s="1"/>
  <c r="B27" i="29" s="1"/>
  <c r="B28" i="29" s="1"/>
  <c r="B29" i="29" s="1"/>
  <c r="B30" i="29" s="1"/>
  <c r="B31" i="29" s="1"/>
  <c r="B32" i="29" s="1"/>
  <c r="B33" i="29" s="1"/>
  <c r="B34" i="29" s="1"/>
  <c r="B35" i="29" s="1"/>
  <c r="B36" i="29" s="1"/>
  <c r="B37" i="29" s="1"/>
  <c r="B38" i="29" s="1"/>
  <c r="S45" i="29"/>
  <c r="T45" i="29" s="1"/>
  <c r="U45" i="29" s="1"/>
  <c r="V45" i="29" s="1"/>
  <c r="W45" i="29" s="1"/>
  <c r="X45" i="29" s="1"/>
  <c r="Y45" i="29" s="1"/>
  <c r="Z45" i="29" s="1"/>
  <c r="AA45" i="29" s="1"/>
  <c r="AB45" i="29" s="1"/>
  <c r="AC45" i="29" s="1"/>
  <c r="AD45" i="29" s="1"/>
  <c r="AE45" i="29" s="1"/>
  <c r="AF45" i="29" s="1"/>
  <c r="AG45" i="29" s="1"/>
  <c r="AH45" i="29" s="1"/>
  <c r="AI45" i="29" s="1"/>
  <c r="AJ45" i="29" s="1"/>
  <c r="F17" i="29"/>
  <c r="G17" i="29" s="1"/>
  <c r="H17" i="29" s="1"/>
  <c r="I17" i="29" s="1"/>
  <c r="FK41" i="29"/>
  <c r="FI41" i="29"/>
  <c r="FG41" i="29"/>
  <c r="FA41" i="29"/>
  <c r="EY41" i="29"/>
  <c r="EW41" i="29"/>
  <c r="EQ41" i="29"/>
  <c r="EO41" i="29"/>
  <c r="EM41" i="29"/>
  <c r="EG41" i="29"/>
  <c r="EE41" i="29"/>
  <c r="EC41" i="29"/>
  <c r="DW41" i="29"/>
  <c r="DU41" i="29"/>
  <c r="DS41" i="29"/>
  <c r="DM41" i="29"/>
  <c r="DK41" i="29"/>
  <c r="DI41" i="29"/>
  <c r="DC41" i="29"/>
  <c r="DA41" i="29"/>
  <c r="CY41" i="29"/>
  <c r="CS41" i="29"/>
  <c r="CQ41" i="29"/>
  <c r="CO41" i="29"/>
  <c r="CI41" i="29"/>
  <c r="CG41" i="29"/>
  <c r="CE41" i="29"/>
  <c r="BY41" i="29"/>
  <c r="BW41" i="29"/>
  <c r="BU41" i="29"/>
  <c r="BO41" i="29"/>
  <c r="BM41" i="29"/>
  <c r="BK41" i="29"/>
  <c r="FK40" i="29"/>
  <c r="FI40" i="29"/>
  <c r="FG40" i="29"/>
  <c r="FA40" i="29"/>
  <c r="EY40" i="29"/>
  <c r="EW40" i="29"/>
  <c r="EQ40" i="29"/>
  <c r="EO40" i="29"/>
  <c r="EM40" i="29"/>
  <c r="EG40" i="29"/>
  <c r="EE40" i="29"/>
  <c r="EC40" i="29"/>
  <c r="DW40" i="29"/>
  <c r="DU40" i="29"/>
  <c r="DS40" i="29"/>
  <c r="DM40" i="29"/>
  <c r="DK40" i="29"/>
  <c r="DI40" i="29"/>
  <c r="DC40" i="29"/>
  <c r="DA40" i="29"/>
  <c r="CY40" i="29"/>
  <c r="CS40" i="29"/>
  <c r="CQ40" i="29"/>
  <c r="CO40" i="29"/>
  <c r="CI40" i="29"/>
  <c r="CG40" i="29"/>
  <c r="CE40" i="29"/>
  <c r="BY40" i="29"/>
  <c r="BW40" i="29"/>
  <c r="BU40" i="29"/>
  <c r="BO40" i="29"/>
  <c r="BM40" i="29"/>
  <c r="BK40" i="29"/>
  <c r="FK39" i="29"/>
  <c r="FI39" i="29"/>
  <c r="FG39" i="29"/>
  <c r="FA39" i="29"/>
  <c r="EY39" i="29"/>
  <c r="EW39" i="29"/>
  <c r="EQ39" i="29"/>
  <c r="EO39" i="29"/>
  <c r="EM39" i="29"/>
  <c r="EG39" i="29"/>
  <c r="EE39" i="29"/>
  <c r="EC39" i="29"/>
  <c r="DW39" i="29"/>
  <c r="DU39" i="29"/>
  <c r="DS39" i="29"/>
  <c r="DM39" i="29"/>
  <c r="DK39" i="29"/>
  <c r="DI39" i="29"/>
  <c r="DC39" i="29"/>
  <c r="DA39" i="29"/>
  <c r="CY39" i="29"/>
  <c r="CS39" i="29"/>
  <c r="CQ39" i="29"/>
  <c r="CO39" i="29"/>
  <c r="CI39" i="29"/>
  <c r="CG39" i="29"/>
  <c r="CE39" i="29"/>
  <c r="BY39" i="29"/>
  <c r="BW39" i="29"/>
  <c r="BU39" i="29"/>
  <c r="BO39" i="29"/>
  <c r="BM39" i="29"/>
  <c r="BK39" i="29"/>
  <c r="FK38" i="29"/>
  <c r="FI38" i="29"/>
  <c r="FG38" i="29"/>
  <c r="FA38" i="29"/>
  <c r="EY38" i="29"/>
  <c r="EW38" i="29"/>
  <c r="EQ38" i="29"/>
  <c r="EO38" i="29"/>
  <c r="EM38" i="29"/>
  <c r="EG38" i="29"/>
  <c r="EE38" i="29"/>
  <c r="EC38" i="29"/>
  <c r="DW38" i="29"/>
  <c r="DU38" i="29"/>
  <c r="DS38" i="29"/>
  <c r="DM38" i="29"/>
  <c r="DK38" i="29"/>
  <c r="DI38" i="29"/>
  <c r="DC38" i="29"/>
  <c r="DA38" i="29"/>
  <c r="CY38" i="29"/>
  <c r="CS38" i="29"/>
  <c r="CQ38" i="29"/>
  <c r="CO38" i="29"/>
  <c r="CI38" i="29"/>
  <c r="CG38" i="29"/>
  <c r="CE38" i="29"/>
  <c r="BY38" i="29"/>
  <c r="BW38" i="29"/>
  <c r="BU38" i="29"/>
  <c r="BO38" i="29"/>
  <c r="BM38" i="29"/>
  <c r="BK38" i="29"/>
  <c r="FK37" i="29"/>
  <c r="FI37" i="29"/>
  <c r="FG37" i="29"/>
  <c r="FA37" i="29"/>
  <c r="EY37" i="29"/>
  <c r="EW37" i="29"/>
  <c r="EQ37" i="29"/>
  <c r="EO37" i="29"/>
  <c r="EM37" i="29"/>
  <c r="EG37" i="29"/>
  <c r="EE37" i="29"/>
  <c r="EC37" i="29"/>
  <c r="DW37" i="29"/>
  <c r="DU37" i="29"/>
  <c r="DS37" i="29"/>
  <c r="DM37" i="29"/>
  <c r="DK37" i="29"/>
  <c r="DI37" i="29"/>
  <c r="DC37" i="29"/>
  <c r="DA37" i="29"/>
  <c r="CY37" i="29"/>
  <c r="CS37" i="29"/>
  <c r="CQ37" i="29"/>
  <c r="CO37" i="29"/>
  <c r="CI37" i="29"/>
  <c r="CG37" i="29"/>
  <c r="CE37" i="29"/>
  <c r="BY37" i="29"/>
  <c r="BW37" i="29"/>
  <c r="BU37" i="29"/>
  <c r="BO37" i="29"/>
  <c r="BM37" i="29"/>
  <c r="BK37" i="29"/>
  <c r="FK36" i="29"/>
  <c r="FI36" i="29"/>
  <c r="FG36" i="29"/>
  <c r="FA36" i="29"/>
  <c r="EY36" i="29"/>
  <c r="EW36" i="29"/>
  <c r="EQ36" i="29"/>
  <c r="EO36" i="29"/>
  <c r="EM36" i="29"/>
  <c r="EG36" i="29"/>
  <c r="EE36" i="29"/>
  <c r="EC36" i="29"/>
  <c r="DW36" i="29"/>
  <c r="DU36" i="29"/>
  <c r="DS36" i="29"/>
  <c r="DM36" i="29"/>
  <c r="DK36" i="29"/>
  <c r="DI36" i="29"/>
  <c r="DC36" i="29"/>
  <c r="DA36" i="29"/>
  <c r="CY36" i="29"/>
  <c r="CS36" i="29"/>
  <c r="CQ36" i="29"/>
  <c r="CO36" i="29"/>
  <c r="CI36" i="29"/>
  <c r="CG36" i="29"/>
  <c r="CE36" i="29"/>
  <c r="BY36" i="29"/>
  <c r="BW36" i="29"/>
  <c r="BU36" i="29"/>
  <c r="BO36" i="29"/>
  <c r="BM36" i="29"/>
  <c r="BK36" i="29"/>
  <c r="FK35" i="29"/>
  <c r="FI35" i="29"/>
  <c r="FG35" i="29"/>
  <c r="FA35" i="29"/>
  <c r="EY35" i="29"/>
  <c r="EW35" i="29"/>
  <c r="EQ35" i="29"/>
  <c r="EO35" i="29"/>
  <c r="EM35" i="29"/>
  <c r="EG35" i="29"/>
  <c r="EE35" i="29"/>
  <c r="EC35" i="29"/>
  <c r="DW35" i="29"/>
  <c r="DU35" i="29"/>
  <c r="DS35" i="29"/>
  <c r="DM35" i="29"/>
  <c r="DK35" i="29"/>
  <c r="DI35" i="29"/>
  <c r="DC35" i="29"/>
  <c r="DA35" i="29"/>
  <c r="CY35" i="29"/>
  <c r="CS35" i="29"/>
  <c r="CQ35" i="29"/>
  <c r="CO35" i="29"/>
  <c r="CI35" i="29"/>
  <c r="CG35" i="29"/>
  <c r="CE35" i="29"/>
  <c r="BY35" i="29"/>
  <c r="BW35" i="29"/>
  <c r="BU35" i="29"/>
  <c r="BO35" i="29"/>
  <c r="BM35" i="29"/>
  <c r="BK35" i="29"/>
  <c r="FK34" i="29"/>
  <c r="FI34" i="29"/>
  <c r="FG34" i="29"/>
  <c r="FA34" i="29"/>
  <c r="EY34" i="29"/>
  <c r="EW34" i="29"/>
  <c r="EQ34" i="29"/>
  <c r="EO34" i="29"/>
  <c r="EM34" i="29"/>
  <c r="EG34" i="29"/>
  <c r="EE34" i="29"/>
  <c r="EC34" i="29"/>
  <c r="DW34" i="29"/>
  <c r="DU34" i="29"/>
  <c r="DS34" i="29"/>
  <c r="DM34" i="29"/>
  <c r="DK34" i="29"/>
  <c r="DI34" i="29"/>
  <c r="DC34" i="29"/>
  <c r="DA34" i="29"/>
  <c r="CY34" i="29"/>
  <c r="CS34" i="29"/>
  <c r="CQ34" i="29"/>
  <c r="CO34" i="29"/>
  <c r="CI34" i="29"/>
  <c r="CG34" i="29"/>
  <c r="CE34" i="29"/>
  <c r="BY34" i="29"/>
  <c r="BW34" i="29"/>
  <c r="BU34" i="29"/>
  <c r="BO34" i="29"/>
  <c r="BM34" i="29"/>
  <c r="BK34" i="29"/>
  <c r="IM33" i="29"/>
  <c r="IK33" i="29"/>
  <c r="II33" i="29"/>
  <c r="IC33" i="29"/>
  <c r="IA33" i="29"/>
  <c r="HY33" i="29"/>
  <c r="HS33" i="29"/>
  <c r="HQ33" i="29"/>
  <c r="HO33" i="29"/>
  <c r="HI33" i="29"/>
  <c r="HG33" i="29"/>
  <c r="HE33" i="29"/>
  <c r="GY33" i="29"/>
  <c r="GW33" i="29"/>
  <c r="GU33" i="29"/>
  <c r="GO33" i="29"/>
  <c r="GM33" i="29"/>
  <c r="GK33" i="29"/>
  <c r="GE33" i="29"/>
  <c r="GC33" i="29"/>
  <c r="GA33" i="29"/>
  <c r="FU33" i="29"/>
  <c r="FS33" i="29"/>
  <c r="FQ33" i="29"/>
  <c r="FK33" i="29"/>
  <c r="FI33" i="29"/>
  <c r="FG33" i="29"/>
  <c r="FA33" i="29"/>
  <c r="EY33" i="29"/>
  <c r="EW33" i="29"/>
  <c r="EQ33" i="29"/>
  <c r="EO33" i="29"/>
  <c r="EM33" i="29"/>
  <c r="EG33" i="29"/>
  <c r="EE33" i="29"/>
  <c r="EC33" i="29"/>
  <c r="DW33" i="29"/>
  <c r="DU33" i="29"/>
  <c r="DS33" i="29"/>
  <c r="DM33" i="29"/>
  <c r="DK33" i="29"/>
  <c r="DI33" i="29"/>
  <c r="DC33" i="29"/>
  <c r="DA33" i="29"/>
  <c r="CY33" i="29"/>
  <c r="CS33" i="29"/>
  <c r="CQ33" i="29"/>
  <c r="CO33" i="29"/>
  <c r="CI33" i="29"/>
  <c r="CG33" i="29"/>
  <c r="CE33" i="29"/>
  <c r="BY33" i="29"/>
  <c r="BW33" i="29"/>
  <c r="BU33" i="29"/>
  <c r="BO33" i="29"/>
  <c r="BM33" i="29"/>
  <c r="BK33" i="29"/>
  <c r="IM32" i="29"/>
  <c r="IK32" i="29"/>
  <c r="II32" i="29"/>
  <c r="IC32" i="29"/>
  <c r="IA32" i="29"/>
  <c r="HY32" i="29"/>
  <c r="HS32" i="29"/>
  <c r="HQ32" i="29"/>
  <c r="HO32" i="29"/>
  <c r="HI32" i="29"/>
  <c r="HG32" i="29"/>
  <c r="HE32" i="29"/>
  <c r="GY32" i="29"/>
  <c r="GW32" i="29"/>
  <c r="GU32" i="29"/>
  <c r="GO32" i="29"/>
  <c r="GM32" i="29"/>
  <c r="GK32" i="29"/>
  <c r="GE32" i="29"/>
  <c r="GC32" i="29"/>
  <c r="GA32" i="29"/>
  <c r="FU32" i="29"/>
  <c r="FS32" i="29"/>
  <c r="FQ32" i="29"/>
  <c r="FK32" i="29"/>
  <c r="FI32" i="29"/>
  <c r="FG32" i="29"/>
  <c r="FA32" i="29"/>
  <c r="EY32" i="29"/>
  <c r="EW32" i="29"/>
  <c r="EQ32" i="29"/>
  <c r="EO32" i="29"/>
  <c r="EM32" i="29"/>
  <c r="EG32" i="29"/>
  <c r="EE32" i="29"/>
  <c r="EC32" i="29"/>
  <c r="DW32" i="29"/>
  <c r="DU32" i="29"/>
  <c r="DS32" i="29"/>
  <c r="DM32" i="29"/>
  <c r="DK32" i="29"/>
  <c r="DI32" i="29"/>
  <c r="DC32" i="29"/>
  <c r="DA32" i="29"/>
  <c r="CY32" i="29"/>
  <c r="CS32" i="29"/>
  <c r="CQ32" i="29"/>
  <c r="CO32" i="29"/>
  <c r="CI32" i="29"/>
  <c r="CG32" i="29"/>
  <c r="CE32" i="29"/>
  <c r="BY32" i="29"/>
  <c r="BW32" i="29"/>
  <c r="BU32" i="29"/>
  <c r="BO32" i="29"/>
  <c r="BM32" i="29"/>
  <c r="BK32" i="29"/>
  <c r="IM31" i="29"/>
  <c r="IK31" i="29"/>
  <c r="II31" i="29"/>
  <c r="IC31" i="29"/>
  <c r="IA31" i="29"/>
  <c r="HY31" i="29"/>
  <c r="HS31" i="29"/>
  <c r="HQ31" i="29"/>
  <c r="HO31" i="29"/>
  <c r="HI31" i="29"/>
  <c r="HG31" i="29"/>
  <c r="HE31" i="29"/>
  <c r="GY31" i="29"/>
  <c r="GW31" i="29"/>
  <c r="GU31" i="29"/>
  <c r="GO31" i="29"/>
  <c r="GM31" i="29"/>
  <c r="GK31" i="29"/>
  <c r="GE31" i="29"/>
  <c r="GC31" i="29"/>
  <c r="GA31" i="29"/>
  <c r="FU31" i="29"/>
  <c r="FS31" i="29"/>
  <c r="FQ31" i="29"/>
  <c r="FK31" i="29"/>
  <c r="FI31" i="29"/>
  <c r="FG31" i="29"/>
  <c r="FA31" i="29"/>
  <c r="EY31" i="29"/>
  <c r="EW31" i="29"/>
  <c r="EQ31" i="29"/>
  <c r="EO31" i="29"/>
  <c r="EM31" i="29"/>
  <c r="EG31" i="29"/>
  <c r="EE31" i="29"/>
  <c r="EC31" i="29"/>
  <c r="DW31" i="29"/>
  <c r="DU31" i="29"/>
  <c r="DS31" i="29"/>
  <c r="DM31" i="29"/>
  <c r="DK31" i="29"/>
  <c r="DI31" i="29"/>
  <c r="DC31" i="29"/>
  <c r="DA31" i="29"/>
  <c r="CY31" i="29"/>
  <c r="CS31" i="29"/>
  <c r="CQ31" i="29"/>
  <c r="CO31" i="29"/>
  <c r="CI31" i="29"/>
  <c r="CG31" i="29"/>
  <c r="CE31" i="29"/>
  <c r="BY31" i="29"/>
  <c r="BW31" i="29"/>
  <c r="BU31" i="29"/>
  <c r="BO31" i="29"/>
  <c r="BM31" i="29"/>
  <c r="BK31" i="29"/>
  <c r="IM30" i="29"/>
  <c r="IK30" i="29"/>
  <c r="II30" i="29"/>
  <c r="IC30" i="29"/>
  <c r="IA30" i="29"/>
  <c r="HY30" i="29"/>
  <c r="HS30" i="29"/>
  <c r="HQ30" i="29"/>
  <c r="HO30" i="29"/>
  <c r="HI30" i="29"/>
  <c r="HG30" i="29"/>
  <c r="HE30" i="29"/>
  <c r="GY30" i="29"/>
  <c r="GW30" i="29"/>
  <c r="GU30" i="29"/>
  <c r="GO30" i="29"/>
  <c r="GM30" i="29"/>
  <c r="GK30" i="29"/>
  <c r="GE30" i="29"/>
  <c r="GC30" i="29"/>
  <c r="GA30" i="29"/>
  <c r="FU30" i="29"/>
  <c r="FS30" i="29"/>
  <c r="FQ30" i="29"/>
  <c r="FK30" i="29"/>
  <c r="FI30" i="29"/>
  <c r="FG30" i="29"/>
  <c r="FA30" i="29"/>
  <c r="EY30" i="29"/>
  <c r="EW30" i="29"/>
  <c r="EQ30" i="29"/>
  <c r="EO30" i="29"/>
  <c r="EM30" i="29"/>
  <c r="EG30" i="29"/>
  <c r="EE30" i="29"/>
  <c r="EC30" i="29"/>
  <c r="DW30" i="29"/>
  <c r="DU30" i="29"/>
  <c r="DS30" i="29"/>
  <c r="DM30" i="29"/>
  <c r="DK30" i="29"/>
  <c r="DI30" i="29"/>
  <c r="DC30" i="29"/>
  <c r="DA30" i="29"/>
  <c r="CY30" i="29"/>
  <c r="CS30" i="29"/>
  <c r="CQ30" i="29"/>
  <c r="CO30" i="29"/>
  <c r="CI30" i="29"/>
  <c r="CG30" i="29"/>
  <c r="CE30" i="29"/>
  <c r="BY30" i="29"/>
  <c r="BW30" i="29"/>
  <c r="BU30" i="29"/>
  <c r="BO30" i="29"/>
  <c r="BM30" i="29"/>
  <c r="BK30" i="29"/>
  <c r="IM29" i="29"/>
  <c r="IK29" i="29"/>
  <c r="II29" i="29"/>
  <c r="IC29" i="29"/>
  <c r="IA29" i="29"/>
  <c r="HY29" i="29"/>
  <c r="HS29" i="29"/>
  <c r="HQ29" i="29"/>
  <c r="HO29" i="29"/>
  <c r="HI29" i="29"/>
  <c r="HG29" i="29"/>
  <c r="HE29" i="29"/>
  <c r="GY29" i="29"/>
  <c r="GW29" i="29"/>
  <c r="GU29" i="29"/>
  <c r="GO29" i="29"/>
  <c r="GM29" i="29"/>
  <c r="GK29" i="29"/>
  <c r="GE29" i="29"/>
  <c r="GC29" i="29"/>
  <c r="GA29" i="29"/>
  <c r="FU29" i="29"/>
  <c r="FS29" i="29"/>
  <c r="FQ29" i="29"/>
  <c r="FK29" i="29"/>
  <c r="FI29" i="29"/>
  <c r="FG29" i="29"/>
  <c r="FA29" i="29"/>
  <c r="EY29" i="29"/>
  <c r="EW29" i="29"/>
  <c r="EQ29" i="29"/>
  <c r="EO29" i="29"/>
  <c r="EM29" i="29"/>
  <c r="EG29" i="29"/>
  <c r="EE29" i="29"/>
  <c r="EC29" i="29"/>
  <c r="DW29" i="29"/>
  <c r="DU29" i="29"/>
  <c r="DS29" i="29"/>
  <c r="DM29" i="29"/>
  <c r="DK29" i="29"/>
  <c r="DI29" i="29"/>
  <c r="DC29" i="29"/>
  <c r="DA29" i="29"/>
  <c r="CY29" i="29"/>
  <c r="CS29" i="29"/>
  <c r="CQ29" i="29"/>
  <c r="CO29" i="29"/>
  <c r="CI29" i="29"/>
  <c r="CG29" i="29"/>
  <c r="CE29" i="29"/>
  <c r="BY29" i="29"/>
  <c r="BW29" i="29"/>
  <c r="BU29" i="29"/>
  <c r="BO29" i="29"/>
  <c r="BM29" i="29"/>
  <c r="BK29" i="29"/>
  <c r="IM28" i="29"/>
  <c r="IK28" i="29"/>
  <c r="II28" i="29"/>
  <c r="IC28" i="29"/>
  <c r="IA28" i="29"/>
  <c r="HY28" i="29"/>
  <c r="HS28" i="29"/>
  <c r="HQ28" i="29"/>
  <c r="HO28" i="29"/>
  <c r="HI28" i="29"/>
  <c r="HG28" i="29"/>
  <c r="HE28" i="29"/>
  <c r="GY28" i="29"/>
  <c r="GW28" i="29"/>
  <c r="GU28" i="29"/>
  <c r="GO28" i="29"/>
  <c r="GM28" i="29"/>
  <c r="GK28" i="29"/>
  <c r="GE28" i="29"/>
  <c r="GC28" i="29"/>
  <c r="GA28" i="29"/>
  <c r="FU28" i="29"/>
  <c r="FS28" i="29"/>
  <c r="FQ28" i="29"/>
  <c r="FK28" i="29"/>
  <c r="FI28" i="29"/>
  <c r="FG28" i="29"/>
  <c r="FA28" i="29"/>
  <c r="EY28" i="29"/>
  <c r="EW28" i="29"/>
  <c r="EQ28" i="29"/>
  <c r="EO28" i="29"/>
  <c r="EM28" i="29"/>
  <c r="EG28" i="29"/>
  <c r="EE28" i="29"/>
  <c r="EC28" i="29"/>
  <c r="DW28" i="29"/>
  <c r="DU28" i="29"/>
  <c r="DS28" i="29"/>
  <c r="DM28" i="29"/>
  <c r="DK28" i="29"/>
  <c r="DI28" i="29"/>
  <c r="DC28" i="29"/>
  <c r="DA28" i="29"/>
  <c r="CY28" i="29"/>
  <c r="CS28" i="29"/>
  <c r="CQ28" i="29"/>
  <c r="CO28" i="29"/>
  <c r="CI28" i="29"/>
  <c r="CG28" i="29"/>
  <c r="CE28" i="29"/>
  <c r="BY28" i="29"/>
  <c r="BW28" i="29"/>
  <c r="BU28" i="29"/>
  <c r="BO28" i="29"/>
  <c r="BM28" i="29"/>
  <c r="BK28" i="29"/>
  <c r="IM27" i="29"/>
  <c r="IK27" i="29"/>
  <c r="II27" i="29"/>
  <c r="IC27" i="29"/>
  <c r="IA27" i="29"/>
  <c r="HY27" i="29"/>
  <c r="HS27" i="29"/>
  <c r="HQ27" i="29"/>
  <c r="HO27" i="29"/>
  <c r="HI27" i="29"/>
  <c r="HG27" i="29"/>
  <c r="HE27" i="29"/>
  <c r="GY27" i="29"/>
  <c r="GW27" i="29"/>
  <c r="GU27" i="29"/>
  <c r="GO27" i="29"/>
  <c r="GM27" i="29"/>
  <c r="GK27" i="29"/>
  <c r="GE27" i="29"/>
  <c r="GC27" i="29"/>
  <c r="GA27" i="29"/>
  <c r="FU27" i="29"/>
  <c r="FS27" i="29"/>
  <c r="FQ27" i="29"/>
  <c r="FK27" i="29"/>
  <c r="FI27" i="29"/>
  <c r="FG27" i="29"/>
  <c r="FA27" i="29"/>
  <c r="EY27" i="29"/>
  <c r="EW27" i="29"/>
  <c r="EQ27" i="29"/>
  <c r="EO27" i="29"/>
  <c r="EM27" i="29"/>
  <c r="EG27" i="29"/>
  <c r="EE27" i="29"/>
  <c r="EC27" i="29"/>
  <c r="DW27" i="29"/>
  <c r="DU27" i="29"/>
  <c r="DS27" i="29"/>
  <c r="DM27" i="29"/>
  <c r="DK27" i="29"/>
  <c r="DI27" i="29"/>
  <c r="DC27" i="29"/>
  <c r="DA27" i="29"/>
  <c r="CY27" i="29"/>
  <c r="CS27" i="29"/>
  <c r="CQ27" i="29"/>
  <c r="CO27" i="29"/>
  <c r="CI27" i="29"/>
  <c r="CG27" i="29"/>
  <c r="CE27" i="29"/>
  <c r="BY27" i="29"/>
  <c r="BW27" i="29"/>
  <c r="BU27" i="29"/>
  <c r="BO27" i="29"/>
  <c r="BM27" i="29"/>
  <c r="BK27" i="29"/>
  <c r="IM26" i="29"/>
  <c r="IK26" i="29"/>
  <c r="II26" i="29"/>
  <c r="IC26" i="29"/>
  <c r="IA26" i="29"/>
  <c r="HY26" i="29"/>
  <c r="HS26" i="29"/>
  <c r="HQ26" i="29"/>
  <c r="HO26" i="29"/>
  <c r="HI26" i="29"/>
  <c r="HG26" i="29"/>
  <c r="HE26" i="29"/>
  <c r="GY26" i="29"/>
  <c r="GW26" i="29"/>
  <c r="GU26" i="29"/>
  <c r="GO26" i="29"/>
  <c r="GM26" i="29"/>
  <c r="GK26" i="29"/>
  <c r="GE26" i="29"/>
  <c r="GC26" i="29"/>
  <c r="GA26" i="29"/>
  <c r="FU26" i="29"/>
  <c r="FS26" i="29"/>
  <c r="FQ26" i="29"/>
  <c r="FK26" i="29"/>
  <c r="FI26" i="29"/>
  <c r="FG26" i="29"/>
  <c r="FA26" i="29"/>
  <c r="EY26" i="29"/>
  <c r="EW26" i="29"/>
  <c r="EQ26" i="29"/>
  <c r="EO26" i="29"/>
  <c r="EM26" i="29"/>
  <c r="EG26" i="29"/>
  <c r="EE26" i="29"/>
  <c r="EC26" i="29"/>
  <c r="DW26" i="29"/>
  <c r="DU26" i="29"/>
  <c r="DS26" i="29"/>
  <c r="DM26" i="29"/>
  <c r="DK26" i="29"/>
  <c r="DI26" i="29"/>
  <c r="DC26" i="29"/>
  <c r="DA26" i="29"/>
  <c r="CY26" i="29"/>
  <c r="CS26" i="29"/>
  <c r="CQ26" i="29"/>
  <c r="CO26" i="29"/>
  <c r="CI26" i="29"/>
  <c r="CG26" i="29"/>
  <c r="CE26" i="29"/>
  <c r="BY26" i="29"/>
  <c r="BW26" i="29"/>
  <c r="BU26" i="29"/>
  <c r="BO26" i="29"/>
  <c r="BM26" i="29"/>
  <c r="BK26" i="29"/>
  <c r="IM25" i="29"/>
  <c r="IK25" i="29"/>
  <c r="II25" i="29"/>
  <c r="IC25" i="29"/>
  <c r="IA25" i="29"/>
  <c r="HY25" i="29"/>
  <c r="HS25" i="29"/>
  <c r="HQ25" i="29"/>
  <c r="HO25" i="29"/>
  <c r="HI25" i="29"/>
  <c r="HG25" i="29"/>
  <c r="HE25" i="29"/>
  <c r="GY25" i="29"/>
  <c r="GW25" i="29"/>
  <c r="GU25" i="29"/>
  <c r="GO25" i="29"/>
  <c r="GM25" i="29"/>
  <c r="GK25" i="29"/>
  <c r="GE25" i="29"/>
  <c r="GC25" i="29"/>
  <c r="GA25" i="29"/>
  <c r="FU25" i="29"/>
  <c r="FS25" i="29"/>
  <c r="FQ25" i="29"/>
  <c r="FK25" i="29"/>
  <c r="FI25" i="29"/>
  <c r="FG25" i="29"/>
  <c r="FA25" i="29"/>
  <c r="EY25" i="29"/>
  <c r="EW25" i="29"/>
  <c r="EQ25" i="29"/>
  <c r="EO25" i="29"/>
  <c r="EM25" i="29"/>
  <c r="EG25" i="29"/>
  <c r="EE25" i="29"/>
  <c r="EC25" i="29"/>
  <c r="DW25" i="29"/>
  <c r="DU25" i="29"/>
  <c r="DS25" i="29"/>
  <c r="DM25" i="29"/>
  <c r="DK25" i="29"/>
  <c r="DI25" i="29"/>
  <c r="DC25" i="29"/>
  <c r="DA25" i="29"/>
  <c r="CY25" i="29"/>
  <c r="CS25" i="29"/>
  <c r="CQ25" i="29"/>
  <c r="CO25" i="29"/>
  <c r="CI25" i="29"/>
  <c r="CG25" i="29"/>
  <c r="CE25" i="29"/>
  <c r="BY25" i="29"/>
  <c r="BW25" i="29"/>
  <c r="BU25" i="29"/>
  <c r="BO25" i="29"/>
  <c r="BM25" i="29"/>
  <c r="BK25" i="29"/>
  <c r="IM24" i="29"/>
  <c r="IK24" i="29"/>
  <c r="II24" i="29"/>
  <c r="IC24" i="29"/>
  <c r="IA24" i="29"/>
  <c r="HY24" i="29"/>
  <c r="HS24" i="29"/>
  <c r="HQ24" i="29"/>
  <c r="HO24" i="29"/>
  <c r="HI24" i="29"/>
  <c r="HG24" i="29"/>
  <c r="HE24" i="29"/>
  <c r="GY24" i="29"/>
  <c r="GW24" i="29"/>
  <c r="GU24" i="29"/>
  <c r="GO24" i="29"/>
  <c r="GM24" i="29"/>
  <c r="GK24" i="29"/>
  <c r="GE24" i="29"/>
  <c r="GC24" i="29"/>
  <c r="GA24" i="29"/>
  <c r="FU24" i="29"/>
  <c r="FS24" i="29"/>
  <c r="FQ24" i="29"/>
  <c r="FK24" i="29"/>
  <c r="FI24" i="29"/>
  <c r="FG24" i="29"/>
  <c r="FA24" i="29"/>
  <c r="EY24" i="29"/>
  <c r="EW24" i="29"/>
  <c r="EQ24" i="29"/>
  <c r="EO24" i="29"/>
  <c r="EM24" i="29"/>
  <c r="EG24" i="29"/>
  <c r="EE24" i="29"/>
  <c r="EC24" i="29"/>
  <c r="DW24" i="29"/>
  <c r="DU24" i="29"/>
  <c r="DS24" i="29"/>
  <c r="DM24" i="29"/>
  <c r="DK24" i="29"/>
  <c r="DI24" i="29"/>
  <c r="DC24" i="29"/>
  <c r="DA24" i="29"/>
  <c r="CY24" i="29"/>
  <c r="CS24" i="29"/>
  <c r="CQ24" i="29"/>
  <c r="CO24" i="29"/>
  <c r="CI24" i="29"/>
  <c r="CG24" i="29"/>
  <c r="CE24" i="29"/>
  <c r="BY24" i="29"/>
  <c r="BW24" i="29"/>
  <c r="BU24" i="29"/>
  <c r="BO24" i="29"/>
  <c r="BM24" i="29"/>
  <c r="BK24" i="29"/>
  <c r="AU24" i="29"/>
  <c r="AV24" i="29" s="1"/>
  <c r="IM23" i="29"/>
  <c r="IK23" i="29"/>
  <c r="II23" i="29"/>
  <c r="IC23" i="29"/>
  <c r="IA23" i="29"/>
  <c r="HY23" i="29"/>
  <c r="HS23" i="29"/>
  <c r="HQ23" i="29"/>
  <c r="HO23" i="29"/>
  <c r="HI23" i="29"/>
  <c r="HG23" i="29"/>
  <c r="HE23" i="29"/>
  <c r="GY23" i="29"/>
  <c r="GW23" i="29"/>
  <c r="GU23" i="29"/>
  <c r="GO23" i="29"/>
  <c r="GM23" i="29"/>
  <c r="GK23" i="29"/>
  <c r="GE23" i="29"/>
  <c r="GC23" i="29"/>
  <c r="GA23" i="29"/>
  <c r="FU23" i="29"/>
  <c r="FS23" i="29"/>
  <c r="FQ23" i="29"/>
  <c r="FK23" i="29"/>
  <c r="FI23" i="29"/>
  <c r="FG23" i="29"/>
  <c r="FA23" i="29"/>
  <c r="EY23" i="29"/>
  <c r="EW23" i="29"/>
  <c r="EQ23" i="29"/>
  <c r="EO23" i="29"/>
  <c r="EM23" i="29"/>
  <c r="EG23" i="29"/>
  <c r="EE23" i="29"/>
  <c r="EC23" i="29"/>
  <c r="DW23" i="29"/>
  <c r="DU23" i="29"/>
  <c r="DS23" i="29"/>
  <c r="DM23" i="29"/>
  <c r="DK23" i="29"/>
  <c r="DI23" i="29"/>
  <c r="DC23" i="29"/>
  <c r="DA23" i="29"/>
  <c r="CY23" i="29"/>
  <c r="CS23" i="29"/>
  <c r="CQ23" i="29"/>
  <c r="CO23" i="29"/>
  <c r="CI23" i="29"/>
  <c r="CG23" i="29"/>
  <c r="CE23" i="29"/>
  <c r="BY23" i="29"/>
  <c r="BW23" i="29"/>
  <c r="BU23" i="29"/>
  <c r="BO23" i="29"/>
  <c r="BM23" i="29"/>
  <c r="BK23" i="29"/>
  <c r="AV23" i="29"/>
  <c r="BR20" i="29"/>
  <c r="CB20" i="29" s="1"/>
  <c r="BI20" i="29"/>
  <c r="O12" i="29"/>
  <c r="O11" i="29"/>
  <c r="O10" i="29"/>
  <c r="O9" i="29"/>
  <c r="V8" i="29"/>
  <c r="O8" i="29"/>
  <c r="V7" i="29"/>
  <c r="O7" i="29"/>
  <c r="V6" i="29"/>
  <c r="O6" i="29"/>
  <c r="C6" i="29"/>
  <c r="V5" i="29"/>
  <c r="O5" i="29"/>
  <c r="O4" i="29"/>
  <c r="C4" i="29"/>
  <c r="D4" i="29" s="1"/>
  <c r="W6" i="29" s="1"/>
  <c r="C3" i="29"/>
  <c r="D3" i="29" s="1"/>
  <c r="BK22" i="28"/>
  <c r="BM22" i="28"/>
  <c r="BO22" i="28"/>
  <c r="BU22" i="28"/>
  <c r="BW22" i="28"/>
  <c r="BY22" i="28"/>
  <c r="CE22" i="28"/>
  <c r="CG22" i="28"/>
  <c r="CI22" i="28"/>
  <c r="CO22" i="28"/>
  <c r="CQ22" i="28"/>
  <c r="CS22" i="28"/>
  <c r="CY22" i="28"/>
  <c r="DA22" i="28"/>
  <c r="DC22" i="28"/>
  <c r="DI22" i="28"/>
  <c r="DK22" i="28"/>
  <c r="DM22" i="28"/>
  <c r="DS22" i="28"/>
  <c r="DU22" i="28"/>
  <c r="DW22" i="28"/>
  <c r="EC22" i="28"/>
  <c r="EE22" i="28"/>
  <c r="EG22" i="28"/>
  <c r="EM22" i="28"/>
  <c r="EO22" i="28"/>
  <c r="EQ22" i="28"/>
  <c r="EW22" i="28"/>
  <c r="EY22" i="28"/>
  <c r="FA22" i="28"/>
  <c r="FG22" i="28"/>
  <c r="FI22" i="28"/>
  <c r="FK22" i="28"/>
  <c r="FQ22" i="28"/>
  <c r="FS22" i="28"/>
  <c r="FU22" i="28"/>
  <c r="GA22" i="28"/>
  <c r="GC22" i="28"/>
  <c r="GE22" i="28"/>
  <c r="GK22" i="28"/>
  <c r="GM22" i="28"/>
  <c r="GO22" i="28"/>
  <c r="GU22" i="28"/>
  <c r="GW22" i="28"/>
  <c r="GY22" i="28"/>
  <c r="HE22" i="28"/>
  <c r="HG22" i="28"/>
  <c r="HI22" i="28"/>
  <c r="HO22" i="28"/>
  <c r="HQ22" i="28"/>
  <c r="HS22" i="28"/>
  <c r="HY22" i="28"/>
  <c r="IA22" i="28"/>
  <c r="IC22" i="28"/>
  <c r="II22" i="28"/>
  <c r="IK22" i="28"/>
  <c r="IM22" i="28"/>
  <c r="BI21" i="28"/>
  <c r="BJ21" i="28" s="1"/>
  <c r="BK21" i="28" s="1"/>
  <c r="BL21" i="28" s="1"/>
  <c r="BM21" i="28" s="1"/>
  <c r="BN21" i="28" s="1"/>
  <c r="BO21" i="28" s="1"/>
  <c r="BP21" i="28" s="1"/>
  <c r="BQ21" i="28" s="1"/>
  <c r="BR21" i="28" s="1"/>
  <c r="BS21" i="28" s="1"/>
  <c r="BT21" i="28" s="1"/>
  <c r="BU21" i="28" s="1"/>
  <c r="BV21" i="28" s="1"/>
  <c r="BW21" i="28" s="1"/>
  <c r="BX21" i="28" s="1"/>
  <c r="BY21" i="28" s="1"/>
  <c r="BZ21" i="28" s="1"/>
  <c r="CA21" i="28" s="1"/>
  <c r="CB21" i="28" s="1"/>
  <c r="CC21" i="28" s="1"/>
  <c r="CD21" i="28" s="1"/>
  <c r="CE21" i="28" s="1"/>
  <c r="CF21" i="28" s="1"/>
  <c r="CG21" i="28" s="1"/>
  <c r="CH21" i="28" s="1"/>
  <c r="CI21" i="28" s="1"/>
  <c r="CJ21" i="28" s="1"/>
  <c r="CK21" i="28" s="1"/>
  <c r="CL21" i="28" s="1"/>
  <c r="CM21" i="28" s="1"/>
  <c r="CN21" i="28" s="1"/>
  <c r="CO21" i="28" s="1"/>
  <c r="CP21" i="28" s="1"/>
  <c r="CQ21" i="28" s="1"/>
  <c r="CR21" i="28" s="1"/>
  <c r="CS21" i="28" s="1"/>
  <c r="CT21" i="28" s="1"/>
  <c r="CU21" i="28" s="1"/>
  <c r="CV21" i="28" s="1"/>
  <c r="CW21" i="28" s="1"/>
  <c r="CX21" i="28" s="1"/>
  <c r="CY21" i="28" s="1"/>
  <c r="CZ21" i="28" s="1"/>
  <c r="DA21" i="28" s="1"/>
  <c r="DB21" i="28" s="1"/>
  <c r="DC21" i="28" s="1"/>
  <c r="DD21" i="28" s="1"/>
  <c r="DE21" i="28" s="1"/>
  <c r="DF21" i="28" s="1"/>
  <c r="DG21" i="28" s="1"/>
  <c r="DH21" i="28" s="1"/>
  <c r="DI21" i="28" s="1"/>
  <c r="DJ21" i="28" s="1"/>
  <c r="DK21" i="28" s="1"/>
  <c r="DL21" i="28" s="1"/>
  <c r="DM21" i="28" s="1"/>
  <c r="DN21" i="28" s="1"/>
  <c r="DO21" i="28" s="1"/>
  <c r="DP21" i="28" s="1"/>
  <c r="DQ21" i="28" s="1"/>
  <c r="DR21" i="28" s="1"/>
  <c r="DS21" i="28" s="1"/>
  <c r="DT21" i="28" s="1"/>
  <c r="DU21" i="28" s="1"/>
  <c r="DV21" i="28" s="1"/>
  <c r="DW21" i="28" s="1"/>
  <c r="DX21" i="28" s="1"/>
  <c r="DY21" i="28" s="1"/>
  <c r="DZ21" i="28" s="1"/>
  <c r="EA21" i="28" s="1"/>
  <c r="EB21" i="28" s="1"/>
  <c r="EC21" i="28" s="1"/>
  <c r="ED21" i="28" s="1"/>
  <c r="EE21" i="28" s="1"/>
  <c r="EF21" i="28" s="1"/>
  <c r="EG21" i="28" s="1"/>
  <c r="EH21" i="28" s="1"/>
  <c r="EI21" i="28" s="1"/>
  <c r="EJ21" i="28" s="1"/>
  <c r="EK21" i="28" s="1"/>
  <c r="EL21" i="28" s="1"/>
  <c r="EM21" i="28" s="1"/>
  <c r="EN21" i="28" s="1"/>
  <c r="EO21" i="28" s="1"/>
  <c r="EP21" i="28" s="1"/>
  <c r="EQ21" i="28" s="1"/>
  <c r="ER21" i="28" s="1"/>
  <c r="ES21" i="28" s="1"/>
  <c r="ET21" i="28" s="1"/>
  <c r="EU21" i="28" s="1"/>
  <c r="EV21" i="28" s="1"/>
  <c r="EW21" i="28" s="1"/>
  <c r="EX21" i="28" s="1"/>
  <c r="EY21" i="28" s="1"/>
  <c r="EZ21" i="28" s="1"/>
  <c r="FA21" i="28" s="1"/>
  <c r="FB21" i="28" s="1"/>
  <c r="FC21" i="28" s="1"/>
  <c r="FD21" i="28" s="1"/>
  <c r="FE21" i="28" s="1"/>
  <c r="FF21" i="28" s="1"/>
  <c r="FG21" i="28" s="1"/>
  <c r="FH21" i="28" s="1"/>
  <c r="FI21" i="28" s="1"/>
  <c r="FJ21" i="28" s="1"/>
  <c r="FK21" i="28" s="1"/>
  <c r="FL21" i="28" s="1"/>
  <c r="FM21" i="28" s="1"/>
  <c r="FN21" i="28" s="1"/>
  <c r="FO21" i="28" s="1"/>
  <c r="FP21" i="28" s="1"/>
  <c r="FQ21" i="28" s="1"/>
  <c r="FR21" i="28" s="1"/>
  <c r="FS21" i="28" s="1"/>
  <c r="FT21" i="28" s="1"/>
  <c r="FU21" i="28" s="1"/>
  <c r="FV21" i="28" s="1"/>
  <c r="FW21" i="28" s="1"/>
  <c r="FX21" i="28" s="1"/>
  <c r="FY21" i="28" s="1"/>
  <c r="FZ21" i="28" s="1"/>
  <c r="GA21" i="28" s="1"/>
  <c r="GB21" i="28" s="1"/>
  <c r="GC21" i="28" s="1"/>
  <c r="GD21" i="28" s="1"/>
  <c r="GE21" i="28" s="1"/>
  <c r="GF21" i="28" s="1"/>
  <c r="GG21" i="28" s="1"/>
  <c r="GH21" i="28" s="1"/>
  <c r="GI21" i="28" s="1"/>
  <c r="GJ21" i="28" s="1"/>
  <c r="GK21" i="28" s="1"/>
  <c r="GL21" i="28" s="1"/>
  <c r="GM21" i="28" s="1"/>
  <c r="GN21" i="28" s="1"/>
  <c r="GO21" i="28" s="1"/>
  <c r="GP21" i="28" s="1"/>
  <c r="GQ21" i="28" s="1"/>
  <c r="GR21" i="28" s="1"/>
  <c r="GS21" i="28" s="1"/>
  <c r="GT21" i="28" s="1"/>
  <c r="GU21" i="28" s="1"/>
  <c r="GV21" i="28" s="1"/>
  <c r="GW21" i="28" s="1"/>
  <c r="GX21" i="28" s="1"/>
  <c r="GY21" i="28" s="1"/>
  <c r="GZ21" i="28" s="1"/>
  <c r="HA21" i="28" s="1"/>
  <c r="HB21" i="28" s="1"/>
  <c r="HC21" i="28" s="1"/>
  <c r="HD21" i="28" s="1"/>
  <c r="HE21" i="28" s="1"/>
  <c r="HF21" i="28" s="1"/>
  <c r="HG21" i="28" s="1"/>
  <c r="HH21" i="28" s="1"/>
  <c r="HI21" i="28" s="1"/>
  <c r="HJ21" i="28" s="1"/>
  <c r="HK21" i="28" s="1"/>
  <c r="HL21" i="28" s="1"/>
  <c r="HM21" i="28" s="1"/>
  <c r="HN21" i="28" s="1"/>
  <c r="HO21" i="28" s="1"/>
  <c r="HP21" i="28" s="1"/>
  <c r="HQ21" i="28" s="1"/>
  <c r="HR21" i="28" s="1"/>
  <c r="HS21" i="28" s="1"/>
  <c r="HT21" i="28" s="1"/>
  <c r="HU21" i="28" s="1"/>
  <c r="HV21" i="28" s="1"/>
  <c r="HW21" i="28" s="1"/>
  <c r="HX21" i="28" s="1"/>
  <c r="HY21" i="28" s="1"/>
  <c r="HZ21" i="28" s="1"/>
  <c r="IA21" i="28" s="1"/>
  <c r="IB21" i="28" s="1"/>
  <c r="IC21" i="28" s="1"/>
  <c r="ID21" i="28" s="1"/>
  <c r="IE21" i="28" s="1"/>
  <c r="IF21" i="28" s="1"/>
  <c r="IG21" i="28" s="1"/>
  <c r="IH21" i="28" s="1"/>
  <c r="II21" i="28" s="1"/>
  <c r="IJ21" i="28" s="1"/>
  <c r="IK21" i="28" s="1"/>
  <c r="IL21" i="28" s="1"/>
  <c r="IM21" i="28" s="1"/>
  <c r="IN21" i="28" s="1"/>
  <c r="IO21" i="28" s="1"/>
  <c r="BA22" i="28"/>
  <c r="BC22" i="28"/>
  <c r="BE22" i="28"/>
  <c r="BE41" i="28"/>
  <c r="BC41" i="28"/>
  <c r="BA41" i="28"/>
  <c r="BE40" i="28"/>
  <c r="BC40" i="28"/>
  <c r="BA40" i="28"/>
  <c r="BE39" i="28"/>
  <c r="BC39" i="28"/>
  <c r="BA39" i="28"/>
  <c r="BE38" i="28"/>
  <c r="BC38" i="28"/>
  <c r="BA38" i="28"/>
  <c r="BE37" i="28"/>
  <c r="BC37" i="28"/>
  <c r="BA37" i="28"/>
  <c r="BE36" i="28"/>
  <c r="BC36" i="28"/>
  <c r="BA36" i="28"/>
  <c r="BE35" i="28"/>
  <c r="BC35" i="28"/>
  <c r="BA35" i="28"/>
  <c r="BE34" i="28"/>
  <c r="BC34" i="28"/>
  <c r="BA34" i="28"/>
  <c r="BE33" i="28"/>
  <c r="BC33" i="28"/>
  <c r="BA33" i="28"/>
  <c r="BE32" i="28"/>
  <c r="BC32" i="28"/>
  <c r="BA32" i="28"/>
  <c r="BE31" i="28"/>
  <c r="BC31" i="28"/>
  <c r="BA31" i="28"/>
  <c r="BE30" i="28"/>
  <c r="BC30" i="28"/>
  <c r="BA30" i="28"/>
  <c r="BE29" i="28"/>
  <c r="BC29" i="28"/>
  <c r="BA29" i="28"/>
  <c r="BE28" i="28"/>
  <c r="BC28" i="28"/>
  <c r="BA28" i="28"/>
  <c r="BE27" i="28"/>
  <c r="BC27" i="28"/>
  <c r="BA27" i="28"/>
  <c r="BE26" i="28"/>
  <c r="BC26" i="28"/>
  <c r="BA26" i="28"/>
  <c r="BE25" i="28"/>
  <c r="BC25" i="28"/>
  <c r="BA25" i="28"/>
  <c r="BE24" i="28"/>
  <c r="BC24" i="28"/>
  <c r="BA24" i="28"/>
  <c r="BE23" i="28"/>
  <c r="BC23" i="28"/>
  <c r="BA23" i="28"/>
  <c r="AV22" i="28"/>
  <c r="AY20" i="28"/>
  <c r="BI20" i="28"/>
  <c r="AZ21" i="28"/>
  <c r="BA21" i="28" s="1"/>
  <c r="BB21" i="28" s="1"/>
  <c r="BC21" i="28" s="1"/>
  <c r="BD21" i="28" s="1"/>
  <c r="BE21" i="28" s="1"/>
  <c r="BF21" i="28" s="1"/>
  <c r="BG21" i="28" s="1"/>
  <c r="AA66" i="28"/>
  <c r="AB66" i="28" s="1"/>
  <c r="V66" i="28"/>
  <c r="W66" i="28" s="1"/>
  <c r="X66" i="28" s="1"/>
  <c r="Y66" i="28" s="1"/>
  <c r="AA65" i="28"/>
  <c r="AB65" i="28" s="1"/>
  <c r="V65" i="28"/>
  <c r="W65" i="28" s="1"/>
  <c r="X65" i="28" s="1"/>
  <c r="Y65" i="28" s="1"/>
  <c r="AA64" i="28"/>
  <c r="AB64" i="28" s="1"/>
  <c r="V64" i="28"/>
  <c r="W64" i="28" s="1"/>
  <c r="X64" i="28" s="1"/>
  <c r="Y64" i="28" s="1"/>
  <c r="AA63" i="28"/>
  <c r="AB63" i="28" s="1"/>
  <c r="V63" i="28"/>
  <c r="W63" i="28" s="1"/>
  <c r="X63" i="28" s="1"/>
  <c r="Y63" i="28" s="1"/>
  <c r="AA62" i="28"/>
  <c r="AB62" i="28" s="1"/>
  <c r="V62" i="28"/>
  <c r="W62" i="28" s="1"/>
  <c r="X62" i="28" s="1"/>
  <c r="Y62" i="28" s="1"/>
  <c r="AA61" i="28"/>
  <c r="AB61" i="28" s="1"/>
  <c r="X61" i="28"/>
  <c r="Y61" i="28" s="1"/>
  <c r="AA60" i="28"/>
  <c r="AB60" i="28" s="1"/>
  <c r="V60" i="28"/>
  <c r="W60" i="28" s="1"/>
  <c r="X60" i="28" s="1"/>
  <c r="Y60" i="28" s="1"/>
  <c r="AA59" i="28"/>
  <c r="AB59" i="28" s="1"/>
  <c r="V59" i="28"/>
  <c r="W59" i="28" s="1"/>
  <c r="X59" i="28" s="1"/>
  <c r="Y59" i="28" s="1"/>
  <c r="AE58" i="28"/>
  <c r="AF58" i="28" s="1"/>
  <c r="AG58" i="28" s="1"/>
  <c r="AH58" i="28" s="1"/>
  <c r="AI58" i="28" s="1"/>
  <c r="AA58" i="28"/>
  <c r="AB58" i="28" s="1"/>
  <c r="AC58" i="28" s="1"/>
  <c r="X58" i="28"/>
  <c r="Y58" i="28" s="1"/>
  <c r="AA57" i="28"/>
  <c r="AB57" i="28" s="1"/>
  <c r="AC57" i="28" s="1"/>
  <c r="AD57" i="28" s="1"/>
  <c r="AE57" i="28" s="1"/>
  <c r="AF57" i="28" s="1"/>
  <c r="AG57" i="28" s="1"/>
  <c r="AH57" i="28" s="1"/>
  <c r="AI57" i="28" s="1"/>
  <c r="V57" i="28"/>
  <c r="W57" i="28" s="1"/>
  <c r="X57" i="28" s="1"/>
  <c r="Y57" i="28" s="1"/>
  <c r="V56" i="28"/>
  <c r="W56" i="28" s="1"/>
  <c r="X56" i="28" s="1"/>
  <c r="Y56" i="28" s="1"/>
  <c r="Z56" i="28" s="1"/>
  <c r="AA56" i="28" s="1"/>
  <c r="AB56" i="28" s="1"/>
  <c r="AC56" i="28" s="1"/>
  <c r="AD56" i="28" s="1"/>
  <c r="AE56" i="28" s="1"/>
  <c r="AF56" i="28" s="1"/>
  <c r="AG56" i="28" s="1"/>
  <c r="AH56" i="28" s="1"/>
  <c r="AI56" i="28" s="1"/>
  <c r="AA55" i="28"/>
  <c r="AB55" i="28" s="1"/>
  <c r="AC55" i="28" s="1"/>
  <c r="AD55" i="28" s="1"/>
  <c r="AE55" i="28" s="1"/>
  <c r="AF55" i="28" s="1"/>
  <c r="AG55" i="28" s="1"/>
  <c r="AH55" i="28" s="1"/>
  <c r="AI55" i="28" s="1"/>
  <c r="V55" i="28"/>
  <c r="W55" i="28" s="1"/>
  <c r="X55" i="28" s="1"/>
  <c r="Y55" i="28" s="1"/>
  <c r="Y52" i="28"/>
  <c r="AA50" i="28"/>
  <c r="AB50" i="28" s="1"/>
  <c r="AC50" i="28" s="1"/>
  <c r="AD50" i="28" s="1"/>
  <c r="AE50" i="28" s="1"/>
  <c r="AF50" i="28" s="1"/>
  <c r="AG50" i="28" s="1"/>
  <c r="AH50" i="28" s="1"/>
  <c r="AI50" i="28" s="1"/>
  <c r="V50" i="28"/>
  <c r="W50" i="28" s="1"/>
  <c r="X50" i="28" s="1"/>
  <c r="Y50" i="28" s="1"/>
  <c r="AA49" i="28"/>
  <c r="AB49" i="28" s="1"/>
  <c r="AC49" i="28" s="1"/>
  <c r="AD49" i="28" s="1"/>
  <c r="AE49" i="28" s="1"/>
  <c r="AF49" i="28" s="1"/>
  <c r="AG49" i="28" s="1"/>
  <c r="AH49" i="28" s="1"/>
  <c r="AI49" i="28" s="1"/>
  <c r="V49" i="28"/>
  <c r="W49" i="28" s="1"/>
  <c r="X49" i="28" s="1"/>
  <c r="Y49" i="28" s="1"/>
  <c r="O49" i="28"/>
  <c r="O50" i="28" s="1"/>
  <c r="O51" i="28" s="1"/>
  <c r="O52" i="28" s="1"/>
  <c r="O53" i="28" s="1"/>
  <c r="O54" i="28" s="1"/>
  <c r="O55" i="28" s="1"/>
  <c r="O56" i="28" s="1"/>
  <c r="O57" i="28" s="1"/>
  <c r="O58" i="28" s="1"/>
  <c r="O59" i="28" s="1"/>
  <c r="O60" i="28" s="1"/>
  <c r="O61" i="28" s="1"/>
  <c r="O62" i="28" s="1"/>
  <c r="O63" i="28" s="1"/>
  <c r="O64" i="28" s="1"/>
  <c r="O65" i="28" s="1"/>
  <c r="O66" i="28" s="1"/>
  <c r="B21" i="28"/>
  <c r="B22" i="28" s="1"/>
  <c r="B23" i="28" s="1"/>
  <c r="B24" i="28" s="1"/>
  <c r="B25" i="28" s="1"/>
  <c r="B26" i="28" s="1"/>
  <c r="B27" i="28" s="1"/>
  <c r="B28" i="28" s="1"/>
  <c r="B29" i="28" s="1"/>
  <c r="B30" i="28" s="1"/>
  <c r="B31" i="28" s="1"/>
  <c r="B32" i="28" s="1"/>
  <c r="B33" i="28" s="1"/>
  <c r="B34" i="28" s="1"/>
  <c r="B35" i="28" s="1"/>
  <c r="B36" i="28" s="1"/>
  <c r="B37" i="28" s="1"/>
  <c r="B38" i="28" s="1"/>
  <c r="AA48" i="28"/>
  <c r="AB48" i="28" s="1"/>
  <c r="AC48" i="28" s="1"/>
  <c r="AD48" i="28" s="1"/>
  <c r="AE48" i="28" s="1"/>
  <c r="AF48" i="28" s="1"/>
  <c r="AG48" i="28" s="1"/>
  <c r="AH48" i="28" s="1"/>
  <c r="AI48" i="28" s="1"/>
  <c r="V48" i="28"/>
  <c r="W48" i="28" s="1"/>
  <c r="X48" i="28" s="1"/>
  <c r="Y48" i="28" s="1"/>
  <c r="S45" i="28"/>
  <c r="T45" i="28" s="1"/>
  <c r="U45" i="28" s="1"/>
  <c r="V45" i="28" s="1"/>
  <c r="W45" i="28" s="1"/>
  <c r="X45" i="28" s="1"/>
  <c r="Y45" i="28" s="1"/>
  <c r="Z45" i="28" s="1"/>
  <c r="AA45" i="28" s="1"/>
  <c r="AB45" i="28" s="1"/>
  <c r="AC45" i="28" s="1"/>
  <c r="AD45" i="28" s="1"/>
  <c r="AE45" i="28" s="1"/>
  <c r="AF45" i="28" s="1"/>
  <c r="AG45" i="28" s="1"/>
  <c r="AH45" i="28" s="1"/>
  <c r="AI45" i="28" s="1"/>
  <c r="AJ45" i="28" s="1"/>
  <c r="F17" i="28"/>
  <c r="G17" i="28" s="1"/>
  <c r="H17" i="28" s="1"/>
  <c r="I17" i="28" s="1"/>
  <c r="FK41" i="28"/>
  <c r="FI41" i="28"/>
  <c r="FG41" i="28"/>
  <c r="FA41" i="28"/>
  <c r="EY41" i="28"/>
  <c r="EW41" i="28"/>
  <c r="EQ41" i="28"/>
  <c r="EO41" i="28"/>
  <c r="EM41" i="28"/>
  <c r="EG41" i="28"/>
  <c r="EE41" i="28"/>
  <c r="EC41" i="28"/>
  <c r="DW41" i="28"/>
  <c r="DU41" i="28"/>
  <c r="DS41" i="28"/>
  <c r="DM41" i="28"/>
  <c r="DK41" i="28"/>
  <c r="DI41" i="28"/>
  <c r="DC41" i="28"/>
  <c r="DA41" i="28"/>
  <c r="CY41" i="28"/>
  <c r="CS41" i="28"/>
  <c r="CQ41" i="28"/>
  <c r="CO41" i="28"/>
  <c r="CI41" i="28"/>
  <c r="CG41" i="28"/>
  <c r="CE41" i="28"/>
  <c r="BY41" i="28"/>
  <c r="BW41" i="28"/>
  <c r="BU41" i="28"/>
  <c r="BO41" i="28"/>
  <c r="BM41" i="28"/>
  <c r="BK41" i="28"/>
  <c r="FK40" i="28"/>
  <c r="FI40" i="28"/>
  <c r="FG40" i="28"/>
  <c r="FA40" i="28"/>
  <c r="EY40" i="28"/>
  <c r="EW40" i="28"/>
  <c r="EQ40" i="28"/>
  <c r="EO40" i="28"/>
  <c r="EM40" i="28"/>
  <c r="EG40" i="28"/>
  <c r="EE40" i="28"/>
  <c r="EC40" i="28"/>
  <c r="DW40" i="28"/>
  <c r="DU40" i="28"/>
  <c r="DS40" i="28"/>
  <c r="DM40" i="28"/>
  <c r="DK40" i="28"/>
  <c r="DI40" i="28"/>
  <c r="DC40" i="28"/>
  <c r="DA40" i="28"/>
  <c r="CY40" i="28"/>
  <c r="CS40" i="28"/>
  <c r="CQ40" i="28"/>
  <c r="CO40" i="28"/>
  <c r="CI40" i="28"/>
  <c r="CG40" i="28"/>
  <c r="CE40" i="28"/>
  <c r="BY40" i="28"/>
  <c r="BW40" i="28"/>
  <c r="BU40" i="28"/>
  <c r="BO40" i="28"/>
  <c r="BM40" i="28"/>
  <c r="BK40" i="28"/>
  <c r="FK39" i="28"/>
  <c r="FI39" i="28"/>
  <c r="FG39" i="28"/>
  <c r="FA39" i="28"/>
  <c r="EY39" i="28"/>
  <c r="EW39" i="28"/>
  <c r="EQ39" i="28"/>
  <c r="EO39" i="28"/>
  <c r="EM39" i="28"/>
  <c r="EG39" i="28"/>
  <c r="EE39" i="28"/>
  <c r="EC39" i="28"/>
  <c r="DW39" i="28"/>
  <c r="DU39" i="28"/>
  <c r="DS39" i="28"/>
  <c r="DM39" i="28"/>
  <c r="DK39" i="28"/>
  <c r="DI39" i="28"/>
  <c r="DC39" i="28"/>
  <c r="DA39" i="28"/>
  <c r="CY39" i="28"/>
  <c r="CS39" i="28"/>
  <c r="CQ39" i="28"/>
  <c r="CO39" i="28"/>
  <c r="CI39" i="28"/>
  <c r="CG39" i="28"/>
  <c r="CE39" i="28"/>
  <c r="BY39" i="28"/>
  <c r="BW39" i="28"/>
  <c r="BU39" i="28"/>
  <c r="BO39" i="28"/>
  <c r="BM39" i="28"/>
  <c r="BK39" i="28"/>
  <c r="FK38" i="28"/>
  <c r="FI38" i="28"/>
  <c r="FG38" i="28"/>
  <c r="FA38" i="28"/>
  <c r="EY38" i="28"/>
  <c r="EW38" i="28"/>
  <c r="EQ38" i="28"/>
  <c r="EO38" i="28"/>
  <c r="EM38" i="28"/>
  <c r="EG38" i="28"/>
  <c r="EE38" i="28"/>
  <c r="EC38" i="28"/>
  <c r="DW38" i="28"/>
  <c r="DU38" i="28"/>
  <c r="DS38" i="28"/>
  <c r="DM38" i="28"/>
  <c r="DK38" i="28"/>
  <c r="DI38" i="28"/>
  <c r="DC38" i="28"/>
  <c r="DA38" i="28"/>
  <c r="CY38" i="28"/>
  <c r="CS38" i="28"/>
  <c r="CQ38" i="28"/>
  <c r="CO38" i="28"/>
  <c r="CI38" i="28"/>
  <c r="CG38" i="28"/>
  <c r="CE38" i="28"/>
  <c r="BY38" i="28"/>
  <c r="BW38" i="28"/>
  <c r="BU38" i="28"/>
  <c r="BO38" i="28"/>
  <c r="BM38" i="28"/>
  <c r="BK38" i="28"/>
  <c r="FK37" i="28"/>
  <c r="FI37" i="28"/>
  <c r="FG37" i="28"/>
  <c r="FA37" i="28"/>
  <c r="EY37" i="28"/>
  <c r="EW37" i="28"/>
  <c r="EQ37" i="28"/>
  <c r="EO37" i="28"/>
  <c r="EM37" i="28"/>
  <c r="EG37" i="28"/>
  <c r="EE37" i="28"/>
  <c r="EC37" i="28"/>
  <c r="DW37" i="28"/>
  <c r="DU37" i="28"/>
  <c r="DS37" i="28"/>
  <c r="DM37" i="28"/>
  <c r="DK37" i="28"/>
  <c r="DI37" i="28"/>
  <c r="DC37" i="28"/>
  <c r="DA37" i="28"/>
  <c r="CY37" i="28"/>
  <c r="CS37" i="28"/>
  <c r="CQ37" i="28"/>
  <c r="CO37" i="28"/>
  <c r="CI37" i="28"/>
  <c r="CG37" i="28"/>
  <c r="CE37" i="28"/>
  <c r="BY37" i="28"/>
  <c r="BW37" i="28"/>
  <c r="BU37" i="28"/>
  <c r="BO37" i="28"/>
  <c r="BM37" i="28"/>
  <c r="BK37" i="28"/>
  <c r="FK36" i="28"/>
  <c r="FI36" i="28"/>
  <c r="FG36" i="28"/>
  <c r="FA36" i="28"/>
  <c r="EY36" i="28"/>
  <c r="EW36" i="28"/>
  <c r="EQ36" i="28"/>
  <c r="EO36" i="28"/>
  <c r="EM36" i="28"/>
  <c r="EG36" i="28"/>
  <c r="EE36" i="28"/>
  <c r="EC36" i="28"/>
  <c r="DW36" i="28"/>
  <c r="DU36" i="28"/>
  <c r="DS36" i="28"/>
  <c r="DM36" i="28"/>
  <c r="DK36" i="28"/>
  <c r="DI36" i="28"/>
  <c r="DC36" i="28"/>
  <c r="DA36" i="28"/>
  <c r="CY36" i="28"/>
  <c r="CS36" i="28"/>
  <c r="CQ36" i="28"/>
  <c r="CO36" i="28"/>
  <c r="CI36" i="28"/>
  <c r="CG36" i="28"/>
  <c r="CE36" i="28"/>
  <c r="BY36" i="28"/>
  <c r="BW36" i="28"/>
  <c r="BU36" i="28"/>
  <c r="BO36" i="28"/>
  <c r="BM36" i="28"/>
  <c r="BK36" i="28"/>
  <c r="FK35" i="28"/>
  <c r="FI35" i="28"/>
  <c r="FG35" i="28"/>
  <c r="FA35" i="28"/>
  <c r="EY35" i="28"/>
  <c r="EW35" i="28"/>
  <c r="EQ35" i="28"/>
  <c r="EO35" i="28"/>
  <c r="EM35" i="28"/>
  <c r="EG35" i="28"/>
  <c r="EE35" i="28"/>
  <c r="EC35" i="28"/>
  <c r="DW35" i="28"/>
  <c r="DU35" i="28"/>
  <c r="DS35" i="28"/>
  <c r="DM35" i="28"/>
  <c r="DK35" i="28"/>
  <c r="DI35" i="28"/>
  <c r="DC35" i="28"/>
  <c r="DA35" i="28"/>
  <c r="CY35" i="28"/>
  <c r="CS35" i="28"/>
  <c r="CQ35" i="28"/>
  <c r="CO35" i="28"/>
  <c r="CI35" i="28"/>
  <c r="CG35" i="28"/>
  <c r="CE35" i="28"/>
  <c r="BY35" i="28"/>
  <c r="BW35" i="28"/>
  <c r="BU35" i="28"/>
  <c r="BO35" i="28"/>
  <c r="BM35" i="28"/>
  <c r="BK35" i="28"/>
  <c r="FK34" i="28"/>
  <c r="FI34" i="28"/>
  <c r="FG34" i="28"/>
  <c r="FA34" i="28"/>
  <c r="EY34" i="28"/>
  <c r="EW34" i="28"/>
  <c r="EQ34" i="28"/>
  <c r="EO34" i="28"/>
  <c r="EM34" i="28"/>
  <c r="EG34" i="28"/>
  <c r="EE34" i="28"/>
  <c r="EC34" i="28"/>
  <c r="DW34" i="28"/>
  <c r="DU34" i="28"/>
  <c r="DS34" i="28"/>
  <c r="DM34" i="28"/>
  <c r="DK34" i="28"/>
  <c r="DI34" i="28"/>
  <c r="DC34" i="28"/>
  <c r="DA34" i="28"/>
  <c r="CY34" i="28"/>
  <c r="CS34" i="28"/>
  <c r="CQ34" i="28"/>
  <c r="CO34" i="28"/>
  <c r="CI34" i="28"/>
  <c r="CG34" i="28"/>
  <c r="CE34" i="28"/>
  <c r="BY34" i="28"/>
  <c r="BW34" i="28"/>
  <c r="BU34" i="28"/>
  <c r="BO34" i="28"/>
  <c r="BM34" i="28"/>
  <c r="BK34" i="28"/>
  <c r="IM33" i="28"/>
  <c r="IK33" i="28"/>
  <c r="II33" i="28"/>
  <c r="IC33" i="28"/>
  <c r="IA33" i="28"/>
  <c r="HY33" i="28"/>
  <c r="HS33" i="28"/>
  <c r="HQ33" i="28"/>
  <c r="HO33" i="28"/>
  <c r="HI33" i="28"/>
  <c r="HG33" i="28"/>
  <c r="HE33" i="28"/>
  <c r="GY33" i="28"/>
  <c r="GW33" i="28"/>
  <c r="GU33" i="28"/>
  <c r="GO33" i="28"/>
  <c r="GM33" i="28"/>
  <c r="GK33" i="28"/>
  <c r="GE33" i="28"/>
  <c r="GC33" i="28"/>
  <c r="GA33" i="28"/>
  <c r="FU33" i="28"/>
  <c r="FS33" i="28"/>
  <c r="FQ33" i="28"/>
  <c r="FK33" i="28"/>
  <c r="FI33" i="28"/>
  <c r="FG33" i="28"/>
  <c r="FA33" i="28"/>
  <c r="EY33" i="28"/>
  <c r="EW33" i="28"/>
  <c r="EQ33" i="28"/>
  <c r="EO33" i="28"/>
  <c r="EM33" i="28"/>
  <c r="EG33" i="28"/>
  <c r="EE33" i="28"/>
  <c r="EC33" i="28"/>
  <c r="DW33" i="28"/>
  <c r="DU33" i="28"/>
  <c r="DS33" i="28"/>
  <c r="DM33" i="28"/>
  <c r="DK33" i="28"/>
  <c r="DI33" i="28"/>
  <c r="DC33" i="28"/>
  <c r="DA33" i="28"/>
  <c r="CY33" i="28"/>
  <c r="CS33" i="28"/>
  <c r="CQ33" i="28"/>
  <c r="CO33" i="28"/>
  <c r="CI33" i="28"/>
  <c r="CG33" i="28"/>
  <c r="CE33" i="28"/>
  <c r="BY33" i="28"/>
  <c r="BW33" i="28"/>
  <c r="BU33" i="28"/>
  <c r="BO33" i="28"/>
  <c r="BM33" i="28"/>
  <c r="BK33" i="28"/>
  <c r="IM32" i="28"/>
  <c r="IK32" i="28"/>
  <c r="II32" i="28"/>
  <c r="IC32" i="28"/>
  <c r="IA32" i="28"/>
  <c r="HY32" i="28"/>
  <c r="HS32" i="28"/>
  <c r="HQ32" i="28"/>
  <c r="HO32" i="28"/>
  <c r="HI32" i="28"/>
  <c r="HG32" i="28"/>
  <c r="HE32" i="28"/>
  <c r="GY32" i="28"/>
  <c r="GW32" i="28"/>
  <c r="GU32" i="28"/>
  <c r="GO32" i="28"/>
  <c r="GM32" i="28"/>
  <c r="GK32" i="28"/>
  <c r="GE32" i="28"/>
  <c r="GC32" i="28"/>
  <c r="GA32" i="28"/>
  <c r="FU32" i="28"/>
  <c r="FS32" i="28"/>
  <c r="FQ32" i="28"/>
  <c r="FK32" i="28"/>
  <c r="FI32" i="28"/>
  <c r="FG32" i="28"/>
  <c r="FA32" i="28"/>
  <c r="EY32" i="28"/>
  <c r="EW32" i="28"/>
  <c r="EQ32" i="28"/>
  <c r="EO32" i="28"/>
  <c r="EM32" i="28"/>
  <c r="EG32" i="28"/>
  <c r="EE32" i="28"/>
  <c r="EC32" i="28"/>
  <c r="DW32" i="28"/>
  <c r="DU32" i="28"/>
  <c r="DS32" i="28"/>
  <c r="DM32" i="28"/>
  <c r="DK32" i="28"/>
  <c r="DI32" i="28"/>
  <c r="DC32" i="28"/>
  <c r="DA32" i="28"/>
  <c r="CY32" i="28"/>
  <c r="CS32" i="28"/>
  <c r="CQ32" i="28"/>
  <c r="CO32" i="28"/>
  <c r="CI32" i="28"/>
  <c r="CG32" i="28"/>
  <c r="CE32" i="28"/>
  <c r="BY32" i="28"/>
  <c r="BW32" i="28"/>
  <c r="BU32" i="28"/>
  <c r="BO32" i="28"/>
  <c r="BM32" i="28"/>
  <c r="BK32" i="28"/>
  <c r="IM31" i="28"/>
  <c r="IK31" i="28"/>
  <c r="II31" i="28"/>
  <c r="IC31" i="28"/>
  <c r="IA31" i="28"/>
  <c r="HY31" i="28"/>
  <c r="HS31" i="28"/>
  <c r="HQ31" i="28"/>
  <c r="HO31" i="28"/>
  <c r="HI31" i="28"/>
  <c r="HG31" i="28"/>
  <c r="HE31" i="28"/>
  <c r="GY31" i="28"/>
  <c r="GW31" i="28"/>
  <c r="GU31" i="28"/>
  <c r="GO31" i="28"/>
  <c r="GM31" i="28"/>
  <c r="GK31" i="28"/>
  <c r="GE31" i="28"/>
  <c r="GC31" i="28"/>
  <c r="GA31" i="28"/>
  <c r="FU31" i="28"/>
  <c r="FS31" i="28"/>
  <c r="FQ31" i="28"/>
  <c r="FK31" i="28"/>
  <c r="FI31" i="28"/>
  <c r="FG31" i="28"/>
  <c r="FA31" i="28"/>
  <c r="EY31" i="28"/>
  <c r="EW31" i="28"/>
  <c r="EQ31" i="28"/>
  <c r="EO31" i="28"/>
  <c r="EM31" i="28"/>
  <c r="EG31" i="28"/>
  <c r="EE31" i="28"/>
  <c r="EC31" i="28"/>
  <c r="DW31" i="28"/>
  <c r="DU31" i="28"/>
  <c r="DS31" i="28"/>
  <c r="DM31" i="28"/>
  <c r="DK31" i="28"/>
  <c r="DI31" i="28"/>
  <c r="DC31" i="28"/>
  <c r="DA31" i="28"/>
  <c r="CY31" i="28"/>
  <c r="CS31" i="28"/>
  <c r="CQ31" i="28"/>
  <c r="CO31" i="28"/>
  <c r="CI31" i="28"/>
  <c r="CG31" i="28"/>
  <c r="CE31" i="28"/>
  <c r="BY31" i="28"/>
  <c r="BW31" i="28"/>
  <c r="BU31" i="28"/>
  <c r="BO31" i="28"/>
  <c r="BM31" i="28"/>
  <c r="BK31" i="28"/>
  <c r="IM30" i="28"/>
  <c r="IK30" i="28"/>
  <c r="II30" i="28"/>
  <c r="IC30" i="28"/>
  <c r="IA30" i="28"/>
  <c r="HY30" i="28"/>
  <c r="HS30" i="28"/>
  <c r="HQ30" i="28"/>
  <c r="HO30" i="28"/>
  <c r="HI30" i="28"/>
  <c r="HG30" i="28"/>
  <c r="HE30" i="28"/>
  <c r="GY30" i="28"/>
  <c r="GW30" i="28"/>
  <c r="GU30" i="28"/>
  <c r="GO30" i="28"/>
  <c r="GM30" i="28"/>
  <c r="GK30" i="28"/>
  <c r="GE30" i="28"/>
  <c r="GC30" i="28"/>
  <c r="GA30" i="28"/>
  <c r="FU30" i="28"/>
  <c r="FS30" i="28"/>
  <c r="FQ30" i="28"/>
  <c r="FK30" i="28"/>
  <c r="FI30" i="28"/>
  <c r="FG30" i="28"/>
  <c r="FA30" i="28"/>
  <c r="EY30" i="28"/>
  <c r="EW30" i="28"/>
  <c r="EQ30" i="28"/>
  <c r="EO30" i="28"/>
  <c r="EM30" i="28"/>
  <c r="EG30" i="28"/>
  <c r="EE30" i="28"/>
  <c r="EC30" i="28"/>
  <c r="DW30" i="28"/>
  <c r="DU30" i="28"/>
  <c r="DS30" i="28"/>
  <c r="DM30" i="28"/>
  <c r="DK30" i="28"/>
  <c r="DI30" i="28"/>
  <c r="DC30" i="28"/>
  <c r="DA30" i="28"/>
  <c r="CY30" i="28"/>
  <c r="CS30" i="28"/>
  <c r="CQ30" i="28"/>
  <c r="CO30" i="28"/>
  <c r="CI30" i="28"/>
  <c r="CG30" i="28"/>
  <c r="CE30" i="28"/>
  <c r="BY30" i="28"/>
  <c r="BW30" i="28"/>
  <c r="BU30" i="28"/>
  <c r="BO30" i="28"/>
  <c r="BM30" i="28"/>
  <c r="BK30" i="28"/>
  <c r="IM29" i="28"/>
  <c r="IK29" i="28"/>
  <c r="II29" i="28"/>
  <c r="IC29" i="28"/>
  <c r="IA29" i="28"/>
  <c r="HY29" i="28"/>
  <c r="HS29" i="28"/>
  <c r="HQ29" i="28"/>
  <c r="HO29" i="28"/>
  <c r="HI29" i="28"/>
  <c r="HG29" i="28"/>
  <c r="HE29" i="28"/>
  <c r="GY29" i="28"/>
  <c r="GW29" i="28"/>
  <c r="GU29" i="28"/>
  <c r="GO29" i="28"/>
  <c r="GM29" i="28"/>
  <c r="GK29" i="28"/>
  <c r="GE29" i="28"/>
  <c r="GC29" i="28"/>
  <c r="GA29" i="28"/>
  <c r="FU29" i="28"/>
  <c r="FS29" i="28"/>
  <c r="FQ29" i="28"/>
  <c r="FK29" i="28"/>
  <c r="FI29" i="28"/>
  <c r="FG29" i="28"/>
  <c r="FA29" i="28"/>
  <c r="EY29" i="28"/>
  <c r="EW29" i="28"/>
  <c r="EQ29" i="28"/>
  <c r="EO29" i="28"/>
  <c r="EM29" i="28"/>
  <c r="EG29" i="28"/>
  <c r="EE29" i="28"/>
  <c r="EC29" i="28"/>
  <c r="DW29" i="28"/>
  <c r="DU29" i="28"/>
  <c r="DS29" i="28"/>
  <c r="DM29" i="28"/>
  <c r="DK29" i="28"/>
  <c r="DI29" i="28"/>
  <c r="DC29" i="28"/>
  <c r="DA29" i="28"/>
  <c r="CY29" i="28"/>
  <c r="CS29" i="28"/>
  <c r="CQ29" i="28"/>
  <c r="CO29" i="28"/>
  <c r="CI29" i="28"/>
  <c r="CG29" i="28"/>
  <c r="CE29" i="28"/>
  <c r="BY29" i="28"/>
  <c r="BW29" i="28"/>
  <c r="BU29" i="28"/>
  <c r="BO29" i="28"/>
  <c r="BM29" i="28"/>
  <c r="BK29" i="28"/>
  <c r="IM28" i="28"/>
  <c r="IK28" i="28"/>
  <c r="II28" i="28"/>
  <c r="IC28" i="28"/>
  <c r="IA28" i="28"/>
  <c r="HY28" i="28"/>
  <c r="HS28" i="28"/>
  <c r="HQ28" i="28"/>
  <c r="HO28" i="28"/>
  <c r="HI28" i="28"/>
  <c r="HG28" i="28"/>
  <c r="HE28" i="28"/>
  <c r="GY28" i="28"/>
  <c r="GW28" i="28"/>
  <c r="GU28" i="28"/>
  <c r="GO28" i="28"/>
  <c r="GM28" i="28"/>
  <c r="GK28" i="28"/>
  <c r="GE28" i="28"/>
  <c r="GC28" i="28"/>
  <c r="GA28" i="28"/>
  <c r="FU28" i="28"/>
  <c r="FS28" i="28"/>
  <c r="FQ28" i="28"/>
  <c r="FK28" i="28"/>
  <c r="FI28" i="28"/>
  <c r="FG28" i="28"/>
  <c r="FA28" i="28"/>
  <c r="EY28" i="28"/>
  <c r="EW28" i="28"/>
  <c r="EQ28" i="28"/>
  <c r="EO28" i="28"/>
  <c r="EM28" i="28"/>
  <c r="EG28" i="28"/>
  <c r="EE28" i="28"/>
  <c r="EC28" i="28"/>
  <c r="DW28" i="28"/>
  <c r="DU28" i="28"/>
  <c r="DS28" i="28"/>
  <c r="DM28" i="28"/>
  <c r="DK28" i="28"/>
  <c r="DI28" i="28"/>
  <c r="DC28" i="28"/>
  <c r="DA28" i="28"/>
  <c r="CY28" i="28"/>
  <c r="CS28" i="28"/>
  <c r="CQ28" i="28"/>
  <c r="CO28" i="28"/>
  <c r="CI28" i="28"/>
  <c r="CG28" i="28"/>
  <c r="CE28" i="28"/>
  <c r="BY28" i="28"/>
  <c r="BW28" i="28"/>
  <c r="BU28" i="28"/>
  <c r="BO28" i="28"/>
  <c r="BM28" i="28"/>
  <c r="BK28" i="28"/>
  <c r="IM27" i="28"/>
  <c r="IK27" i="28"/>
  <c r="II27" i="28"/>
  <c r="IC27" i="28"/>
  <c r="IA27" i="28"/>
  <c r="HY27" i="28"/>
  <c r="HS27" i="28"/>
  <c r="HQ27" i="28"/>
  <c r="HO27" i="28"/>
  <c r="HI27" i="28"/>
  <c r="HG27" i="28"/>
  <c r="HE27" i="28"/>
  <c r="GY27" i="28"/>
  <c r="GW27" i="28"/>
  <c r="GU27" i="28"/>
  <c r="GO27" i="28"/>
  <c r="GM27" i="28"/>
  <c r="GK27" i="28"/>
  <c r="GE27" i="28"/>
  <c r="GC27" i="28"/>
  <c r="GA27" i="28"/>
  <c r="FU27" i="28"/>
  <c r="FS27" i="28"/>
  <c r="FQ27" i="28"/>
  <c r="FK27" i="28"/>
  <c r="FI27" i="28"/>
  <c r="FG27" i="28"/>
  <c r="FA27" i="28"/>
  <c r="EY27" i="28"/>
  <c r="EW27" i="28"/>
  <c r="EQ27" i="28"/>
  <c r="EO27" i="28"/>
  <c r="EM27" i="28"/>
  <c r="EG27" i="28"/>
  <c r="EE27" i="28"/>
  <c r="EC27" i="28"/>
  <c r="DW27" i="28"/>
  <c r="DU27" i="28"/>
  <c r="DS27" i="28"/>
  <c r="DM27" i="28"/>
  <c r="DK27" i="28"/>
  <c r="DI27" i="28"/>
  <c r="DC27" i="28"/>
  <c r="DA27" i="28"/>
  <c r="CY27" i="28"/>
  <c r="CS27" i="28"/>
  <c r="CQ27" i="28"/>
  <c r="CO27" i="28"/>
  <c r="CI27" i="28"/>
  <c r="CG27" i="28"/>
  <c r="CE27" i="28"/>
  <c r="BY27" i="28"/>
  <c r="BW27" i="28"/>
  <c r="BU27" i="28"/>
  <c r="BO27" i="28"/>
  <c r="BM27" i="28"/>
  <c r="BK27" i="28"/>
  <c r="IM26" i="28"/>
  <c r="IK26" i="28"/>
  <c r="II26" i="28"/>
  <c r="IC26" i="28"/>
  <c r="IA26" i="28"/>
  <c r="HY26" i="28"/>
  <c r="HS26" i="28"/>
  <c r="HQ26" i="28"/>
  <c r="HO26" i="28"/>
  <c r="HI26" i="28"/>
  <c r="HG26" i="28"/>
  <c r="HE26" i="28"/>
  <c r="GY26" i="28"/>
  <c r="GW26" i="28"/>
  <c r="GU26" i="28"/>
  <c r="GO26" i="28"/>
  <c r="GM26" i="28"/>
  <c r="GK26" i="28"/>
  <c r="GE26" i="28"/>
  <c r="GC26" i="28"/>
  <c r="GA26" i="28"/>
  <c r="FU26" i="28"/>
  <c r="FS26" i="28"/>
  <c r="FQ26" i="28"/>
  <c r="FK26" i="28"/>
  <c r="FI26" i="28"/>
  <c r="FG26" i="28"/>
  <c r="FA26" i="28"/>
  <c r="EY26" i="28"/>
  <c r="EW26" i="28"/>
  <c r="EQ26" i="28"/>
  <c r="EO26" i="28"/>
  <c r="EM26" i="28"/>
  <c r="EG26" i="28"/>
  <c r="EE26" i="28"/>
  <c r="EC26" i="28"/>
  <c r="DW26" i="28"/>
  <c r="DU26" i="28"/>
  <c r="DS26" i="28"/>
  <c r="DM26" i="28"/>
  <c r="DK26" i="28"/>
  <c r="DI26" i="28"/>
  <c r="DC26" i="28"/>
  <c r="DA26" i="28"/>
  <c r="CY26" i="28"/>
  <c r="CS26" i="28"/>
  <c r="CQ26" i="28"/>
  <c r="CO26" i="28"/>
  <c r="CI26" i="28"/>
  <c r="CG26" i="28"/>
  <c r="CE26" i="28"/>
  <c r="BY26" i="28"/>
  <c r="BW26" i="28"/>
  <c r="BU26" i="28"/>
  <c r="BO26" i="28"/>
  <c r="BM26" i="28"/>
  <c r="BK26" i="28"/>
  <c r="IM25" i="28"/>
  <c r="IK25" i="28"/>
  <c r="II25" i="28"/>
  <c r="IC25" i="28"/>
  <c r="IA25" i="28"/>
  <c r="HY25" i="28"/>
  <c r="HS25" i="28"/>
  <c r="HQ25" i="28"/>
  <c r="HO25" i="28"/>
  <c r="HI25" i="28"/>
  <c r="HG25" i="28"/>
  <c r="HE25" i="28"/>
  <c r="GY25" i="28"/>
  <c r="GW25" i="28"/>
  <c r="GU25" i="28"/>
  <c r="GO25" i="28"/>
  <c r="GM25" i="28"/>
  <c r="GK25" i="28"/>
  <c r="GE25" i="28"/>
  <c r="GC25" i="28"/>
  <c r="GA25" i="28"/>
  <c r="FU25" i="28"/>
  <c r="FS25" i="28"/>
  <c r="FQ25" i="28"/>
  <c r="FK25" i="28"/>
  <c r="FI25" i="28"/>
  <c r="FG25" i="28"/>
  <c r="FA25" i="28"/>
  <c r="EY25" i="28"/>
  <c r="EW25" i="28"/>
  <c r="EQ25" i="28"/>
  <c r="EO25" i="28"/>
  <c r="EM25" i="28"/>
  <c r="EG25" i="28"/>
  <c r="EE25" i="28"/>
  <c r="EC25" i="28"/>
  <c r="DW25" i="28"/>
  <c r="DU25" i="28"/>
  <c r="DS25" i="28"/>
  <c r="DM25" i="28"/>
  <c r="DK25" i="28"/>
  <c r="DI25" i="28"/>
  <c r="DC25" i="28"/>
  <c r="DA25" i="28"/>
  <c r="CY25" i="28"/>
  <c r="CS25" i="28"/>
  <c r="CQ25" i="28"/>
  <c r="CO25" i="28"/>
  <c r="CI25" i="28"/>
  <c r="CG25" i="28"/>
  <c r="CE25" i="28"/>
  <c r="BY25" i="28"/>
  <c r="BW25" i="28"/>
  <c r="BU25" i="28"/>
  <c r="BO25" i="28"/>
  <c r="BM25" i="28"/>
  <c r="BK25" i="28"/>
  <c r="IM24" i="28"/>
  <c r="IK24" i="28"/>
  <c r="II24" i="28"/>
  <c r="IC24" i="28"/>
  <c r="IA24" i="28"/>
  <c r="HY24" i="28"/>
  <c r="HS24" i="28"/>
  <c r="HQ24" i="28"/>
  <c r="HO24" i="28"/>
  <c r="HI24" i="28"/>
  <c r="HG24" i="28"/>
  <c r="HE24" i="28"/>
  <c r="GY24" i="28"/>
  <c r="GW24" i="28"/>
  <c r="GU24" i="28"/>
  <c r="GO24" i="28"/>
  <c r="GM24" i="28"/>
  <c r="GK24" i="28"/>
  <c r="GE24" i="28"/>
  <c r="GC24" i="28"/>
  <c r="GA24" i="28"/>
  <c r="FU24" i="28"/>
  <c r="FS24" i="28"/>
  <c r="FQ24" i="28"/>
  <c r="FK24" i="28"/>
  <c r="FI24" i="28"/>
  <c r="FG24" i="28"/>
  <c r="FA24" i="28"/>
  <c r="EY24" i="28"/>
  <c r="EW24" i="28"/>
  <c r="EQ24" i="28"/>
  <c r="EO24" i="28"/>
  <c r="EM24" i="28"/>
  <c r="EG24" i="28"/>
  <c r="EE24" i="28"/>
  <c r="EC24" i="28"/>
  <c r="DW24" i="28"/>
  <c r="DU24" i="28"/>
  <c r="DS24" i="28"/>
  <c r="DM24" i="28"/>
  <c r="DK24" i="28"/>
  <c r="DI24" i="28"/>
  <c r="DC24" i="28"/>
  <c r="DA24" i="28"/>
  <c r="CY24" i="28"/>
  <c r="CS24" i="28"/>
  <c r="CQ24" i="28"/>
  <c r="CO24" i="28"/>
  <c r="CI24" i="28"/>
  <c r="CG24" i="28"/>
  <c r="CE24" i="28"/>
  <c r="BY24" i="28"/>
  <c r="BW24" i="28"/>
  <c r="BU24" i="28"/>
  <c r="BO24" i="28"/>
  <c r="BM24" i="28"/>
  <c r="BK24" i="28"/>
  <c r="AW24" i="28"/>
  <c r="AW25" i="28" s="1"/>
  <c r="AW26" i="28" s="1"/>
  <c r="AW27" i="28" s="1"/>
  <c r="AW28" i="28" s="1"/>
  <c r="AW29" i="28" s="1"/>
  <c r="AW30" i="28" s="1"/>
  <c r="AW31" i="28" s="1"/>
  <c r="AW32" i="28" s="1"/>
  <c r="AW33" i="28" s="1"/>
  <c r="AW34" i="28" s="1"/>
  <c r="AW35" i="28" s="1"/>
  <c r="AW36" i="28" s="1"/>
  <c r="AW37" i="28" s="1"/>
  <c r="AW38" i="28" s="1"/>
  <c r="AW39" i="28" s="1"/>
  <c r="AW40" i="28" s="1"/>
  <c r="AW41" i="28" s="1"/>
  <c r="AU24" i="28"/>
  <c r="IQ23" i="28"/>
  <c r="IM23" i="28"/>
  <c r="IK23" i="28"/>
  <c r="II23" i="28"/>
  <c r="IC23" i="28"/>
  <c r="IA23" i="28"/>
  <c r="HY23" i="28"/>
  <c r="HS23" i="28"/>
  <c r="HQ23" i="28"/>
  <c r="HO23" i="28"/>
  <c r="HI23" i="28"/>
  <c r="HG23" i="28"/>
  <c r="HE23" i="28"/>
  <c r="GY23" i="28"/>
  <c r="GW23" i="28"/>
  <c r="GU23" i="28"/>
  <c r="GO23" i="28"/>
  <c r="GM23" i="28"/>
  <c r="GK23" i="28"/>
  <c r="GE23" i="28"/>
  <c r="GC23" i="28"/>
  <c r="GA23" i="28"/>
  <c r="FU23" i="28"/>
  <c r="FS23" i="28"/>
  <c r="FQ23" i="28"/>
  <c r="FK23" i="28"/>
  <c r="FI23" i="28"/>
  <c r="FG23" i="28"/>
  <c r="FA23" i="28"/>
  <c r="EY23" i="28"/>
  <c r="EW23" i="28"/>
  <c r="EQ23" i="28"/>
  <c r="EO23" i="28"/>
  <c r="EM23" i="28"/>
  <c r="EG23" i="28"/>
  <c r="EE23" i="28"/>
  <c r="EC23" i="28"/>
  <c r="DW23" i="28"/>
  <c r="DU23" i="28"/>
  <c r="DS23" i="28"/>
  <c r="DM23" i="28"/>
  <c r="DK23" i="28"/>
  <c r="DI23" i="28"/>
  <c r="DC23" i="28"/>
  <c r="DA23" i="28"/>
  <c r="CY23" i="28"/>
  <c r="CS23" i="28"/>
  <c r="CQ23" i="28"/>
  <c r="CO23" i="28"/>
  <c r="CI23" i="28"/>
  <c r="CG23" i="28"/>
  <c r="CE23" i="28"/>
  <c r="BY23" i="28"/>
  <c r="BW23" i="28"/>
  <c r="BU23" i="28"/>
  <c r="BO23" i="28"/>
  <c r="BM23" i="28"/>
  <c r="BK23" i="28"/>
  <c r="AV23" i="28"/>
  <c r="BR20" i="28"/>
  <c r="O12" i="28"/>
  <c r="O11" i="28"/>
  <c r="O10" i="28"/>
  <c r="O9" i="28"/>
  <c r="V8" i="28"/>
  <c r="O8" i="28"/>
  <c r="V7" i="28"/>
  <c r="O7" i="28"/>
  <c r="V6" i="28"/>
  <c r="O6" i="28"/>
  <c r="C6" i="28"/>
  <c r="V5" i="28"/>
  <c r="O5" i="28"/>
  <c r="O4" i="28"/>
  <c r="C4" i="28"/>
  <c r="D4" i="28" s="1"/>
  <c r="C3" i="28"/>
  <c r="D3" i="28" s="1"/>
  <c r="J4" i="33" l="1"/>
  <c r="P14" i="33" s="1"/>
  <c r="D23" i="33"/>
  <c r="DD29" i="31"/>
  <c r="HJ28" i="31"/>
  <c r="DN29" i="31"/>
  <c r="CJ23" i="31"/>
  <c r="J3" i="31"/>
  <c r="J4" i="31" s="1"/>
  <c r="P14" i="31" s="1"/>
  <c r="J3" i="28"/>
  <c r="J3" i="29"/>
  <c r="P83" i="28"/>
  <c r="P85" i="28" s="1"/>
  <c r="AB76" i="28" s="1"/>
  <c r="P76" i="28"/>
  <c r="P78" i="28" s="1"/>
  <c r="AB75" i="28" s="1"/>
  <c r="P76" i="31"/>
  <c r="P78" i="31" s="1"/>
  <c r="P83" i="31"/>
  <c r="P85" i="31" s="1"/>
  <c r="P76" i="29"/>
  <c r="P78" i="29" s="1"/>
  <c r="P83" i="29"/>
  <c r="P85" i="29" s="1"/>
  <c r="AB76" i="29" s="1"/>
  <c r="E56" i="37"/>
  <c r="D51" i="34"/>
  <c r="D51" i="36"/>
  <c r="GI21" i="40"/>
  <c r="R18" i="40"/>
  <c r="GI23" i="40"/>
  <c r="R20" i="40"/>
  <c r="GI27" i="40"/>
  <c r="R24" i="40"/>
  <c r="B36" i="40"/>
  <c r="D35" i="40"/>
  <c r="E35" i="40"/>
  <c r="F35" i="40"/>
  <c r="G35" i="40"/>
  <c r="H35" i="40"/>
  <c r="I35" i="40"/>
  <c r="J35" i="40"/>
  <c r="K35" i="40"/>
  <c r="L35" i="40"/>
  <c r="M35" i="40"/>
  <c r="N35" i="40"/>
  <c r="O35" i="40"/>
  <c r="HA30" i="40"/>
  <c r="GR30" i="40" s="1"/>
  <c r="HA31" i="40"/>
  <c r="GR31" i="40" s="1"/>
  <c r="HA29" i="40"/>
  <c r="GR29" i="40" s="1"/>
  <c r="HA25" i="40"/>
  <c r="GR25" i="40" s="1"/>
  <c r="HA26" i="40"/>
  <c r="GR26" i="40" s="1"/>
  <c r="HA27" i="40"/>
  <c r="GR27" i="40" s="1"/>
  <c r="HA28" i="40"/>
  <c r="GR28" i="40" s="1"/>
  <c r="HA22" i="40"/>
  <c r="GR22" i="40" s="1"/>
  <c r="GS18" i="40"/>
  <c r="HA20" i="40"/>
  <c r="GR20" i="40" s="1"/>
  <c r="HA23" i="40"/>
  <c r="GR23" i="40" s="1"/>
  <c r="HA21" i="40"/>
  <c r="GR21" i="40" s="1"/>
  <c r="HA24" i="40"/>
  <c r="GR24" i="40" s="1"/>
  <c r="HB18" i="40"/>
  <c r="GI25" i="40"/>
  <c r="R22" i="40"/>
  <c r="GI30" i="40"/>
  <c r="R27" i="40"/>
  <c r="AV38" i="40"/>
  <c r="AU39" i="40"/>
  <c r="AV39" i="40" s="1"/>
  <c r="GI24" i="40"/>
  <c r="R21" i="40"/>
  <c r="GI20" i="40"/>
  <c r="R17" i="40"/>
  <c r="GI28" i="40"/>
  <c r="R25" i="40"/>
  <c r="GI26" i="40"/>
  <c r="R23" i="40"/>
  <c r="GI29" i="40"/>
  <c r="R26" i="40"/>
  <c r="GI22" i="40"/>
  <c r="R19" i="40"/>
  <c r="GI31" i="40"/>
  <c r="R28" i="40"/>
  <c r="AM48" i="37"/>
  <c r="AL50" i="37"/>
  <c r="AN54" i="37" s="1"/>
  <c r="G32" i="37"/>
  <c r="B33" i="37"/>
  <c r="D32" i="37"/>
  <c r="E32" i="37"/>
  <c r="F32" i="37"/>
  <c r="H32" i="37"/>
  <c r="E20" i="34"/>
  <c r="BS26" i="34"/>
  <c r="BI27" i="34"/>
  <c r="E24" i="34"/>
  <c r="E21" i="34"/>
  <c r="BI24" i="34"/>
  <c r="CL27" i="34"/>
  <c r="BR27" i="34"/>
  <c r="CB27" i="34"/>
  <c r="AX27" i="34"/>
  <c r="BI37" i="33"/>
  <c r="E37" i="33"/>
  <c r="D30" i="33"/>
  <c r="D20" i="33"/>
  <c r="CC28" i="33"/>
  <c r="D31" i="33"/>
  <c r="AY36" i="33"/>
  <c r="E27" i="33"/>
  <c r="BS22" i="33"/>
  <c r="E33" i="33"/>
  <c r="D35" i="33"/>
  <c r="BI35" i="33"/>
  <c r="AY41" i="33"/>
  <c r="BS25" i="33"/>
  <c r="E29" i="33"/>
  <c r="D34" i="33"/>
  <c r="ER35" i="31"/>
  <c r="FL37" i="31"/>
  <c r="DN36" i="31"/>
  <c r="DX33" i="31"/>
  <c r="DD35" i="31"/>
  <c r="EH34" i="31"/>
  <c r="ID33" i="31"/>
  <c r="BZ34" i="31"/>
  <c r="HT33" i="31"/>
  <c r="CA40" i="31"/>
  <c r="BR40" i="31" s="1"/>
  <c r="BS40" i="31" s="1"/>
  <c r="DD41" i="31"/>
  <c r="EH40" i="31"/>
  <c r="BP35" i="31"/>
  <c r="GZ33" i="31"/>
  <c r="CJ30" i="31"/>
  <c r="HJ29" i="31"/>
  <c r="FB29" i="31"/>
  <c r="BP24" i="31"/>
  <c r="CB20" i="31"/>
  <c r="CK32" i="31" s="1"/>
  <c r="CB32" i="31" s="1"/>
  <c r="CC32" i="31" s="1"/>
  <c r="CJ33" i="31"/>
  <c r="FV32" i="31"/>
  <c r="FB32" i="31"/>
  <c r="EH28" i="31"/>
  <c r="EH26" i="31"/>
  <c r="IN25" i="31"/>
  <c r="FL25" i="31"/>
  <c r="DD25" i="31"/>
  <c r="BP25" i="31"/>
  <c r="HJ24" i="31"/>
  <c r="FV24" i="31"/>
  <c r="CJ37" i="31"/>
  <c r="DD33" i="31"/>
  <c r="CT22" i="31"/>
  <c r="CA36" i="31"/>
  <c r="BR36" i="31" s="1"/>
  <c r="BS36" i="31" s="1"/>
  <c r="BQ34" i="31"/>
  <c r="BH34" i="31" s="1"/>
  <c r="BI34" i="31" s="1"/>
  <c r="FB33" i="31"/>
  <c r="BP33" i="31"/>
  <c r="GZ32" i="31"/>
  <c r="BQ32" i="31"/>
  <c r="BH32" i="31" s="1"/>
  <c r="BI32" i="31" s="1"/>
  <c r="CK31" i="31"/>
  <c r="CB31" i="31" s="1"/>
  <c r="CC31" i="31" s="1"/>
  <c r="BQ30" i="31"/>
  <c r="BH30" i="31" s="1"/>
  <c r="BI30" i="31" s="1"/>
  <c r="HT29" i="31"/>
  <c r="GF29" i="31"/>
  <c r="FL27" i="31"/>
  <c r="BQ24" i="31"/>
  <c r="BH24" i="31" s="1"/>
  <c r="BI24" i="31" s="1"/>
  <c r="CT23" i="31"/>
  <c r="FL22" i="31"/>
  <c r="HJ22" i="31"/>
  <c r="DN41" i="31"/>
  <c r="BP40" i="31"/>
  <c r="DX38" i="31"/>
  <c r="BP30" i="31"/>
  <c r="IN28" i="31"/>
  <c r="FV28" i="31"/>
  <c r="CJ27" i="31"/>
  <c r="FV26" i="31"/>
  <c r="CT26" i="31"/>
  <c r="GZ25" i="31"/>
  <c r="DX25" i="31"/>
  <c r="CT24" i="31"/>
  <c r="GZ23" i="31"/>
  <c r="DX23" i="31"/>
  <c r="CK29" i="31"/>
  <c r="CB29" i="31" s="1"/>
  <c r="CC29" i="31" s="1"/>
  <c r="BS20" i="31"/>
  <c r="BF34" i="31"/>
  <c r="FL41" i="31"/>
  <c r="DN40" i="31"/>
  <c r="CT40" i="31"/>
  <c r="BP39" i="31"/>
  <c r="FB38" i="31"/>
  <c r="BQ35" i="31"/>
  <c r="BH35" i="31" s="1"/>
  <c r="BI35" i="31" s="1"/>
  <c r="GF33" i="31"/>
  <c r="ER33" i="31"/>
  <c r="HT32" i="31"/>
  <c r="BZ30" i="31"/>
  <c r="ER29" i="31"/>
  <c r="CT29" i="31"/>
  <c r="BP29" i="31"/>
  <c r="DX28" i="31"/>
  <c r="CJ28" i="31"/>
  <c r="CA28" i="31"/>
  <c r="BR28" i="31" s="1"/>
  <c r="BS28" i="31" s="1"/>
  <c r="DX26" i="31"/>
  <c r="ID25" i="31"/>
  <c r="FB25" i="31"/>
  <c r="DD24" i="31"/>
  <c r="BF26" i="28"/>
  <c r="D52" i="37"/>
  <c r="E51" i="37"/>
  <c r="CM32" i="37"/>
  <c r="CM39" i="37"/>
  <c r="CM35" i="37"/>
  <c r="CM36" i="37"/>
  <c r="CM41" i="37"/>
  <c r="CM24" i="37"/>
  <c r="CM25" i="37"/>
  <c r="CM23" i="37"/>
  <c r="CM30" i="37"/>
  <c r="CM40" i="37"/>
  <c r="CM26" i="37"/>
  <c r="CM29" i="37"/>
  <c r="CM27" i="37"/>
  <c r="CM34" i="37"/>
  <c r="CM38" i="37"/>
  <c r="D58" i="37"/>
  <c r="DE39" i="37"/>
  <c r="CV39" i="37" s="1"/>
  <c r="DE40" i="37"/>
  <c r="CV40" i="37" s="1"/>
  <c r="DE36" i="37"/>
  <c r="CV36" i="37" s="1"/>
  <c r="DE41" i="37"/>
  <c r="CV41" i="37" s="1"/>
  <c r="DE37" i="37"/>
  <c r="CV37" i="37" s="1"/>
  <c r="DE32" i="37"/>
  <c r="CV32" i="37" s="1"/>
  <c r="I29" i="37" s="1"/>
  <c r="DE33" i="37"/>
  <c r="CV33" i="37" s="1"/>
  <c r="I30" i="37" s="1"/>
  <c r="DE34" i="37"/>
  <c r="CV34" i="37" s="1"/>
  <c r="I31" i="37" s="1"/>
  <c r="DE30" i="37"/>
  <c r="CV30" i="37" s="1"/>
  <c r="I27" i="37" s="1"/>
  <c r="DE35" i="37"/>
  <c r="CV35" i="37" s="1"/>
  <c r="I32" i="37" s="1"/>
  <c r="DE26" i="37"/>
  <c r="CV26" i="37" s="1"/>
  <c r="I23" i="37" s="1"/>
  <c r="DE38" i="37"/>
  <c r="CV38" i="37" s="1"/>
  <c r="DE27" i="37"/>
  <c r="CV27" i="37" s="1"/>
  <c r="I24" i="37" s="1"/>
  <c r="DE28" i="37"/>
  <c r="CV28" i="37" s="1"/>
  <c r="I25" i="37" s="1"/>
  <c r="DE31" i="37"/>
  <c r="CV31" i="37" s="1"/>
  <c r="I28" i="37" s="1"/>
  <c r="DE29" i="37"/>
  <c r="CV29" i="37" s="1"/>
  <c r="I26" i="37" s="1"/>
  <c r="DE23" i="37"/>
  <c r="CV23" i="37" s="1"/>
  <c r="I20" i="37" s="1"/>
  <c r="DE24" i="37"/>
  <c r="CV24" i="37" s="1"/>
  <c r="I21" i="37" s="1"/>
  <c r="DF20" i="37"/>
  <c r="CW20" i="37"/>
  <c r="DE25" i="37"/>
  <c r="CV25" i="37" s="1"/>
  <c r="I22" i="37" s="1"/>
  <c r="CM28" i="37"/>
  <c r="CM31" i="37"/>
  <c r="CM33" i="37"/>
  <c r="CM37" i="37"/>
  <c r="AV28" i="37"/>
  <c r="AU29" i="37"/>
  <c r="F56" i="36"/>
  <c r="AN48" i="36"/>
  <c r="I23" i="36"/>
  <c r="CW26" i="36"/>
  <c r="I21" i="36"/>
  <c r="CW24" i="36"/>
  <c r="AV28" i="36"/>
  <c r="AU29" i="36"/>
  <c r="I20" i="36"/>
  <c r="CW23" i="36"/>
  <c r="I22" i="36"/>
  <c r="CW25" i="36"/>
  <c r="I25" i="36"/>
  <c r="CW28" i="36"/>
  <c r="I29" i="36"/>
  <c r="CW32" i="36"/>
  <c r="I26" i="36"/>
  <c r="CW29" i="36"/>
  <c r="I24" i="36"/>
  <c r="CW27" i="36"/>
  <c r="I30" i="36"/>
  <c r="CW33" i="36"/>
  <c r="W8" i="36"/>
  <c r="F9" i="36"/>
  <c r="C46" i="36" s="1"/>
  <c r="H51" i="36" s="1"/>
  <c r="C11" i="36"/>
  <c r="P10" i="36" s="1"/>
  <c r="DO31" i="36"/>
  <c r="DF31" i="36" s="1"/>
  <c r="DO32" i="36"/>
  <c r="DF32" i="36" s="1"/>
  <c r="DO30" i="36"/>
  <c r="DF30" i="36" s="1"/>
  <c r="DO29" i="36"/>
  <c r="DF29" i="36" s="1"/>
  <c r="DO33" i="36"/>
  <c r="DF33" i="36" s="1"/>
  <c r="DO26" i="36"/>
  <c r="DF26" i="36" s="1"/>
  <c r="DO27" i="36"/>
  <c r="DF27" i="36" s="1"/>
  <c r="DO23" i="36"/>
  <c r="DF23" i="36" s="1"/>
  <c r="DO28" i="36"/>
  <c r="DF28" i="36" s="1"/>
  <c r="DO24" i="36"/>
  <c r="DF24" i="36" s="1"/>
  <c r="DO25" i="36"/>
  <c r="DF25" i="36" s="1"/>
  <c r="DO22" i="36"/>
  <c r="DF22" i="36" s="1"/>
  <c r="DP20" i="36"/>
  <c r="DG20" i="36"/>
  <c r="I19" i="36"/>
  <c r="CW22" i="36"/>
  <c r="I27" i="36"/>
  <c r="CW30" i="36"/>
  <c r="I28" i="36"/>
  <c r="CW31" i="36"/>
  <c r="C45" i="35"/>
  <c r="DE39" i="35"/>
  <c r="CV39" i="35" s="1"/>
  <c r="DE35" i="35"/>
  <c r="CV35" i="35" s="1"/>
  <c r="DE40" i="35"/>
  <c r="CV40" i="35" s="1"/>
  <c r="DE36" i="35"/>
  <c r="CV36" i="35" s="1"/>
  <c r="DE31" i="35"/>
  <c r="CV31" i="35" s="1"/>
  <c r="DE41" i="35"/>
  <c r="CV41" i="35" s="1"/>
  <c r="DE32" i="35"/>
  <c r="CV32" i="35" s="1"/>
  <c r="DE38" i="35"/>
  <c r="CV38" i="35" s="1"/>
  <c r="DE33" i="35"/>
  <c r="CV33" i="35" s="1"/>
  <c r="DE37" i="35"/>
  <c r="CV37" i="35" s="1"/>
  <c r="DE34" i="35"/>
  <c r="CV34" i="35" s="1"/>
  <c r="DE30" i="35"/>
  <c r="CV30" i="35" s="1"/>
  <c r="DE28" i="35"/>
  <c r="CV28" i="35" s="1"/>
  <c r="DE27" i="35"/>
  <c r="CV27" i="35" s="1"/>
  <c r="DE26" i="35"/>
  <c r="CV26" i="35" s="1"/>
  <c r="DE24" i="35"/>
  <c r="CV24" i="35" s="1"/>
  <c r="DE23" i="35"/>
  <c r="CV23" i="35" s="1"/>
  <c r="DF20" i="35"/>
  <c r="DE25" i="35"/>
  <c r="CV25" i="35" s="1"/>
  <c r="DE22" i="35"/>
  <c r="CV22" i="35" s="1"/>
  <c r="CW20" i="35"/>
  <c r="DE29" i="35"/>
  <c r="CV29" i="35" s="1"/>
  <c r="H20" i="35"/>
  <c r="CM23" i="35"/>
  <c r="H25" i="35"/>
  <c r="CM28" i="35"/>
  <c r="H28" i="35"/>
  <c r="CM31" i="35"/>
  <c r="H30" i="35"/>
  <c r="CM33" i="35"/>
  <c r="H38" i="35"/>
  <c r="CM41" i="35"/>
  <c r="H23" i="35"/>
  <c r="CM26" i="35"/>
  <c r="H21" i="35"/>
  <c r="CM24" i="35"/>
  <c r="H36" i="35"/>
  <c r="CM39" i="35"/>
  <c r="H24" i="35"/>
  <c r="CM27" i="35"/>
  <c r="H29" i="35"/>
  <c r="CM32" i="35"/>
  <c r="H33" i="35"/>
  <c r="CM36" i="35"/>
  <c r="H32" i="35"/>
  <c r="CM35" i="35"/>
  <c r="H19" i="35"/>
  <c r="CM22" i="35"/>
  <c r="H26" i="35"/>
  <c r="CM29" i="35"/>
  <c r="H35" i="35"/>
  <c r="CM38" i="35"/>
  <c r="H31" i="35"/>
  <c r="CM34" i="35"/>
  <c r="H37" i="35"/>
  <c r="CM40" i="35"/>
  <c r="H22" i="35"/>
  <c r="CM25" i="35"/>
  <c r="H27" i="35"/>
  <c r="CM30" i="35"/>
  <c r="H34" i="35"/>
  <c r="CM37" i="35"/>
  <c r="AU27" i="35"/>
  <c r="AV26" i="35"/>
  <c r="I19" i="34"/>
  <c r="CW22" i="34"/>
  <c r="I24" i="34"/>
  <c r="CW27" i="34"/>
  <c r="DO39" i="34"/>
  <c r="DO41" i="34"/>
  <c r="DO34" i="34"/>
  <c r="DO38" i="34"/>
  <c r="DO35" i="34"/>
  <c r="DO31" i="34"/>
  <c r="DO36" i="34"/>
  <c r="DO32" i="34"/>
  <c r="DO40" i="34"/>
  <c r="DO37" i="34"/>
  <c r="DO33" i="34"/>
  <c r="DO27" i="34"/>
  <c r="DF27" i="34" s="1"/>
  <c r="DO29" i="34"/>
  <c r="DO30" i="34"/>
  <c r="DO26" i="34"/>
  <c r="DF26" i="34" s="1"/>
  <c r="DO28" i="34"/>
  <c r="DO23" i="34"/>
  <c r="DF23" i="34" s="1"/>
  <c r="DO24" i="34"/>
  <c r="DF24" i="34" s="1"/>
  <c r="DO25" i="34"/>
  <c r="DF25" i="34" s="1"/>
  <c r="DO22" i="34"/>
  <c r="DF22" i="34" s="1"/>
  <c r="DP20" i="34"/>
  <c r="DG20" i="34"/>
  <c r="I21" i="34"/>
  <c r="CW24" i="34"/>
  <c r="I23" i="34"/>
  <c r="CW26" i="34"/>
  <c r="I20" i="34"/>
  <c r="CW23" i="34"/>
  <c r="AU28" i="34"/>
  <c r="IQ28" i="34" s="1"/>
  <c r="CV28" i="34" s="1"/>
  <c r="AV27" i="34"/>
  <c r="W8" i="34"/>
  <c r="F9" i="34"/>
  <c r="C46" i="34" s="1"/>
  <c r="H51" i="34" s="1"/>
  <c r="I22" i="34"/>
  <c r="CW25" i="34"/>
  <c r="F56" i="34"/>
  <c r="AN48" i="34"/>
  <c r="AN53" i="34" s="1"/>
  <c r="EH24" i="31"/>
  <c r="BP22" i="31"/>
  <c r="DN22" i="31"/>
  <c r="AV24" i="31"/>
  <c r="ER41" i="31"/>
  <c r="DX41" i="31"/>
  <c r="BZ41" i="31"/>
  <c r="BZ40" i="31"/>
  <c r="FL39" i="31"/>
  <c r="EH39" i="31"/>
  <c r="BQ39" i="31"/>
  <c r="BH39" i="31" s="1"/>
  <c r="BI39" i="31" s="1"/>
  <c r="EH38" i="31"/>
  <c r="DN38" i="31"/>
  <c r="CJ38" i="31"/>
  <c r="DN37" i="31"/>
  <c r="BQ37" i="31"/>
  <c r="BH37" i="31" s="1"/>
  <c r="BI37" i="31" s="1"/>
  <c r="ER36" i="31"/>
  <c r="BP36" i="31"/>
  <c r="CT35" i="31"/>
  <c r="DD34" i="31"/>
  <c r="BP34" i="31"/>
  <c r="FV33" i="31"/>
  <c r="CT33" i="31"/>
  <c r="ID32" i="31"/>
  <c r="FL32" i="31"/>
  <c r="CA32" i="31"/>
  <c r="BR32" i="31" s="1"/>
  <c r="BS32" i="31" s="1"/>
  <c r="BZ32" i="31"/>
  <c r="DD31" i="31"/>
  <c r="FV30" i="31"/>
  <c r="CA30" i="31"/>
  <c r="BR30" i="31" s="1"/>
  <c r="BS30" i="31" s="1"/>
  <c r="CA29" i="31"/>
  <c r="BR29" i="31" s="1"/>
  <c r="BS29" i="31" s="1"/>
  <c r="BQ29" i="31"/>
  <c r="BH29" i="31" s="1"/>
  <c r="BI29" i="31" s="1"/>
  <c r="ER31" i="31"/>
  <c r="BG22" i="31"/>
  <c r="AX22" i="31" s="1"/>
  <c r="D19" i="31" s="1"/>
  <c r="GF22" i="31"/>
  <c r="ID22" i="31"/>
  <c r="BF26" i="31"/>
  <c r="BF30" i="31"/>
  <c r="CJ41" i="31"/>
  <c r="ER40" i="31"/>
  <c r="BQ40" i="31"/>
  <c r="BH40" i="31" s="1"/>
  <c r="BI40" i="31" s="1"/>
  <c r="ER39" i="31"/>
  <c r="DX39" i="31"/>
  <c r="CT39" i="31"/>
  <c r="CT38" i="31"/>
  <c r="BZ38" i="31"/>
  <c r="DX37" i="31"/>
  <c r="CK37" i="31"/>
  <c r="CB37" i="31" s="1"/>
  <c r="CC37" i="31" s="1"/>
  <c r="FB36" i="31"/>
  <c r="BZ36" i="31"/>
  <c r="CT34" i="31"/>
  <c r="IN33" i="31"/>
  <c r="GP33" i="31"/>
  <c r="FL33" i="31"/>
  <c r="DN33" i="31"/>
  <c r="CA33" i="31"/>
  <c r="BR33" i="31" s="1"/>
  <c r="BS33" i="31" s="1"/>
  <c r="IN32" i="31"/>
  <c r="HT31" i="31"/>
  <c r="BQ31" i="31"/>
  <c r="BH31" i="31" s="1"/>
  <c r="BI31" i="31" s="1"/>
  <c r="BP31" i="31"/>
  <c r="EH30" i="31"/>
  <c r="CA25" i="31"/>
  <c r="BR25" i="31" s="1"/>
  <c r="BS25" i="31" s="1"/>
  <c r="CA31" i="31"/>
  <c r="BR31" i="31" s="1"/>
  <c r="BS31" i="31" s="1"/>
  <c r="FV22" i="31"/>
  <c r="HT22" i="31"/>
  <c r="BG33" i="31"/>
  <c r="AX33" i="31" s="1"/>
  <c r="D30" i="31" s="1"/>
  <c r="BG35" i="31"/>
  <c r="AX35" i="31" s="1"/>
  <c r="D32" i="31" s="1"/>
  <c r="BG37" i="31"/>
  <c r="AX37" i="31" s="1"/>
  <c r="AY37" i="31" s="1"/>
  <c r="FB41" i="31"/>
  <c r="CK41" i="31"/>
  <c r="CB41" i="31" s="1"/>
  <c r="CC41" i="31" s="1"/>
  <c r="CA41" i="31"/>
  <c r="BR41" i="31" s="1"/>
  <c r="BS41" i="31" s="1"/>
  <c r="BP41" i="31"/>
  <c r="FB40" i="31"/>
  <c r="DD40" i="31"/>
  <c r="DD39" i="31"/>
  <c r="CJ39" i="31"/>
  <c r="FL38" i="31"/>
  <c r="CK38" i="31"/>
  <c r="CB38" i="31" s="1"/>
  <c r="CC38" i="31" s="1"/>
  <c r="FB37" i="31"/>
  <c r="BZ37" i="31"/>
  <c r="DD36" i="31"/>
  <c r="EH35" i="31"/>
  <c r="CK35" i="31"/>
  <c r="CB35" i="31" s="1"/>
  <c r="CC35" i="31" s="1"/>
  <c r="FL34" i="31"/>
  <c r="HJ33" i="31"/>
  <c r="EH33" i="31"/>
  <c r="ER32" i="31"/>
  <c r="GF31" i="31"/>
  <c r="HJ30" i="31"/>
  <c r="CT30" i="31"/>
  <c r="GF28" i="31"/>
  <c r="CT28" i="31"/>
  <c r="IN27" i="31"/>
  <c r="GZ27" i="31"/>
  <c r="FL23" i="31"/>
  <c r="BZ33" i="31"/>
  <c r="HJ32" i="31"/>
  <c r="EH32" i="31"/>
  <c r="BQ25" i="31"/>
  <c r="BH25" i="31" s="1"/>
  <c r="BI25" i="31" s="1"/>
  <c r="ER24" i="31"/>
  <c r="FV23" i="31"/>
  <c r="GP32" i="31"/>
  <c r="GF32" i="31"/>
  <c r="DX32" i="31"/>
  <c r="DN32" i="31"/>
  <c r="DD32" i="31"/>
  <c r="BP32" i="31"/>
  <c r="HJ31" i="31"/>
  <c r="FV31" i="31"/>
  <c r="EH31" i="31"/>
  <c r="CT31" i="31"/>
  <c r="IN30" i="31"/>
  <c r="GZ30" i="31"/>
  <c r="FL30" i="31"/>
  <c r="DX30" i="31"/>
  <c r="GP26" i="31"/>
  <c r="FL26" i="31"/>
  <c r="CJ26" i="31"/>
  <c r="GP25" i="31"/>
  <c r="DN25" i="31"/>
  <c r="BZ25" i="31"/>
  <c r="HT24" i="31"/>
  <c r="GF24" i="31"/>
  <c r="CK24" i="31"/>
  <c r="CB24" i="31" s="1"/>
  <c r="CC24" i="31" s="1"/>
  <c r="HJ23" i="31"/>
  <c r="EH23" i="31"/>
  <c r="ID27" i="31"/>
  <c r="GP27" i="31"/>
  <c r="FB27" i="31"/>
  <c r="AY29" i="33"/>
  <c r="C45" i="33"/>
  <c r="F8" i="33"/>
  <c r="C11" i="33" s="1"/>
  <c r="P10" i="33" s="1"/>
  <c r="E38" i="33"/>
  <c r="BI41" i="33"/>
  <c r="G19" i="33"/>
  <c r="CC22" i="33"/>
  <c r="G27" i="33"/>
  <c r="CC30" i="33"/>
  <c r="G32" i="33"/>
  <c r="CC35" i="33"/>
  <c r="G34" i="33"/>
  <c r="CC37" i="33"/>
  <c r="G37" i="33"/>
  <c r="CC40" i="33"/>
  <c r="E24" i="33"/>
  <c r="BI27" i="33"/>
  <c r="G21" i="33"/>
  <c r="CC24" i="33"/>
  <c r="E26" i="33"/>
  <c r="BI29" i="33"/>
  <c r="D24" i="33"/>
  <c r="AY27" i="33"/>
  <c r="CU39" i="33"/>
  <c r="CL39" i="33" s="1"/>
  <c r="CU35" i="33"/>
  <c r="CL35" i="33" s="1"/>
  <c r="CU40" i="33"/>
  <c r="CL40" i="33" s="1"/>
  <c r="CU36" i="33"/>
  <c r="CL36" i="33" s="1"/>
  <c r="CU41" i="33"/>
  <c r="CL41" i="33" s="1"/>
  <c r="CU37" i="33"/>
  <c r="CL37" i="33" s="1"/>
  <c r="CU31" i="33"/>
  <c r="CL31" i="33" s="1"/>
  <c r="CU32" i="33"/>
  <c r="CL32" i="33" s="1"/>
  <c r="CU34" i="33"/>
  <c r="CL34" i="33" s="1"/>
  <c r="CU33" i="33"/>
  <c r="CL33" i="33" s="1"/>
  <c r="CU29" i="33"/>
  <c r="CL29" i="33" s="1"/>
  <c r="CU30" i="33"/>
  <c r="CL30" i="33" s="1"/>
  <c r="CU28" i="33"/>
  <c r="CL28" i="33" s="1"/>
  <c r="CU24" i="33"/>
  <c r="CL24" i="33" s="1"/>
  <c r="CU23" i="33"/>
  <c r="CL23" i="33" s="1"/>
  <c r="CU25" i="33"/>
  <c r="CL25" i="33" s="1"/>
  <c r="CU22" i="33"/>
  <c r="CL22" i="33" s="1"/>
  <c r="CU38" i="33"/>
  <c r="CL38" i="33" s="1"/>
  <c r="CU26" i="33"/>
  <c r="CL26" i="33" s="1"/>
  <c r="CV20" i="33"/>
  <c r="CM20" i="33"/>
  <c r="CU27" i="33"/>
  <c r="CL27" i="33" s="1"/>
  <c r="F24" i="33"/>
  <c r="BS27" i="33"/>
  <c r="F37" i="33"/>
  <c r="BS40" i="33"/>
  <c r="F32" i="33"/>
  <c r="BS35" i="33"/>
  <c r="F35" i="33"/>
  <c r="BS38" i="33"/>
  <c r="G28" i="33"/>
  <c r="CC31" i="33"/>
  <c r="G24" i="33"/>
  <c r="CC27" i="33"/>
  <c r="G36" i="33"/>
  <c r="CC39" i="33"/>
  <c r="G29" i="33"/>
  <c r="CC32" i="33"/>
  <c r="G38" i="33"/>
  <c r="CC41" i="33"/>
  <c r="E23" i="33"/>
  <c r="BI26" i="33"/>
  <c r="D22" i="33"/>
  <c r="AY25" i="33"/>
  <c r="F21" i="33"/>
  <c r="BS24" i="33"/>
  <c r="F23" i="33"/>
  <c r="BS26" i="33"/>
  <c r="F26" i="33"/>
  <c r="BS29" i="33"/>
  <c r="F36" i="33"/>
  <c r="BS39" i="33"/>
  <c r="F34" i="33"/>
  <c r="BS37" i="33"/>
  <c r="AU28" i="33"/>
  <c r="AV27" i="33"/>
  <c r="D32" i="33"/>
  <c r="AY35" i="33"/>
  <c r="E36" i="33"/>
  <c r="BI39" i="33"/>
  <c r="E35" i="33"/>
  <c r="BI38" i="33"/>
  <c r="E30" i="33"/>
  <c r="BI33" i="33"/>
  <c r="G20" i="33"/>
  <c r="CC23" i="33"/>
  <c r="D25" i="33"/>
  <c r="AY28" i="33"/>
  <c r="G23" i="33"/>
  <c r="CC26" i="33"/>
  <c r="G26" i="33"/>
  <c r="CC29" i="33"/>
  <c r="G31" i="33"/>
  <c r="CC34" i="33"/>
  <c r="D27" i="33"/>
  <c r="AY30" i="33"/>
  <c r="AY22" i="33"/>
  <c r="E20" i="33"/>
  <c r="BI23" i="33"/>
  <c r="F25" i="33"/>
  <c r="BS28" i="33"/>
  <c r="F28" i="33"/>
  <c r="BS31" i="33"/>
  <c r="F30" i="33"/>
  <c r="BS33" i="33"/>
  <c r="F38" i="33"/>
  <c r="BS41" i="33"/>
  <c r="D36" i="33"/>
  <c r="AY39" i="33"/>
  <c r="F20" i="33"/>
  <c r="BS23" i="33"/>
  <c r="D29" i="33"/>
  <c r="AY32" i="33"/>
  <c r="D21" i="33"/>
  <c r="AY24" i="33"/>
  <c r="G22" i="33"/>
  <c r="CC25" i="33"/>
  <c r="G30" i="33"/>
  <c r="CC33" i="33"/>
  <c r="G35" i="33"/>
  <c r="CC38" i="33"/>
  <c r="G33" i="33"/>
  <c r="CC36" i="33"/>
  <c r="W7" i="33"/>
  <c r="F29" i="33"/>
  <c r="BS32" i="33"/>
  <c r="F27" i="33"/>
  <c r="BS30" i="33"/>
  <c r="F33" i="33"/>
  <c r="BS36" i="33"/>
  <c r="F31" i="33"/>
  <c r="BS34" i="33"/>
  <c r="E19" i="33"/>
  <c r="BI22" i="33"/>
  <c r="CA37" i="31"/>
  <c r="BR37" i="31" s="1"/>
  <c r="BS37" i="31" s="1"/>
  <c r="BQ36" i="31"/>
  <c r="BH36" i="31" s="1"/>
  <c r="BI36" i="31" s="1"/>
  <c r="EH41" i="31"/>
  <c r="CT41" i="31"/>
  <c r="FL40" i="31"/>
  <c r="DX40" i="31"/>
  <c r="CJ40" i="31"/>
  <c r="FB39" i="31"/>
  <c r="DN39" i="31"/>
  <c r="BZ39" i="31"/>
  <c r="ER38" i="31"/>
  <c r="DD38" i="31"/>
  <c r="BP38" i="31"/>
  <c r="ER37" i="31"/>
  <c r="EH37" i="31"/>
  <c r="DD37" i="31"/>
  <c r="CT37" i="31"/>
  <c r="BP37" i="31"/>
  <c r="FL36" i="31"/>
  <c r="EH36" i="31"/>
  <c r="DX36" i="31"/>
  <c r="CT36" i="31"/>
  <c r="CJ36" i="31"/>
  <c r="FL35" i="31"/>
  <c r="FB35" i="31"/>
  <c r="DX35" i="31"/>
  <c r="DN35" i="31"/>
  <c r="CJ35" i="31"/>
  <c r="BZ35" i="31"/>
  <c r="FB34" i="31"/>
  <c r="ER34" i="31"/>
  <c r="DN34" i="31"/>
  <c r="BQ41" i="31"/>
  <c r="BH41" i="31" s="1"/>
  <c r="BI41" i="31" s="1"/>
  <c r="CK40" i="31"/>
  <c r="CB40" i="31" s="1"/>
  <c r="CC40" i="31" s="1"/>
  <c r="CK39" i="31"/>
  <c r="CB39" i="31" s="1"/>
  <c r="CC39" i="31" s="1"/>
  <c r="CA39" i="31"/>
  <c r="BR39" i="31" s="1"/>
  <c r="BS39" i="31" s="1"/>
  <c r="CA38" i="31"/>
  <c r="BR38" i="31" s="1"/>
  <c r="BS38" i="31" s="1"/>
  <c r="BQ38" i="31"/>
  <c r="BH38" i="31" s="1"/>
  <c r="BI38" i="31" s="1"/>
  <c r="CK36" i="31"/>
  <c r="CB36" i="31" s="1"/>
  <c r="CC36" i="31" s="1"/>
  <c r="CA35" i="31"/>
  <c r="BR35" i="31" s="1"/>
  <c r="BS35" i="31" s="1"/>
  <c r="DX34" i="31"/>
  <c r="CJ34" i="31"/>
  <c r="DD28" i="31"/>
  <c r="DX27" i="31"/>
  <c r="ID26" i="31"/>
  <c r="BP28" i="31"/>
  <c r="BQ28" i="31"/>
  <c r="BH28" i="31" s="1"/>
  <c r="BI28" i="31" s="1"/>
  <c r="DD27" i="31"/>
  <c r="HJ26" i="31"/>
  <c r="CA34" i="31"/>
  <c r="BR34" i="31" s="1"/>
  <c r="BS34" i="31" s="1"/>
  <c r="BQ33" i="31"/>
  <c r="BH33" i="31" s="1"/>
  <c r="BI33" i="31" s="1"/>
  <c r="CT32" i="31"/>
  <c r="CJ32" i="31"/>
  <c r="IN31" i="31"/>
  <c r="ID31" i="31"/>
  <c r="GZ31" i="31"/>
  <c r="GP31" i="31"/>
  <c r="FL31" i="31"/>
  <c r="FB31" i="31"/>
  <c r="DX31" i="31"/>
  <c r="DN31" i="31"/>
  <c r="CJ31" i="31"/>
  <c r="BZ31" i="31"/>
  <c r="ID30" i="31"/>
  <c r="HT30" i="31"/>
  <c r="GP30" i="31"/>
  <c r="GF30" i="31"/>
  <c r="FB30" i="31"/>
  <c r="ER30" i="31"/>
  <c r="DN30" i="31"/>
  <c r="DD30" i="31"/>
  <c r="ID29" i="31"/>
  <c r="FV29" i="31"/>
  <c r="BZ29" i="31"/>
  <c r="GZ28" i="31"/>
  <c r="HJ27" i="31"/>
  <c r="CA27" i="31"/>
  <c r="BR27" i="31" s="1"/>
  <c r="BS27" i="31" s="1"/>
  <c r="BZ27" i="31"/>
  <c r="GP29" i="31"/>
  <c r="EH29" i="31"/>
  <c r="HT28" i="31"/>
  <c r="FL28" i="31"/>
  <c r="ER28" i="31"/>
  <c r="FV27" i="31"/>
  <c r="DN27" i="31"/>
  <c r="HT26" i="31"/>
  <c r="FB26" i="31"/>
  <c r="DN26" i="31"/>
  <c r="CA26" i="31"/>
  <c r="BR26" i="31" s="1"/>
  <c r="BS26" i="31" s="1"/>
  <c r="BZ26" i="31"/>
  <c r="HT25" i="31"/>
  <c r="GF25" i="31"/>
  <c r="ER25" i="31"/>
  <c r="ER27" i="31"/>
  <c r="BQ27" i="31"/>
  <c r="BH27" i="31" s="1"/>
  <c r="BI27" i="31" s="1"/>
  <c r="BP27" i="31"/>
  <c r="DN23" i="31"/>
  <c r="IN29" i="31"/>
  <c r="GZ29" i="31"/>
  <c r="FL29" i="31"/>
  <c r="DX29" i="31"/>
  <c r="CJ29" i="31"/>
  <c r="ID28" i="31"/>
  <c r="GP28" i="31"/>
  <c r="FB28" i="31"/>
  <c r="DN28" i="31"/>
  <c r="BZ28" i="31"/>
  <c r="HT27" i="31"/>
  <c r="GF27" i="31"/>
  <c r="CK27" i="31"/>
  <c r="CB27" i="31" s="1"/>
  <c r="CC27" i="31" s="1"/>
  <c r="GF26" i="31"/>
  <c r="ER26" i="31"/>
  <c r="DD26" i="31"/>
  <c r="BP26" i="31"/>
  <c r="HJ25" i="31"/>
  <c r="FV25" i="31"/>
  <c r="EH25" i="31"/>
  <c r="CJ25" i="31"/>
  <c r="ID24" i="31"/>
  <c r="GP24" i="31"/>
  <c r="FB24" i="31"/>
  <c r="DN24" i="31"/>
  <c r="BZ24" i="31"/>
  <c r="CA24" i="31"/>
  <c r="BR24" i="31" s="1"/>
  <c r="BS24" i="31" s="1"/>
  <c r="HT23" i="31"/>
  <c r="GF23" i="31"/>
  <c r="ER23" i="31"/>
  <c r="DD23" i="31"/>
  <c r="BZ23" i="31"/>
  <c r="CA23" i="31"/>
  <c r="BR23" i="31" s="1"/>
  <c r="BS23" i="31" s="1"/>
  <c r="EH27" i="31"/>
  <c r="CT27" i="31"/>
  <c r="IN26" i="31"/>
  <c r="GZ26" i="31"/>
  <c r="BQ26" i="31"/>
  <c r="BH26" i="31" s="1"/>
  <c r="BI26" i="31" s="1"/>
  <c r="CT25" i="31"/>
  <c r="IN24" i="31"/>
  <c r="GZ24" i="31"/>
  <c r="FL24" i="31"/>
  <c r="DX24" i="31"/>
  <c r="CJ24" i="31"/>
  <c r="ID23" i="31"/>
  <c r="GP23" i="31"/>
  <c r="FB23" i="31"/>
  <c r="BP23" i="31"/>
  <c r="BQ23" i="31"/>
  <c r="BH23" i="31" s="1"/>
  <c r="BI23" i="31" s="1"/>
  <c r="BG25" i="31"/>
  <c r="AX25" i="31" s="1"/>
  <c r="AY25" i="31" s="1"/>
  <c r="BF25" i="31"/>
  <c r="BG29" i="31"/>
  <c r="AX29" i="31" s="1"/>
  <c r="AY29" i="31" s="1"/>
  <c r="BF29" i="31"/>
  <c r="BG38" i="31"/>
  <c r="AX38" i="31" s="1"/>
  <c r="D35" i="31" s="1"/>
  <c r="BF38" i="31"/>
  <c r="BF22" i="31"/>
  <c r="CA22" i="31"/>
  <c r="BR22" i="31" s="1"/>
  <c r="F19" i="31" s="1"/>
  <c r="DX22" i="31"/>
  <c r="EH22" i="31"/>
  <c r="DD22" i="31"/>
  <c r="FB22" i="31"/>
  <c r="GZ22" i="31"/>
  <c r="BG27" i="31"/>
  <c r="AX27" i="31" s="1"/>
  <c r="D24" i="31" s="1"/>
  <c r="BG31" i="31"/>
  <c r="AX31" i="31" s="1"/>
  <c r="D28" i="31" s="1"/>
  <c r="BF33" i="31"/>
  <c r="BG34" i="31"/>
  <c r="AX34" i="31" s="1"/>
  <c r="AY34" i="31" s="1"/>
  <c r="BF35" i="31"/>
  <c r="BG40" i="31"/>
  <c r="AX40" i="31" s="1"/>
  <c r="AY40" i="31" s="1"/>
  <c r="CJ22" i="31"/>
  <c r="ER22" i="31"/>
  <c r="GP22" i="31"/>
  <c r="IN22" i="31"/>
  <c r="BF37" i="31"/>
  <c r="AU26" i="31"/>
  <c r="AV25" i="31"/>
  <c r="BF39" i="31"/>
  <c r="BG39" i="31"/>
  <c r="AX39" i="31" s="1"/>
  <c r="CK22" i="31"/>
  <c r="CB22" i="31" s="1"/>
  <c r="CL20" i="31"/>
  <c r="CU34" i="31" s="1"/>
  <c r="CL34" i="31" s="1"/>
  <c r="CM34" i="31" s="1"/>
  <c r="BG23" i="31"/>
  <c r="AX23" i="31" s="1"/>
  <c r="BG24" i="31"/>
  <c r="AX24" i="31" s="1"/>
  <c r="BG26" i="31"/>
  <c r="AX26" i="31" s="1"/>
  <c r="W5" i="31"/>
  <c r="D65" i="31"/>
  <c r="C8" i="31"/>
  <c r="BQ22" i="31"/>
  <c r="BH22" i="31" s="1"/>
  <c r="W6" i="31"/>
  <c r="BF23" i="31"/>
  <c r="BF24" i="31"/>
  <c r="BG32" i="31"/>
  <c r="AX32" i="31" s="1"/>
  <c r="AY33" i="31"/>
  <c r="BZ22" i="31"/>
  <c r="BG28" i="31"/>
  <c r="AX28" i="31" s="1"/>
  <c r="BG30" i="31"/>
  <c r="AX30" i="31" s="1"/>
  <c r="BF32" i="31"/>
  <c r="E31" i="31"/>
  <c r="D34" i="31"/>
  <c r="BF27" i="31"/>
  <c r="BF28" i="31"/>
  <c r="E32" i="31"/>
  <c r="BF31" i="31"/>
  <c r="BG36" i="31"/>
  <c r="AX36" i="31" s="1"/>
  <c r="BG41" i="31"/>
  <c r="AX41" i="31" s="1"/>
  <c r="E38" i="31"/>
  <c r="BF41" i="31"/>
  <c r="BF36" i="31"/>
  <c r="BF40" i="31"/>
  <c r="DN29" i="29"/>
  <c r="FV24" i="29"/>
  <c r="DN33" i="29"/>
  <c r="GP22" i="29"/>
  <c r="DN22" i="29"/>
  <c r="ER24" i="29"/>
  <c r="FB24" i="29"/>
  <c r="EH25" i="29"/>
  <c r="GZ25" i="29"/>
  <c r="FB27" i="29"/>
  <c r="DN28" i="29"/>
  <c r="BZ32" i="29"/>
  <c r="DN32" i="29"/>
  <c r="FB32" i="29"/>
  <c r="GP32" i="29"/>
  <c r="ID32" i="29"/>
  <c r="CJ33" i="29"/>
  <c r="CT24" i="29"/>
  <c r="EH24" i="29"/>
  <c r="BF27" i="29"/>
  <c r="BG34" i="29"/>
  <c r="AX34" i="29" s="1"/>
  <c r="BG38" i="29"/>
  <c r="AX38" i="29" s="1"/>
  <c r="HT22" i="29"/>
  <c r="DD34" i="29"/>
  <c r="BZ35" i="29"/>
  <c r="DN35" i="29"/>
  <c r="FB35" i="29"/>
  <c r="FL36" i="29"/>
  <c r="DD38" i="29"/>
  <c r="BZ39" i="29"/>
  <c r="DN39" i="29"/>
  <c r="FB39" i="29"/>
  <c r="FL40" i="29"/>
  <c r="EH41" i="29"/>
  <c r="CK22" i="29"/>
  <c r="CB22" i="29" s="1"/>
  <c r="GF24" i="29"/>
  <c r="FB28" i="29"/>
  <c r="GP28" i="29"/>
  <c r="ID28" i="29"/>
  <c r="BF24" i="29"/>
  <c r="BF26" i="29"/>
  <c r="BG29" i="29"/>
  <c r="AX29" i="29" s="1"/>
  <c r="BF31" i="29"/>
  <c r="BG33" i="29"/>
  <c r="AX33" i="29" s="1"/>
  <c r="ID22" i="29"/>
  <c r="ER22" i="29"/>
  <c r="CJ23" i="29"/>
  <c r="FL23" i="29"/>
  <c r="GZ23" i="29"/>
  <c r="IN23" i="29"/>
  <c r="FB26" i="29"/>
  <c r="GP26" i="29"/>
  <c r="ID26" i="29"/>
  <c r="DD27" i="29"/>
  <c r="DX27" i="29"/>
  <c r="ER27" i="29"/>
  <c r="BZ28" i="29"/>
  <c r="DN31" i="29"/>
  <c r="BG27" i="29"/>
  <c r="AX27" i="29" s="1"/>
  <c r="BF28" i="29"/>
  <c r="BF40" i="29"/>
  <c r="FB22" i="29"/>
  <c r="CA22" i="29"/>
  <c r="BR22" i="29" s="1"/>
  <c r="BP22" i="29"/>
  <c r="DN23" i="29"/>
  <c r="FV25" i="29"/>
  <c r="DN27" i="29"/>
  <c r="BZ30" i="29"/>
  <c r="DN30" i="29"/>
  <c r="FB30" i="29"/>
  <c r="GP30" i="29"/>
  <c r="ID30" i="29"/>
  <c r="CJ31" i="29"/>
  <c r="GF33" i="29"/>
  <c r="BZ34" i="29"/>
  <c r="DN34" i="29"/>
  <c r="FB34" i="29"/>
  <c r="FL35" i="29"/>
  <c r="DD37" i="29"/>
  <c r="BZ38" i="29"/>
  <c r="DN38" i="29"/>
  <c r="FB38" i="29"/>
  <c r="CT39" i="29"/>
  <c r="FL39" i="29"/>
  <c r="DD41" i="29"/>
  <c r="DN41" i="29"/>
  <c r="FB41" i="29"/>
  <c r="BF35" i="29"/>
  <c r="BG39" i="29"/>
  <c r="AX39" i="29" s="1"/>
  <c r="BZ22" i="29"/>
  <c r="DX23" i="29"/>
  <c r="DD29" i="29"/>
  <c r="BP31" i="29"/>
  <c r="DD31" i="29"/>
  <c r="CT33" i="29"/>
  <c r="CT40" i="29"/>
  <c r="BF30" i="29"/>
  <c r="IN22" i="29"/>
  <c r="FV22" i="29"/>
  <c r="FL22" i="29"/>
  <c r="CT22" i="29"/>
  <c r="CJ22" i="29"/>
  <c r="CJ24" i="29"/>
  <c r="DX24" i="29"/>
  <c r="HJ24" i="29"/>
  <c r="DD25" i="29"/>
  <c r="DN25" i="29"/>
  <c r="DD26" i="29"/>
  <c r="DX26" i="29"/>
  <c r="ER26" i="29"/>
  <c r="BP27" i="29"/>
  <c r="GP27" i="29"/>
  <c r="ID27" i="29"/>
  <c r="BP28" i="29"/>
  <c r="CT28" i="29"/>
  <c r="BZ29" i="29"/>
  <c r="HT29" i="29"/>
  <c r="IN29" i="29"/>
  <c r="BZ31" i="29"/>
  <c r="BZ33" i="29"/>
  <c r="IN33" i="29"/>
  <c r="BZ36" i="29"/>
  <c r="DN36" i="29"/>
  <c r="FB36" i="29"/>
  <c r="FL37" i="29"/>
  <c r="BZ40" i="29"/>
  <c r="FB40" i="29"/>
  <c r="CT41" i="29"/>
  <c r="FL41" i="29"/>
  <c r="BG26" i="29"/>
  <c r="AX26" i="29" s="1"/>
  <c r="D23" i="29" s="1"/>
  <c r="BG31" i="29"/>
  <c r="AX31" i="29" s="1"/>
  <c r="D28" i="29" s="1"/>
  <c r="BF32" i="29"/>
  <c r="BF34" i="29"/>
  <c r="BG37" i="29"/>
  <c r="AX37" i="29" s="1"/>
  <c r="D34" i="29" s="1"/>
  <c r="GF22" i="29"/>
  <c r="DD22" i="29"/>
  <c r="BG22" i="29"/>
  <c r="AX22" i="29" s="1"/>
  <c r="DD23" i="29"/>
  <c r="FV23" i="29"/>
  <c r="GF23" i="29"/>
  <c r="IN24" i="29"/>
  <c r="CT25" i="29"/>
  <c r="HT25" i="29"/>
  <c r="BZ26" i="29"/>
  <c r="DN26" i="29"/>
  <c r="GF28" i="29"/>
  <c r="GZ28" i="29"/>
  <c r="HT28" i="29"/>
  <c r="BQ29" i="29"/>
  <c r="BH29" i="29" s="1"/>
  <c r="E26" i="29" s="1"/>
  <c r="FB29" i="29"/>
  <c r="GP29" i="29"/>
  <c r="ID29" i="29"/>
  <c r="ER30" i="29"/>
  <c r="FL30" i="29"/>
  <c r="GF30" i="29"/>
  <c r="HJ30" i="29"/>
  <c r="FB31" i="29"/>
  <c r="GP31" i="29"/>
  <c r="ID31" i="29"/>
  <c r="FL32" i="29"/>
  <c r="FV32" i="29"/>
  <c r="FB33" i="29"/>
  <c r="GP33" i="29"/>
  <c r="ID33" i="29"/>
  <c r="FL34" i="29"/>
  <c r="BZ37" i="29"/>
  <c r="DN37" i="29"/>
  <c r="FB37" i="29"/>
  <c r="FL38" i="29"/>
  <c r="DN40" i="29"/>
  <c r="BZ41" i="29"/>
  <c r="BF23" i="29"/>
  <c r="BG25" i="29"/>
  <c r="AX25" i="29" s="1"/>
  <c r="D22" i="29" s="1"/>
  <c r="BG30" i="29"/>
  <c r="AX30" i="29" s="1"/>
  <c r="D27" i="29" s="1"/>
  <c r="BG35" i="29"/>
  <c r="AX35" i="29" s="1"/>
  <c r="D32" i="29" s="1"/>
  <c r="BF36" i="29"/>
  <c r="BF38" i="29"/>
  <c r="BF39" i="29"/>
  <c r="BG41" i="29"/>
  <c r="AX41" i="29" s="1"/>
  <c r="D38" i="29" s="1"/>
  <c r="BG23" i="29"/>
  <c r="AX23" i="29" s="1"/>
  <c r="D20" i="29" s="1"/>
  <c r="HJ22" i="29"/>
  <c r="GZ22" i="29"/>
  <c r="EH22" i="29"/>
  <c r="DX22" i="29"/>
  <c r="BQ22" i="29"/>
  <c r="BH22" i="29" s="1"/>
  <c r="BF22" i="29"/>
  <c r="BG28" i="29"/>
  <c r="AX28" i="29" s="1"/>
  <c r="D25" i="29" s="1"/>
  <c r="BG36" i="29"/>
  <c r="AX36" i="29" s="1"/>
  <c r="D33" i="29" s="1"/>
  <c r="BG40" i="29"/>
  <c r="AX40" i="29" s="1"/>
  <c r="D37" i="29" s="1"/>
  <c r="BF25" i="29"/>
  <c r="BF29" i="29"/>
  <c r="BF33" i="29"/>
  <c r="BF37" i="29"/>
  <c r="BF41" i="29"/>
  <c r="BG24" i="29"/>
  <c r="AX24" i="29" s="1"/>
  <c r="D21" i="29" s="1"/>
  <c r="BG32" i="29"/>
  <c r="AX32" i="29" s="1"/>
  <c r="D29" i="29" s="1"/>
  <c r="CC20" i="29"/>
  <c r="CK29" i="29"/>
  <c r="CB29" i="29" s="1"/>
  <c r="G26" i="29" s="1"/>
  <c r="CK27" i="29"/>
  <c r="CB27" i="29" s="1"/>
  <c r="CC27" i="29" s="1"/>
  <c r="BS20" i="29"/>
  <c r="BP23" i="29"/>
  <c r="FB23" i="29"/>
  <c r="HJ23" i="29"/>
  <c r="HT23" i="29"/>
  <c r="GP24" i="29"/>
  <c r="CJ25" i="29"/>
  <c r="ER25" i="29"/>
  <c r="FB25" i="29"/>
  <c r="FL26" i="29"/>
  <c r="GF26" i="29"/>
  <c r="CA27" i="29"/>
  <c r="BR27" i="29" s="1"/>
  <c r="BS27" i="29" s="1"/>
  <c r="FL27" i="29"/>
  <c r="GF27" i="29"/>
  <c r="CJ28" i="29"/>
  <c r="DD28" i="29"/>
  <c r="EH28" i="29"/>
  <c r="IN28" i="29"/>
  <c r="DX29" i="29"/>
  <c r="ER29" i="29"/>
  <c r="BP30" i="29"/>
  <c r="CT30" i="29"/>
  <c r="GZ30" i="29"/>
  <c r="HT30" i="29"/>
  <c r="DX31" i="29"/>
  <c r="ER31" i="29"/>
  <c r="HT31" i="29"/>
  <c r="GZ32" i="29"/>
  <c r="HJ32" i="29"/>
  <c r="BQ33" i="29"/>
  <c r="BH33" i="29" s="1"/>
  <c r="BI33" i="29" s="1"/>
  <c r="DX33" i="29"/>
  <c r="EH33" i="29"/>
  <c r="HT33" i="29"/>
  <c r="ER34" i="29"/>
  <c r="ER37" i="29"/>
  <c r="ER38" i="29"/>
  <c r="CT23" i="29"/>
  <c r="GP23" i="29"/>
  <c r="BP24" i="29"/>
  <c r="BZ24" i="29"/>
  <c r="FL24" i="29"/>
  <c r="HT24" i="29"/>
  <c r="ID24" i="29"/>
  <c r="DX25" i="29"/>
  <c r="GF25" i="29"/>
  <c r="GP25" i="29"/>
  <c r="ID25" i="29"/>
  <c r="BP26" i="29"/>
  <c r="GZ26" i="29"/>
  <c r="HT26" i="29"/>
  <c r="BZ27" i="29"/>
  <c r="GZ27" i="29"/>
  <c r="HT27" i="29"/>
  <c r="BQ28" i="29"/>
  <c r="BH28" i="29" s="1"/>
  <c r="E25" i="29" s="1"/>
  <c r="DX28" i="29"/>
  <c r="ER28" i="29"/>
  <c r="FV28" i="29"/>
  <c r="BP29" i="29"/>
  <c r="FL29" i="29"/>
  <c r="GF29" i="29"/>
  <c r="CJ30" i="29"/>
  <c r="DD30" i="29"/>
  <c r="EH30" i="29"/>
  <c r="IN30" i="29"/>
  <c r="FL31" i="29"/>
  <c r="GF31" i="29"/>
  <c r="CT32" i="29"/>
  <c r="IN32" i="29"/>
  <c r="DD33" i="29"/>
  <c r="FL33" i="29"/>
  <c r="FV33" i="29"/>
  <c r="CJ34" i="29"/>
  <c r="CT34" i="29"/>
  <c r="CJ35" i="29"/>
  <c r="CT35" i="29"/>
  <c r="CJ36" i="29"/>
  <c r="CT36" i="29"/>
  <c r="CJ37" i="29"/>
  <c r="CT37" i="29"/>
  <c r="CJ38" i="29"/>
  <c r="CT38" i="29"/>
  <c r="CJ39" i="29"/>
  <c r="CJ40" i="29"/>
  <c r="CJ41" i="29"/>
  <c r="CA23" i="29"/>
  <c r="BR23" i="29" s="1"/>
  <c r="BS23" i="29" s="1"/>
  <c r="EH23" i="29"/>
  <c r="ER23" i="29"/>
  <c r="ID23" i="29"/>
  <c r="DD24" i="29"/>
  <c r="DN24" i="29"/>
  <c r="GZ24" i="29"/>
  <c r="BP25" i="29"/>
  <c r="BZ25" i="29"/>
  <c r="FL25" i="29"/>
  <c r="HJ25" i="29"/>
  <c r="CJ26" i="29"/>
  <c r="IN26" i="29"/>
  <c r="IN27" i="29"/>
  <c r="FL28" i="29"/>
  <c r="HJ28" i="29"/>
  <c r="CJ29" i="29"/>
  <c r="GZ29" i="29"/>
  <c r="DX30" i="29"/>
  <c r="FV30" i="29"/>
  <c r="HJ31" i="29"/>
  <c r="DX32" i="29"/>
  <c r="EH32" i="29"/>
  <c r="ER33" i="29"/>
  <c r="GZ33" i="29"/>
  <c r="HJ33" i="29"/>
  <c r="BQ34" i="29"/>
  <c r="BH34" i="29" s="1"/>
  <c r="BI34" i="29" s="1"/>
  <c r="DX34" i="29"/>
  <c r="EH34" i="29"/>
  <c r="DX35" i="29"/>
  <c r="EH35" i="29"/>
  <c r="DX36" i="29"/>
  <c r="EH36" i="29"/>
  <c r="BQ37" i="29"/>
  <c r="BH37" i="29" s="1"/>
  <c r="BI37" i="29" s="1"/>
  <c r="DX37" i="29"/>
  <c r="EH37" i="29"/>
  <c r="BQ38" i="29"/>
  <c r="BH38" i="29" s="1"/>
  <c r="E35" i="29" s="1"/>
  <c r="DX38" i="29"/>
  <c r="EH38" i="29"/>
  <c r="DX39" i="29"/>
  <c r="EH39" i="29"/>
  <c r="DX40" i="29"/>
  <c r="EH40" i="29"/>
  <c r="BQ41" i="29"/>
  <c r="BH41" i="29" s="1"/>
  <c r="E38" i="29" s="1"/>
  <c r="DX41" i="29"/>
  <c r="D65" i="29"/>
  <c r="W5" i="29"/>
  <c r="C8" i="29"/>
  <c r="F20" i="29"/>
  <c r="BQ23" i="29"/>
  <c r="BH23" i="29" s="1"/>
  <c r="CC29" i="29"/>
  <c r="BP32" i="29"/>
  <c r="BQ32" i="29"/>
  <c r="BH32" i="29" s="1"/>
  <c r="CK41" i="29"/>
  <c r="CB41" i="29" s="1"/>
  <c r="CK37" i="29"/>
  <c r="CB37" i="29" s="1"/>
  <c r="CK33" i="29"/>
  <c r="CB33" i="29" s="1"/>
  <c r="CK40" i="29"/>
  <c r="CB40" i="29" s="1"/>
  <c r="CK36" i="29"/>
  <c r="CB36" i="29" s="1"/>
  <c r="CK39" i="29"/>
  <c r="CB39" i="29" s="1"/>
  <c r="CK35" i="29"/>
  <c r="CB35" i="29" s="1"/>
  <c r="CK32" i="29"/>
  <c r="CB32" i="29" s="1"/>
  <c r="BZ23" i="29"/>
  <c r="CK23" i="29"/>
  <c r="CB23" i="29" s="1"/>
  <c r="CT26" i="29"/>
  <c r="EH26" i="29"/>
  <c r="FV26" i="29"/>
  <c r="HJ26" i="29"/>
  <c r="CJ27" i="29"/>
  <c r="CT29" i="29"/>
  <c r="EH29" i="29"/>
  <c r="FV29" i="29"/>
  <c r="HJ29" i="29"/>
  <c r="CK30" i="29"/>
  <c r="CB30" i="29" s="1"/>
  <c r="CK34" i="29"/>
  <c r="CB34" i="29" s="1"/>
  <c r="BQ24" i="29"/>
  <c r="BH24" i="29" s="1"/>
  <c r="CK24" i="29"/>
  <c r="CB24" i="29" s="1"/>
  <c r="CK25" i="29"/>
  <c r="CB25" i="29" s="1"/>
  <c r="BQ26" i="29"/>
  <c r="BH26" i="29" s="1"/>
  <c r="CT27" i="29"/>
  <c r="BQ30" i="29"/>
  <c r="BH30" i="29" s="1"/>
  <c r="CK31" i="29"/>
  <c r="CB31" i="29" s="1"/>
  <c r="CK38" i="29"/>
  <c r="CB38" i="29" s="1"/>
  <c r="BQ25" i="29"/>
  <c r="BH25" i="29" s="1"/>
  <c r="CA41" i="29"/>
  <c r="BR41" i="29" s="1"/>
  <c r="CA40" i="29"/>
  <c r="BR40" i="29" s="1"/>
  <c r="CA39" i="29"/>
  <c r="BR39" i="29" s="1"/>
  <c r="CA38" i="29"/>
  <c r="BR38" i="29" s="1"/>
  <c r="CA37" i="29"/>
  <c r="BR37" i="29" s="1"/>
  <c r="CA36" i="29"/>
  <c r="BR36" i="29" s="1"/>
  <c r="CA35" i="29"/>
  <c r="BR35" i="29" s="1"/>
  <c r="CA34" i="29"/>
  <c r="BR34" i="29" s="1"/>
  <c r="CA33" i="29"/>
  <c r="BR33" i="29" s="1"/>
  <c r="CA32" i="29"/>
  <c r="BR32" i="29" s="1"/>
  <c r="CA31" i="29"/>
  <c r="BR31" i="29" s="1"/>
  <c r="CA30" i="29"/>
  <c r="BR30" i="29" s="1"/>
  <c r="CA29" i="29"/>
  <c r="BR29" i="29" s="1"/>
  <c r="CA28" i="29"/>
  <c r="BR28" i="29" s="1"/>
  <c r="CL20" i="29"/>
  <c r="CU22" i="29" s="1"/>
  <c r="CL22" i="29" s="1"/>
  <c r="CA24" i="29"/>
  <c r="BR24" i="29" s="1"/>
  <c r="AU25" i="29"/>
  <c r="CA25" i="29"/>
  <c r="BR25" i="29" s="1"/>
  <c r="IN25" i="29"/>
  <c r="CA26" i="29"/>
  <c r="BR26" i="29" s="1"/>
  <c r="CK26" i="29"/>
  <c r="CB26" i="29" s="1"/>
  <c r="BQ27" i="29"/>
  <c r="BH27" i="29" s="1"/>
  <c r="EH27" i="29"/>
  <c r="FV27" i="29"/>
  <c r="HJ27" i="29"/>
  <c r="CK28" i="29"/>
  <c r="CB28" i="29" s="1"/>
  <c r="BQ31" i="29"/>
  <c r="BH31" i="29" s="1"/>
  <c r="CT31" i="29"/>
  <c r="EH31" i="29"/>
  <c r="FV31" i="29"/>
  <c r="GZ31" i="29"/>
  <c r="IN31" i="29"/>
  <c r="CJ32" i="29"/>
  <c r="BQ35" i="29"/>
  <c r="BH35" i="29" s="1"/>
  <c r="DD35" i="29"/>
  <c r="ER35" i="29"/>
  <c r="BQ39" i="29"/>
  <c r="BH39" i="29" s="1"/>
  <c r="DD39" i="29"/>
  <c r="ER39" i="29"/>
  <c r="DD32" i="29"/>
  <c r="ER32" i="29"/>
  <c r="GF32" i="29"/>
  <c r="HT32" i="29"/>
  <c r="BQ36" i="29"/>
  <c r="BH36" i="29" s="1"/>
  <c r="DD36" i="29"/>
  <c r="ER36" i="29"/>
  <c r="BQ40" i="29"/>
  <c r="BH40" i="29" s="1"/>
  <c r="DD40" i="29"/>
  <c r="ER40" i="29"/>
  <c r="BP33" i="29"/>
  <c r="BP34" i="29"/>
  <c r="BP35" i="29"/>
  <c r="BP36" i="29"/>
  <c r="BP37" i="29"/>
  <c r="BP38" i="29"/>
  <c r="BP39" i="29"/>
  <c r="BP40" i="29"/>
  <c r="BP41" i="29"/>
  <c r="ER41" i="29"/>
  <c r="BZ22" i="28"/>
  <c r="FB38" i="28"/>
  <c r="EH26" i="28"/>
  <c r="HJ26" i="28"/>
  <c r="BQ31" i="28"/>
  <c r="BH31" i="28" s="1"/>
  <c r="BI31" i="28" s="1"/>
  <c r="DN25" i="28"/>
  <c r="ER36" i="28"/>
  <c r="FL25" i="28"/>
  <c r="DX26" i="28"/>
  <c r="BZ37" i="28"/>
  <c r="FB37" i="28"/>
  <c r="EH38" i="28"/>
  <c r="BP39" i="28"/>
  <c r="BZ39" i="28"/>
  <c r="FB39" i="28"/>
  <c r="FB40" i="28"/>
  <c r="GZ22" i="28"/>
  <c r="DX22" i="28"/>
  <c r="ID24" i="28"/>
  <c r="BQ25" i="28"/>
  <c r="BH25" i="28" s="1"/>
  <c r="BI25" i="28" s="1"/>
  <c r="EH31" i="28"/>
  <c r="IN31" i="28"/>
  <c r="BP33" i="28"/>
  <c r="DD33" i="28"/>
  <c r="BZ34" i="28"/>
  <c r="HT22" i="28"/>
  <c r="GZ24" i="28"/>
  <c r="EH29" i="28"/>
  <c r="HJ29" i="28"/>
  <c r="DX31" i="28"/>
  <c r="BF31" i="28"/>
  <c r="BF35" i="28"/>
  <c r="CT27" i="28"/>
  <c r="FV27" i="28"/>
  <c r="FB31" i="28"/>
  <c r="FL31" i="28"/>
  <c r="BQ34" i="28"/>
  <c r="BH34" i="28" s="1"/>
  <c r="BI34" i="28" s="1"/>
  <c r="ER34" i="28"/>
  <c r="BZ35" i="28"/>
  <c r="EH39" i="28"/>
  <c r="FB41" i="28"/>
  <c r="BG23" i="28"/>
  <c r="AX23" i="28" s="1"/>
  <c r="D20" i="28" s="1"/>
  <c r="BF28" i="28"/>
  <c r="BF29" i="28"/>
  <c r="BF36" i="28"/>
  <c r="ID22" i="28"/>
  <c r="DD22" i="28"/>
  <c r="BP22" i="28"/>
  <c r="BP24" i="28"/>
  <c r="GF24" i="28"/>
  <c r="HT24" i="28"/>
  <c r="EH28" i="28"/>
  <c r="BZ33" i="28"/>
  <c r="ID33" i="28"/>
  <c r="BZ40" i="28"/>
  <c r="EH41" i="28"/>
  <c r="BF38" i="28"/>
  <c r="BG22" i="28"/>
  <c r="AX22" i="28" s="1"/>
  <c r="GF22" i="28"/>
  <c r="ER22" i="28"/>
  <c r="FV23" i="28"/>
  <c r="BZ24" i="28"/>
  <c r="GZ26" i="28"/>
  <c r="BP23" i="28"/>
  <c r="ER23" i="28"/>
  <c r="GF23" i="28"/>
  <c r="HT23" i="28"/>
  <c r="DN24" i="28"/>
  <c r="CT25" i="28"/>
  <c r="IN25" i="28"/>
  <c r="CJ27" i="28"/>
  <c r="FL27" i="28"/>
  <c r="FV28" i="28"/>
  <c r="DX30" i="28"/>
  <c r="HJ30" i="28"/>
  <c r="HJ33" i="28"/>
  <c r="BZ36" i="28"/>
  <c r="EH40" i="28"/>
  <c r="BQ41" i="28"/>
  <c r="BH41" i="28" s="1"/>
  <c r="E38" i="28" s="1"/>
  <c r="BZ41" i="28"/>
  <c r="DD41" i="28"/>
  <c r="FB22" i="28"/>
  <c r="DD23" i="28"/>
  <c r="FB24" i="28"/>
  <c r="GP24" i="28"/>
  <c r="FB25" i="28"/>
  <c r="DN27" i="28"/>
  <c r="HJ27" i="28"/>
  <c r="DD28" i="28"/>
  <c r="GZ28" i="28"/>
  <c r="HJ28" i="28"/>
  <c r="IN28" i="28"/>
  <c r="GF30" i="28"/>
  <c r="CT31" i="28"/>
  <c r="DX32" i="28"/>
  <c r="FL32" i="28"/>
  <c r="GZ32" i="28"/>
  <c r="IN32" i="28"/>
  <c r="CT33" i="28"/>
  <c r="DN35" i="28"/>
  <c r="FB35" i="28"/>
  <c r="BQ37" i="28"/>
  <c r="BH37" i="28" s="1"/>
  <c r="BI37" i="28" s="1"/>
  <c r="DD37" i="28"/>
  <c r="BZ38" i="28"/>
  <c r="DN38" i="28"/>
  <c r="DN40" i="28"/>
  <c r="BF32" i="28"/>
  <c r="CJ23" i="28"/>
  <c r="EH25" i="28"/>
  <c r="HJ25" i="28"/>
  <c r="FV26" i="28"/>
  <c r="ID26" i="28"/>
  <c r="CT28" i="28"/>
  <c r="FV29" i="28"/>
  <c r="CT30" i="28"/>
  <c r="FV30" i="28"/>
  <c r="HJ31" i="28"/>
  <c r="CJ32" i="28"/>
  <c r="ER35" i="28"/>
  <c r="DX41" i="28"/>
  <c r="ER41" i="28"/>
  <c r="BF40" i="28"/>
  <c r="BF41" i="28"/>
  <c r="GP23" i="28"/>
  <c r="HJ23" i="28"/>
  <c r="IN23" i="28"/>
  <c r="CT24" i="28"/>
  <c r="BZ25" i="28"/>
  <c r="FV25" i="28"/>
  <c r="GZ25" i="28"/>
  <c r="DN26" i="28"/>
  <c r="FL26" i="28"/>
  <c r="EH27" i="28"/>
  <c r="GZ27" i="28"/>
  <c r="ER29" i="28"/>
  <c r="IN29" i="28"/>
  <c r="FV31" i="28"/>
  <c r="DN32" i="28"/>
  <c r="GP32" i="28"/>
  <c r="DX33" i="28"/>
  <c r="GP33" i="28"/>
  <c r="BQ38" i="28"/>
  <c r="BH38" i="28" s="1"/>
  <c r="BI38" i="28" s="1"/>
  <c r="DN39" i="28"/>
  <c r="DN41" i="28"/>
  <c r="BF25" i="28"/>
  <c r="BG33" i="28"/>
  <c r="AX33" i="28" s="1"/>
  <c r="BQ23" i="28"/>
  <c r="BH23" i="28" s="1"/>
  <c r="E20" i="28" s="1"/>
  <c r="BZ23" i="28"/>
  <c r="CT23" i="28"/>
  <c r="DX23" i="28"/>
  <c r="ID23" i="28"/>
  <c r="CJ24" i="28"/>
  <c r="DD24" i="28"/>
  <c r="EH24" i="28"/>
  <c r="IN24" i="28"/>
  <c r="DX25" i="28"/>
  <c r="BQ29" i="28"/>
  <c r="BH29" i="28" s="1"/>
  <c r="BI29" i="28" s="1"/>
  <c r="FL22" i="28"/>
  <c r="DN23" i="28"/>
  <c r="EH23" i="28"/>
  <c r="FL23" i="28"/>
  <c r="BQ24" i="28"/>
  <c r="BH24" i="28" s="1"/>
  <c r="BI24" i="28" s="1"/>
  <c r="DX24" i="28"/>
  <c r="ER24" i="28"/>
  <c r="FV24" i="28"/>
  <c r="BP25" i="28"/>
  <c r="GP25" i="28"/>
  <c r="CT26" i="28"/>
  <c r="DX27" i="28"/>
  <c r="DN34" i="28"/>
  <c r="FB34" i="28"/>
  <c r="DN36" i="28"/>
  <c r="FB36" i="28"/>
  <c r="BG24" i="28"/>
  <c r="AX24" i="28" s="1"/>
  <c r="D21" i="28" s="1"/>
  <c r="BF24" i="28"/>
  <c r="FB23" i="28"/>
  <c r="GZ23" i="28"/>
  <c r="FL24" i="28"/>
  <c r="HJ24" i="28"/>
  <c r="CJ25" i="28"/>
  <c r="ID25" i="28"/>
  <c r="CJ26" i="28"/>
  <c r="IN26" i="28"/>
  <c r="DN37" i="28"/>
  <c r="BF30" i="28"/>
  <c r="BG34" i="28"/>
  <c r="AX34" i="28" s="1"/>
  <c r="D31" i="28" s="1"/>
  <c r="BF34" i="28"/>
  <c r="IN22" i="28"/>
  <c r="CJ22" i="28"/>
  <c r="BQ26" i="28"/>
  <c r="BH26" i="28" s="1"/>
  <c r="BI26" i="28" s="1"/>
  <c r="BZ26" i="28"/>
  <c r="FB26" i="28"/>
  <c r="IN27" i="28"/>
  <c r="GF28" i="28"/>
  <c r="HT29" i="28"/>
  <c r="CJ30" i="28"/>
  <c r="BP31" i="28"/>
  <c r="CJ31" i="28"/>
  <c r="GZ31" i="28"/>
  <c r="ER33" i="28"/>
  <c r="FB33" i="28"/>
  <c r="GF33" i="28"/>
  <c r="BP34" i="28"/>
  <c r="CT34" i="28"/>
  <c r="CT35" i="28"/>
  <c r="CT36" i="28"/>
  <c r="ER37" i="28"/>
  <c r="DD38" i="28"/>
  <c r="DD39" i="28"/>
  <c r="DD40" i="28"/>
  <c r="FL41" i="28"/>
  <c r="BF23" i="28"/>
  <c r="BG25" i="28"/>
  <c r="AX25" i="28" s="1"/>
  <c r="D22" i="28" s="1"/>
  <c r="BG26" i="28"/>
  <c r="AX26" i="28" s="1"/>
  <c r="D23" i="28" s="1"/>
  <c r="BF33" i="28"/>
  <c r="BG35" i="28"/>
  <c r="AX35" i="28" s="1"/>
  <c r="D32" i="28" s="1"/>
  <c r="BG36" i="28"/>
  <c r="AX36" i="28" s="1"/>
  <c r="D33" i="28" s="1"/>
  <c r="BG38" i="28"/>
  <c r="AX38" i="28" s="1"/>
  <c r="D35" i="28" s="1"/>
  <c r="FV22" i="28"/>
  <c r="CT22" i="28"/>
  <c r="BZ27" i="28"/>
  <c r="FB27" i="28"/>
  <c r="HT27" i="28"/>
  <c r="CJ28" i="28"/>
  <c r="BP29" i="28"/>
  <c r="CJ29" i="28"/>
  <c r="CT29" i="28"/>
  <c r="DX29" i="28"/>
  <c r="EH30" i="28"/>
  <c r="FL30" i="28"/>
  <c r="DN31" i="28"/>
  <c r="GP31" i="28"/>
  <c r="DD32" i="28"/>
  <c r="ER32" i="28"/>
  <c r="GF32" i="28"/>
  <c r="HT32" i="28"/>
  <c r="CJ33" i="28"/>
  <c r="FV33" i="28"/>
  <c r="HT33" i="28"/>
  <c r="EH34" i="28"/>
  <c r="BP35" i="28"/>
  <c r="EH35" i="28"/>
  <c r="EH36" i="28"/>
  <c r="BP37" i="28"/>
  <c r="CT37" i="28"/>
  <c r="ER38" i="28"/>
  <c r="ER39" i="28"/>
  <c r="ER40" i="28"/>
  <c r="BG27" i="28"/>
  <c r="AX27" i="28" s="1"/>
  <c r="D24" i="28" s="1"/>
  <c r="BG28" i="28"/>
  <c r="AX28" i="28" s="1"/>
  <c r="D25" i="28" s="1"/>
  <c r="BG30" i="28"/>
  <c r="AX30" i="28" s="1"/>
  <c r="D27" i="28" s="1"/>
  <c r="BG37" i="28"/>
  <c r="AX37" i="28" s="1"/>
  <c r="D34" i="28" s="1"/>
  <c r="BG39" i="28"/>
  <c r="AX39" i="28" s="1"/>
  <c r="D36" i="28" s="1"/>
  <c r="BG40" i="28"/>
  <c r="AX40" i="28" s="1"/>
  <c r="D37" i="28" s="1"/>
  <c r="GP22" i="28"/>
  <c r="DN22" i="28"/>
  <c r="CA22" i="28"/>
  <c r="BR22" i="28" s="1"/>
  <c r="GP26" i="28"/>
  <c r="BQ27" i="28"/>
  <c r="BH27" i="28" s="1"/>
  <c r="BI27" i="28" s="1"/>
  <c r="BQ28" i="28"/>
  <c r="BH28" i="28" s="1"/>
  <c r="E25" i="28" s="1"/>
  <c r="DX28" i="28"/>
  <c r="FL28" i="28"/>
  <c r="FL29" i="28"/>
  <c r="GZ29" i="28"/>
  <c r="BQ30" i="28"/>
  <c r="BH30" i="28" s="1"/>
  <c r="E27" i="28" s="1"/>
  <c r="DD30" i="28"/>
  <c r="GZ30" i="28"/>
  <c r="IN30" i="28"/>
  <c r="HT31" i="28"/>
  <c r="EH32" i="28"/>
  <c r="FL33" i="28"/>
  <c r="DD34" i="28"/>
  <c r="DD35" i="28"/>
  <c r="DD36" i="28"/>
  <c r="EH37" i="28"/>
  <c r="BP38" i="28"/>
  <c r="CT38" i="28"/>
  <c r="CT39" i="28"/>
  <c r="CT40" i="28"/>
  <c r="CJ41" i="28"/>
  <c r="CT41" i="28"/>
  <c r="BF27" i="28"/>
  <c r="BG29" i="28"/>
  <c r="AX29" i="28" s="1"/>
  <c r="D26" i="28" s="1"/>
  <c r="BG31" i="28"/>
  <c r="AX31" i="28" s="1"/>
  <c r="D28" i="28" s="1"/>
  <c r="BG32" i="28"/>
  <c r="AX32" i="28" s="1"/>
  <c r="D29" i="28" s="1"/>
  <c r="BF37" i="28"/>
  <c r="BF39" i="28"/>
  <c r="BG41" i="28"/>
  <c r="AX41" i="28" s="1"/>
  <c r="D38" i="28" s="1"/>
  <c r="BF22" i="28"/>
  <c r="HJ22" i="28"/>
  <c r="EH22" i="28"/>
  <c r="BQ22" i="28"/>
  <c r="BH22" i="28" s="1"/>
  <c r="W6" i="28"/>
  <c r="D65" i="28"/>
  <c r="C8" i="28"/>
  <c r="C9" i="28" s="1"/>
  <c r="W5" i="28"/>
  <c r="CA23" i="28"/>
  <c r="BR23" i="28" s="1"/>
  <c r="F20" i="28" s="1"/>
  <c r="CA41" i="28"/>
  <c r="BR41" i="28" s="1"/>
  <c r="CA40" i="28"/>
  <c r="BR40" i="28" s="1"/>
  <c r="CA39" i="28"/>
  <c r="BR39" i="28" s="1"/>
  <c r="CA38" i="28"/>
  <c r="BR38" i="28" s="1"/>
  <c r="CA37" i="28"/>
  <c r="BR37" i="28" s="1"/>
  <c r="CA36" i="28"/>
  <c r="BR36" i="28" s="1"/>
  <c r="CA35" i="28"/>
  <c r="BR35" i="28" s="1"/>
  <c r="CA34" i="28"/>
  <c r="BR34" i="28" s="1"/>
  <c r="CA33" i="28"/>
  <c r="BR33" i="28" s="1"/>
  <c r="CA32" i="28"/>
  <c r="BR32" i="28" s="1"/>
  <c r="CA27" i="28"/>
  <c r="BR27" i="28" s="1"/>
  <c r="CA26" i="28"/>
  <c r="BR26" i="28" s="1"/>
  <c r="CA25" i="28"/>
  <c r="BR25" i="28" s="1"/>
  <c r="CA31" i="28"/>
  <c r="BR31" i="28" s="1"/>
  <c r="BP36" i="28"/>
  <c r="BQ36" i="28"/>
  <c r="BH36" i="28" s="1"/>
  <c r="AU25" i="28"/>
  <c r="AV24" i="28"/>
  <c r="BP32" i="28"/>
  <c r="BQ32" i="28"/>
  <c r="BH32" i="28" s="1"/>
  <c r="CA24" i="28"/>
  <c r="BR24" i="28" s="1"/>
  <c r="CA29" i="28"/>
  <c r="BR29" i="28" s="1"/>
  <c r="BS20" i="28"/>
  <c r="CB20" i="28"/>
  <c r="CK22" i="28" s="1"/>
  <c r="CB22" i="28" s="1"/>
  <c r="DD25" i="28"/>
  <c r="ER25" i="28"/>
  <c r="GF25" i="28"/>
  <c r="HT25" i="28"/>
  <c r="BP26" i="28"/>
  <c r="DD26" i="28"/>
  <c r="ER26" i="28"/>
  <c r="GF26" i="28"/>
  <c r="HT26" i="28"/>
  <c r="BP27" i="28"/>
  <c r="DD27" i="28"/>
  <c r="ER27" i="28"/>
  <c r="GF27" i="28"/>
  <c r="BP28" i="28"/>
  <c r="CA28" i="28"/>
  <c r="BR28" i="28" s="1"/>
  <c r="ER28" i="28"/>
  <c r="HT28" i="28"/>
  <c r="DD29" i="28"/>
  <c r="GF29" i="28"/>
  <c r="BP30" i="28"/>
  <c r="CA30" i="28"/>
  <c r="BR30" i="28" s="1"/>
  <c r="ER30" i="28"/>
  <c r="HT30" i="28"/>
  <c r="HJ32" i="28"/>
  <c r="BP40" i="28"/>
  <c r="BQ40" i="28"/>
  <c r="BH40" i="28" s="1"/>
  <c r="GP27" i="28"/>
  <c r="ID27" i="28"/>
  <c r="BZ28" i="28"/>
  <c r="DN28" i="28"/>
  <c r="FB28" i="28"/>
  <c r="GP28" i="28"/>
  <c r="ID28" i="28"/>
  <c r="BZ29" i="28"/>
  <c r="DN29" i="28"/>
  <c r="FB29" i="28"/>
  <c r="GP29" i="28"/>
  <c r="ID29" i="28"/>
  <c r="BZ30" i="28"/>
  <c r="DN30" i="28"/>
  <c r="FB30" i="28"/>
  <c r="GP30" i="28"/>
  <c r="ID30" i="28"/>
  <c r="BZ31" i="28"/>
  <c r="BZ32" i="28"/>
  <c r="CT32" i="28"/>
  <c r="FB32" i="28"/>
  <c r="FV32" i="28"/>
  <c r="ID32" i="28"/>
  <c r="BQ33" i="28"/>
  <c r="BH33" i="28" s="1"/>
  <c r="BQ35" i="28"/>
  <c r="BH35" i="28" s="1"/>
  <c r="BQ39" i="28"/>
  <c r="BH39" i="28" s="1"/>
  <c r="DD31" i="28"/>
  <c r="ER31" i="28"/>
  <c r="GF31" i="28"/>
  <c r="ID31" i="28"/>
  <c r="DN33" i="28"/>
  <c r="EH33" i="28"/>
  <c r="GZ33" i="28"/>
  <c r="IN33" i="28"/>
  <c r="CJ34" i="28"/>
  <c r="DX34" i="28"/>
  <c r="FL34" i="28"/>
  <c r="CJ35" i="28"/>
  <c r="DX35" i="28"/>
  <c r="FL35" i="28"/>
  <c r="CJ36" i="28"/>
  <c r="DX36" i="28"/>
  <c r="FL36" i="28"/>
  <c r="CJ37" i="28"/>
  <c r="DX37" i="28"/>
  <c r="FL37" i="28"/>
  <c r="CJ38" i="28"/>
  <c r="DX38" i="28"/>
  <c r="FL38" i="28"/>
  <c r="CJ39" i="28"/>
  <c r="DX39" i="28"/>
  <c r="FL39" i="28"/>
  <c r="CJ40" i="28"/>
  <c r="DX40" i="28"/>
  <c r="FL40" i="28"/>
  <c r="BP41" i="28"/>
  <c r="P13" i="31" l="1"/>
  <c r="J4" i="29"/>
  <c r="P14" i="29" s="1"/>
  <c r="P13" i="29"/>
  <c r="J4" i="28"/>
  <c r="P14" i="28" s="1"/>
  <c r="P13" i="28"/>
  <c r="AB76" i="31"/>
  <c r="AB75" i="31"/>
  <c r="AB75" i="29"/>
  <c r="I51" i="37"/>
  <c r="D51" i="35"/>
  <c r="AO48" i="37"/>
  <c r="GS24" i="40"/>
  <c r="S21" i="40"/>
  <c r="GS26" i="40"/>
  <c r="S23" i="40"/>
  <c r="GS30" i="40"/>
  <c r="S27" i="40"/>
  <c r="GS21" i="40"/>
  <c r="S18" i="40"/>
  <c r="GS22" i="40"/>
  <c r="S19" i="40"/>
  <c r="GS25" i="40"/>
  <c r="S22" i="40"/>
  <c r="D36" i="40"/>
  <c r="F36" i="40"/>
  <c r="E36" i="40"/>
  <c r="G36" i="40"/>
  <c r="H36" i="40"/>
  <c r="I36" i="40"/>
  <c r="J36" i="40"/>
  <c r="K36" i="40"/>
  <c r="L36" i="40"/>
  <c r="M36" i="40"/>
  <c r="N36" i="40"/>
  <c r="O36" i="40"/>
  <c r="S20" i="40"/>
  <c r="GS23" i="40"/>
  <c r="GS28" i="40"/>
  <c r="S25" i="40"/>
  <c r="GS29" i="40"/>
  <c r="S26" i="40"/>
  <c r="HK31" i="40"/>
  <c r="HB31" i="40" s="1"/>
  <c r="HK28" i="40"/>
  <c r="HB28" i="40" s="1"/>
  <c r="HK29" i="40"/>
  <c r="HB29" i="40" s="1"/>
  <c r="HK30" i="40"/>
  <c r="HB30" i="40" s="1"/>
  <c r="HK27" i="40"/>
  <c r="HB27" i="40" s="1"/>
  <c r="HK25" i="40"/>
  <c r="HB25" i="40" s="1"/>
  <c r="HK24" i="40"/>
  <c r="HB24" i="40" s="1"/>
  <c r="HK26" i="40"/>
  <c r="HB26" i="40" s="1"/>
  <c r="HK22" i="40"/>
  <c r="HB22" i="40" s="1"/>
  <c r="HK21" i="40"/>
  <c r="HB21" i="40" s="1"/>
  <c r="HL18" i="40"/>
  <c r="HK23" i="40"/>
  <c r="HB23" i="40" s="1"/>
  <c r="HK20" i="40"/>
  <c r="HB20" i="40" s="1"/>
  <c r="HC18" i="40"/>
  <c r="GS20" i="40"/>
  <c r="S17" i="40"/>
  <c r="GS27" i="40"/>
  <c r="S24" i="40"/>
  <c r="GS31" i="40"/>
  <c r="S28" i="40"/>
  <c r="H52" i="37"/>
  <c r="AM49" i="37" s="1"/>
  <c r="AL49" i="37"/>
  <c r="F33" i="37"/>
  <c r="H33" i="37"/>
  <c r="E33" i="37"/>
  <c r="I33" i="37"/>
  <c r="D33" i="37"/>
  <c r="B34" i="37"/>
  <c r="G33" i="37"/>
  <c r="I25" i="34"/>
  <c r="CW28" i="34"/>
  <c r="DF28" i="34"/>
  <c r="D24" i="34"/>
  <c r="AY27" i="34"/>
  <c r="G24" i="34"/>
  <c r="CC27" i="34"/>
  <c r="BH28" i="34"/>
  <c r="CB28" i="34"/>
  <c r="BR28" i="34"/>
  <c r="CL28" i="34"/>
  <c r="AX28" i="34"/>
  <c r="F24" i="34"/>
  <c r="BS27" i="34"/>
  <c r="H24" i="34"/>
  <c r="CM27" i="34"/>
  <c r="AY35" i="31"/>
  <c r="D22" i="31"/>
  <c r="CK25" i="31"/>
  <c r="CB25" i="31" s="1"/>
  <c r="CC25" i="31" s="1"/>
  <c r="CK28" i="31"/>
  <c r="CB28" i="31" s="1"/>
  <c r="CC28" i="31" s="1"/>
  <c r="CK34" i="31"/>
  <c r="CB34" i="31" s="1"/>
  <c r="CC34" i="31" s="1"/>
  <c r="CK23" i="31"/>
  <c r="CB23" i="31" s="1"/>
  <c r="CC23" i="31" s="1"/>
  <c r="CK33" i="31"/>
  <c r="CB33" i="31" s="1"/>
  <c r="CC33" i="31" s="1"/>
  <c r="E36" i="31"/>
  <c r="CC20" i="31"/>
  <c r="CK26" i="31"/>
  <c r="CB26" i="31" s="1"/>
  <c r="CC26" i="31" s="1"/>
  <c r="CK30" i="31"/>
  <c r="CB30" i="31" s="1"/>
  <c r="CC30" i="31" s="1"/>
  <c r="D37" i="31"/>
  <c r="D26" i="31"/>
  <c r="AY31" i="31"/>
  <c r="E37" i="31"/>
  <c r="CU29" i="31"/>
  <c r="CL29" i="31" s="1"/>
  <c r="CM29" i="31" s="1"/>
  <c r="CU26" i="31"/>
  <c r="CL26" i="31" s="1"/>
  <c r="CM26" i="31" s="1"/>
  <c r="CU39" i="31"/>
  <c r="CL39" i="31" s="1"/>
  <c r="CM39" i="31" s="1"/>
  <c r="AY22" i="31"/>
  <c r="BI22" i="28"/>
  <c r="E19" i="28"/>
  <c r="CW31" i="37"/>
  <c r="CW26" i="37"/>
  <c r="CW33" i="37"/>
  <c r="D57" i="37"/>
  <c r="CW25" i="37"/>
  <c r="CW24" i="37"/>
  <c r="CW28" i="37"/>
  <c r="CW35" i="37"/>
  <c r="CW32" i="37"/>
  <c r="CW36" i="37"/>
  <c r="G56" i="37"/>
  <c r="E52" i="37"/>
  <c r="AU30" i="37"/>
  <c r="AV29" i="37"/>
  <c r="CW23" i="37"/>
  <c r="CW27" i="37"/>
  <c r="CW30" i="37"/>
  <c r="CW37" i="37"/>
  <c r="CW40" i="37"/>
  <c r="DO38" i="37"/>
  <c r="DF38" i="37" s="1"/>
  <c r="DO39" i="37"/>
  <c r="DF39" i="37" s="1"/>
  <c r="DO40" i="37"/>
  <c r="DF40" i="37" s="1"/>
  <c r="DO36" i="37"/>
  <c r="DF36" i="37" s="1"/>
  <c r="J33" i="37" s="1"/>
  <c r="DO37" i="37"/>
  <c r="DF37" i="37" s="1"/>
  <c r="DO35" i="37"/>
  <c r="DF35" i="37" s="1"/>
  <c r="J32" i="37" s="1"/>
  <c r="DO31" i="37"/>
  <c r="DF31" i="37" s="1"/>
  <c r="J28" i="37" s="1"/>
  <c r="DO41" i="37"/>
  <c r="DF41" i="37" s="1"/>
  <c r="DO32" i="37"/>
  <c r="DF32" i="37" s="1"/>
  <c r="J29" i="37" s="1"/>
  <c r="DO33" i="37"/>
  <c r="DF33" i="37" s="1"/>
  <c r="J30" i="37" s="1"/>
  <c r="DO30" i="37"/>
  <c r="DF30" i="37" s="1"/>
  <c r="J27" i="37" s="1"/>
  <c r="DO29" i="37"/>
  <c r="DF29" i="37" s="1"/>
  <c r="J26" i="37" s="1"/>
  <c r="DO25" i="37"/>
  <c r="DF25" i="37" s="1"/>
  <c r="J22" i="37" s="1"/>
  <c r="DO34" i="37"/>
  <c r="DF34" i="37" s="1"/>
  <c r="J31" i="37" s="1"/>
  <c r="DO26" i="37"/>
  <c r="DF26" i="37" s="1"/>
  <c r="J23" i="37" s="1"/>
  <c r="DO27" i="37"/>
  <c r="DF27" i="37" s="1"/>
  <c r="J24" i="37" s="1"/>
  <c r="DO28" i="37"/>
  <c r="DF28" i="37" s="1"/>
  <c r="J25" i="37" s="1"/>
  <c r="DO24" i="37"/>
  <c r="DF24" i="37" s="1"/>
  <c r="J21" i="37" s="1"/>
  <c r="DG20" i="37"/>
  <c r="DO23" i="37"/>
  <c r="DF23" i="37" s="1"/>
  <c r="J20" i="37" s="1"/>
  <c r="DP20" i="37"/>
  <c r="CW29" i="37"/>
  <c r="CW38" i="37"/>
  <c r="CW34" i="37"/>
  <c r="CW41" i="37"/>
  <c r="CW39" i="37"/>
  <c r="J21" i="36"/>
  <c r="DG24" i="36"/>
  <c r="J23" i="36"/>
  <c r="DG26" i="36"/>
  <c r="J27" i="36"/>
  <c r="DG30" i="36"/>
  <c r="D58" i="36"/>
  <c r="AL50" i="36"/>
  <c r="DY33" i="36"/>
  <c r="DP33" i="36" s="1"/>
  <c r="DY31" i="36"/>
  <c r="DP31" i="36" s="1"/>
  <c r="DY29" i="36"/>
  <c r="DP29" i="36" s="1"/>
  <c r="DY32" i="36"/>
  <c r="DP32" i="36" s="1"/>
  <c r="DY25" i="36"/>
  <c r="DP25" i="36" s="1"/>
  <c r="DY26" i="36"/>
  <c r="DP26" i="36" s="1"/>
  <c r="DY30" i="36"/>
  <c r="DP30" i="36" s="1"/>
  <c r="DY27" i="36"/>
  <c r="DP27" i="36" s="1"/>
  <c r="DY23" i="36"/>
  <c r="DP23" i="36" s="1"/>
  <c r="DY28" i="36"/>
  <c r="DP28" i="36" s="1"/>
  <c r="DY24" i="36"/>
  <c r="DP24" i="36" s="1"/>
  <c r="DY22" i="36"/>
  <c r="DP22" i="36" s="1"/>
  <c r="DZ20" i="36"/>
  <c r="DQ20" i="36"/>
  <c r="J25" i="36"/>
  <c r="DG28" i="36"/>
  <c r="J30" i="36"/>
  <c r="DG33" i="36"/>
  <c r="J29" i="36"/>
  <c r="DG32" i="36"/>
  <c r="J19" i="36"/>
  <c r="DG22" i="36"/>
  <c r="J20" i="36"/>
  <c r="DG23" i="36"/>
  <c r="J26" i="36"/>
  <c r="DG29" i="36"/>
  <c r="J22" i="36"/>
  <c r="DG25" i="36"/>
  <c r="J24" i="36"/>
  <c r="DG27" i="36"/>
  <c r="J28" i="36"/>
  <c r="DG31" i="36"/>
  <c r="AU30" i="36"/>
  <c r="AV29" i="36"/>
  <c r="E56" i="36"/>
  <c r="D52" i="36"/>
  <c r="E51" i="36"/>
  <c r="AM48" i="36"/>
  <c r="I20" i="35"/>
  <c r="CW23" i="35"/>
  <c r="I25" i="35"/>
  <c r="CW28" i="35"/>
  <c r="I30" i="35"/>
  <c r="CW33" i="35"/>
  <c r="I32" i="35"/>
  <c r="CW35" i="35"/>
  <c r="I19" i="35"/>
  <c r="CW22" i="35"/>
  <c r="I21" i="35"/>
  <c r="CW24" i="35"/>
  <c r="I27" i="35"/>
  <c r="CW30" i="35"/>
  <c r="I35" i="35"/>
  <c r="CW38" i="35"/>
  <c r="I28" i="35"/>
  <c r="CW31" i="35"/>
  <c r="I36" i="35"/>
  <c r="CW39" i="35"/>
  <c r="AU28" i="35"/>
  <c r="AV27" i="35"/>
  <c r="I22" i="35"/>
  <c r="CW25" i="35"/>
  <c r="I23" i="35"/>
  <c r="CW26" i="35"/>
  <c r="I31" i="35"/>
  <c r="CW34" i="35"/>
  <c r="I29" i="35"/>
  <c r="CW32" i="35"/>
  <c r="I33" i="35"/>
  <c r="CW36" i="35"/>
  <c r="W8" i="35"/>
  <c r="F9" i="35"/>
  <c r="C46" i="35" s="1"/>
  <c r="H51" i="35" s="1"/>
  <c r="C11" i="35"/>
  <c r="P10" i="35" s="1"/>
  <c r="I26" i="35"/>
  <c r="CW29" i="35"/>
  <c r="DO38" i="35"/>
  <c r="DF38" i="35" s="1"/>
  <c r="DO34" i="35"/>
  <c r="DF34" i="35" s="1"/>
  <c r="DO39" i="35"/>
  <c r="DF39" i="35" s="1"/>
  <c r="DO35" i="35"/>
  <c r="DF35" i="35" s="1"/>
  <c r="DO36" i="35"/>
  <c r="DF36" i="35" s="1"/>
  <c r="DO30" i="35"/>
  <c r="DF30" i="35" s="1"/>
  <c r="DO41" i="35"/>
  <c r="DF41" i="35" s="1"/>
  <c r="DO31" i="35"/>
  <c r="DF31" i="35" s="1"/>
  <c r="DO33" i="35"/>
  <c r="DF33" i="35" s="1"/>
  <c r="DO37" i="35"/>
  <c r="DF37" i="35" s="1"/>
  <c r="DO32" i="35"/>
  <c r="DF32" i="35" s="1"/>
  <c r="DO40" i="35"/>
  <c r="DF40" i="35" s="1"/>
  <c r="DO29" i="35"/>
  <c r="DF29" i="35" s="1"/>
  <c r="DO27" i="35"/>
  <c r="DF27" i="35" s="1"/>
  <c r="DO24" i="35"/>
  <c r="DF24" i="35" s="1"/>
  <c r="DO23" i="35"/>
  <c r="DF23" i="35" s="1"/>
  <c r="DG20" i="35"/>
  <c r="DO28" i="35"/>
  <c r="DF28" i="35" s="1"/>
  <c r="DO25" i="35"/>
  <c r="DF25" i="35" s="1"/>
  <c r="DO22" i="35"/>
  <c r="DF22" i="35" s="1"/>
  <c r="DP20" i="35"/>
  <c r="DO26" i="35"/>
  <c r="DF26" i="35" s="1"/>
  <c r="I24" i="35"/>
  <c r="CW27" i="35"/>
  <c r="I34" i="35"/>
  <c r="CW37" i="35"/>
  <c r="I38" i="35"/>
  <c r="CW41" i="35"/>
  <c r="I37" i="35"/>
  <c r="CW40" i="35"/>
  <c r="F56" i="35"/>
  <c r="AN48" i="35"/>
  <c r="E56" i="34"/>
  <c r="D52" i="34"/>
  <c r="E51" i="34"/>
  <c r="AM48" i="34"/>
  <c r="D58" i="34"/>
  <c r="AL50" i="34"/>
  <c r="AN54" i="34" s="1"/>
  <c r="DY41" i="34"/>
  <c r="DY38" i="34"/>
  <c r="DY39" i="34"/>
  <c r="DY40" i="34"/>
  <c r="DY37" i="34"/>
  <c r="DY33" i="34"/>
  <c r="DY34" i="34"/>
  <c r="DY30" i="34"/>
  <c r="DY35" i="34"/>
  <c r="DY31" i="34"/>
  <c r="DY36" i="34"/>
  <c r="DY32" i="34"/>
  <c r="DY28" i="34"/>
  <c r="DP28" i="34" s="1"/>
  <c r="DY29" i="34"/>
  <c r="DY27" i="34"/>
  <c r="DP27" i="34" s="1"/>
  <c r="DY25" i="34"/>
  <c r="DP25" i="34" s="1"/>
  <c r="DY26" i="34"/>
  <c r="DP26" i="34" s="1"/>
  <c r="DY23" i="34"/>
  <c r="DP23" i="34" s="1"/>
  <c r="DY24" i="34"/>
  <c r="DP24" i="34" s="1"/>
  <c r="DY22" i="34"/>
  <c r="DP22" i="34" s="1"/>
  <c r="DZ20" i="34"/>
  <c r="DQ20" i="34"/>
  <c r="J20" i="34"/>
  <c r="DG23" i="34"/>
  <c r="J19" i="34"/>
  <c r="DG22" i="34"/>
  <c r="J25" i="34"/>
  <c r="DG28" i="34"/>
  <c r="J24" i="34"/>
  <c r="DG27" i="34"/>
  <c r="J22" i="34"/>
  <c r="DG25" i="34"/>
  <c r="J23" i="34"/>
  <c r="DG26" i="34"/>
  <c r="AV28" i="34"/>
  <c r="AU29" i="34"/>
  <c r="IQ29" i="34" s="1"/>
  <c r="J21" i="34"/>
  <c r="DG24" i="34"/>
  <c r="CU23" i="31"/>
  <c r="CL23" i="31" s="1"/>
  <c r="CM23" i="31" s="1"/>
  <c r="CU40" i="31"/>
  <c r="CL40" i="31" s="1"/>
  <c r="CM40" i="31" s="1"/>
  <c r="AY38" i="31"/>
  <c r="CU27" i="31"/>
  <c r="CL27" i="31" s="1"/>
  <c r="CM27" i="31" s="1"/>
  <c r="CU28" i="31"/>
  <c r="CL28" i="31" s="1"/>
  <c r="CM28" i="31" s="1"/>
  <c r="CU31" i="31"/>
  <c r="CL31" i="31" s="1"/>
  <c r="CM31" i="31" s="1"/>
  <c r="CU38" i="31"/>
  <c r="CL38" i="31" s="1"/>
  <c r="CM38" i="31" s="1"/>
  <c r="CU33" i="31"/>
  <c r="CL33" i="31" s="1"/>
  <c r="CM33" i="31" s="1"/>
  <c r="CU37" i="31"/>
  <c r="CL37" i="31" s="1"/>
  <c r="CM37" i="31" s="1"/>
  <c r="CU41" i="31"/>
  <c r="CL41" i="31" s="1"/>
  <c r="CM41" i="31" s="1"/>
  <c r="CU35" i="31"/>
  <c r="CL35" i="31" s="1"/>
  <c r="CM35" i="31" s="1"/>
  <c r="CU25" i="31"/>
  <c r="CL25" i="31" s="1"/>
  <c r="CM25" i="31" s="1"/>
  <c r="CU30" i="31"/>
  <c r="CL30" i="31" s="1"/>
  <c r="CM30" i="31" s="1"/>
  <c r="CU36" i="31"/>
  <c r="CL36" i="31" s="1"/>
  <c r="CM36" i="31" s="1"/>
  <c r="D31" i="31"/>
  <c r="CU24" i="31"/>
  <c r="CL24" i="31" s="1"/>
  <c r="CM24" i="31" s="1"/>
  <c r="CU32" i="31"/>
  <c r="CL32" i="31" s="1"/>
  <c r="CM32" i="31" s="1"/>
  <c r="AV28" i="33"/>
  <c r="AU29" i="33"/>
  <c r="DE38" i="33"/>
  <c r="CV38" i="33" s="1"/>
  <c r="DE39" i="33"/>
  <c r="CV39" i="33" s="1"/>
  <c r="DE35" i="33"/>
  <c r="CV35" i="33" s="1"/>
  <c r="DE40" i="33"/>
  <c r="CV40" i="33" s="1"/>
  <c r="DE36" i="33"/>
  <c r="CV36" i="33" s="1"/>
  <c r="DE41" i="33"/>
  <c r="CV41" i="33" s="1"/>
  <c r="DE30" i="33"/>
  <c r="CV30" i="33" s="1"/>
  <c r="DE31" i="33"/>
  <c r="CV31" i="33" s="1"/>
  <c r="DE34" i="33"/>
  <c r="CV34" i="33" s="1"/>
  <c r="DE32" i="33"/>
  <c r="CV32" i="33" s="1"/>
  <c r="DE29" i="33"/>
  <c r="CV29" i="33" s="1"/>
  <c r="DE27" i="33"/>
  <c r="CV27" i="33" s="1"/>
  <c r="DE33" i="33"/>
  <c r="CV33" i="33" s="1"/>
  <c r="DE28" i="33"/>
  <c r="CV28" i="33" s="1"/>
  <c r="DE24" i="33"/>
  <c r="CV24" i="33" s="1"/>
  <c r="DE23" i="33"/>
  <c r="CV23" i="33" s="1"/>
  <c r="DE37" i="33"/>
  <c r="CV37" i="33" s="1"/>
  <c r="DE25" i="33"/>
  <c r="CV25" i="33" s="1"/>
  <c r="DE22" i="33"/>
  <c r="CV22" i="33" s="1"/>
  <c r="CW20" i="33"/>
  <c r="DE26" i="33"/>
  <c r="CV26" i="33" s="1"/>
  <c r="DF20" i="33"/>
  <c r="H22" i="33"/>
  <c r="CM25" i="33"/>
  <c r="H27" i="33"/>
  <c r="CM30" i="33"/>
  <c r="H29" i="33"/>
  <c r="CM32" i="33"/>
  <c r="H33" i="33"/>
  <c r="CM36" i="33"/>
  <c r="H23" i="33"/>
  <c r="CM26" i="33"/>
  <c r="H20" i="33"/>
  <c r="CM23" i="33"/>
  <c r="H26" i="33"/>
  <c r="CM29" i="33"/>
  <c r="H28" i="33"/>
  <c r="CM31" i="33"/>
  <c r="H37" i="33"/>
  <c r="CM40" i="33"/>
  <c r="H24" i="33"/>
  <c r="CM27" i="33"/>
  <c r="H35" i="33"/>
  <c r="CM38" i="33"/>
  <c r="H21" i="33"/>
  <c r="CM24" i="33"/>
  <c r="H30" i="33"/>
  <c r="CM33" i="33"/>
  <c r="H34" i="33"/>
  <c r="CM37" i="33"/>
  <c r="H32" i="33"/>
  <c r="CM35" i="33"/>
  <c r="W8" i="33"/>
  <c r="F9" i="33"/>
  <c r="C46" i="33" s="1"/>
  <c r="H51" i="33" s="1"/>
  <c r="H19" i="33"/>
  <c r="CM22" i="33"/>
  <c r="H25" i="33"/>
  <c r="CM28" i="33"/>
  <c r="H31" i="33"/>
  <c r="CM34" i="33"/>
  <c r="H38" i="33"/>
  <c r="CM41" i="33"/>
  <c r="H36" i="33"/>
  <c r="CM39" i="33"/>
  <c r="D51" i="33"/>
  <c r="F56" i="33"/>
  <c r="AN48" i="33"/>
  <c r="AN53" i="33" s="1"/>
  <c r="AY27" i="31"/>
  <c r="BS22" i="31"/>
  <c r="E34" i="31"/>
  <c r="F38" i="31"/>
  <c r="F36" i="31"/>
  <c r="D23" i="31"/>
  <c r="AY26" i="31"/>
  <c r="D20" i="31"/>
  <c r="AY23" i="31"/>
  <c r="G36" i="31"/>
  <c r="G34" i="31"/>
  <c r="D36" i="31"/>
  <c r="AY39" i="31"/>
  <c r="D29" i="31"/>
  <c r="AY32" i="31"/>
  <c r="F33" i="31"/>
  <c r="D21" i="31"/>
  <c r="AY24" i="31"/>
  <c r="CM20" i="31"/>
  <c r="CU22" i="31"/>
  <c r="CL22" i="31" s="1"/>
  <c r="CV20" i="31"/>
  <c r="G37" i="31"/>
  <c r="G31" i="31"/>
  <c r="G38" i="31"/>
  <c r="AU27" i="31"/>
  <c r="AV26" i="31"/>
  <c r="E33" i="31"/>
  <c r="D27" i="31"/>
  <c r="AY30" i="31"/>
  <c r="F34" i="31"/>
  <c r="F37" i="31"/>
  <c r="F31" i="31"/>
  <c r="W7" i="31"/>
  <c r="G35" i="31"/>
  <c r="D38" i="31"/>
  <c r="AY41" i="31"/>
  <c r="D33" i="31"/>
  <c r="AY36" i="31"/>
  <c r="D25" i="31"/>
  <c r="AY28" i="31"/>
  <c r="E35" i="31"/>
  <c r="F32" i="31"/>
  <c r="F35" i="31"/>
  <c r="E19" i="31"/>
  <c r="BI22" i="31"/>
  <c r="G19" i="31"/>
  <c r="CC22" i="31"/>
  <c r="G33" i="31"/>
  <c r="G32" i="31"/>
  <c r="C9" i="31"/>
  <c r="E31" i="29"/>
  <c r="E30" i="29"/>
  <c r="BI29" i="29"/>
  <c r="E34" i="29"/>
  <c r="AY34" i="29"/>
  <c r="D31" i="29"/>
  <c r="CM22" i="29"/>
  <c r="H19" i="29"/>
  <c r="BI22" i="29"/>
  <c r="E19" i="29"/>
  <c r="BI28" i="29"/>
  <c r="BS22" i="29"/>
  <c r="F19" i="29"/>
  <c r="AY27" i="29"/>
  <c r="D24" i="29"/>
  <c r="CC22" i="29"/>
  <c r="G19" i="29"/>
  <c r="AY39" i="29"/>
  <c r="D36" i="29"/>
  <c r="AY33" i="29"/>
  <c r="D30" i="29"/>
  <c r="AY29" i="29"/>
  <c r="D26" i="29"/>
  <c r="AY38" i="29"/>
  <c r="D35" i="29"/>
  <c r="BI38" i="29"/>
  <c r="F24" i="29"/>
  <c r="AY23" i="29"/>
  <c r="AY24" i="29"/>
  <c r="AY28" i="29"/>
  <c r="AY41" i="29"/>
  <c r="AY35" i="29"/>
  <c r="D19" i="29"/>
  <c r="BI41" i="29"/>
  <c r="AY30" i="29"/>
  <c r="G24" i="29"/>
  <c r="AY40" i="29"/>
  <c r="AY25" i="29"/>
  <c r="AY31" i="29"/>
  <c r="AY32" i="29"/>
  <c r="AY36" i="29"/>
  <c r="AY37" i="29"/>
  <c r="AY26" i="29"/>
  <c r="E20" i="29"/>
  <c r="BI23" i="29"/>
  <c r="E33" i="29"/>
  <c r="BI36" i="29"/>
  <c r="G25" i="29"/>
  <c r="CC28" i="29"/>
  <c r="E37" i="29"/>
  <c r="BI40" i="29"/>
  <c r="E24" i="29"/>
  <c r="BI27" i="29"/>
  <c r="F22" i="29"/>
  <c r="BS25" i="29"/>
  <c r="CU41" i="29"/>
  <c r="CL41" i="29" s="1"/>
  <c r="CU40" i="29"/>
  <c r="CL40" i="29" s="1"/>
  <c r="CU39" i="29"/>
  <c r="CL39" i="29" s="1"/>
  <c r="CU38" i="29"/>
  <c r="CL38" i="29" s="1"/>
  <c r="CU37" i="29"/>
  <c r="CL37" i="29" s="1"/>
  <c r="CU36" i="29"/>
  <c r="CL36" i="29" s="1"/>
  <c r="CU35" i="29"/>
  <c r="CL35" i="29" s="1"/>
  <c r="CU34" i="29"/>
  <c r="CL34" i="29" s="1"/>
  <c r="CU33" i="29"/>
  <c r="CL33" i="29" s="1"/>
  <c r="CU32" i="29"/>
  <c r="CL32" i="29" s="1"/>
  <c r="CU31" i="29"/>
  <c r="CL31" i="29" s="1"/>
  <c r="CU30" i="29"/>
  <c r="CL30" i="29" s="1"/>
  <c r="CU29" i="29"/>
  <c r="CL29" i="29" s="1"/>
  <c r="H26" i="29" s="1"/>
  <c r="CU28" i="29"/>
  <c r="CL28" i="29" s="1"/>
  <c r="CU27" i="29"/>
  <c r="CL27" i="29" s="1"/>
  <c r="CU26" i="29"/>
  <c r="CL26" i="29" s="1"/>
  <c r="CU25" i="29"/>
  <c r="CL25" i="29" s="1"/>
  <c r="CU24" i="29"/>
  <c r="CL24" i="29" s="1"/>
  <c r="CV20" i="29"/>
  <c r="DE22" i="29" s="1"/>
  <c r="CV22" i="29" s="1"/>
  <c r="CU23" i="29"/>
  <c r="CL23" i="29" s="1"/>
  <c r="CM20" i="29"/>
  <c r="F28" i="29"/>
  <c r="BS31" i="29"/>
  <c r="F31" i="29"/>
  <c r="BS34" i="29"/>
  <c r="F35" i="29"/>
  <c r="BS38" i="29"/>
  <c r="G35" i="29"/>
  <c r="CC38" i="29"/>
  <c r="E27" i="29"/>
  <c r="BI30" i="29"/>
  <c r="G21" i="29"/>
  <c r="CC24" i="29"/>
  <c r="G31" i="29"/>
  <c r="CC34" i="29"/>
  <c r="G27" i="29"/>
  <c r="CC30" i="29"/>
  <c r="G33" i="29"/>
  <c r="CC36" i="29"/>
  <c r="G38" i="29"/>
  <c r="CC41" i="29"/>
  <c r="W7" i="29"/>
  <c r="E32" i="29"/>
  <c r="BI35" i="29"/>
  <c r="AU26" i="29"/>
  <c r="AV25" i="29"/>
  <c r="F32" i="29"/>
  <c r="BS35" i="29"/>
  <c r="G29" i="29"/>
  <c r="CC32" i="29"/>
  <c r="G37" i="29"/>
  <c r="CC40" i="29"/>
  <c r="G23" i="29"/>
  <c r="CC26" i="29"/>
  <c r="F25" i="29"/>
  <c r="BS28" i="29"/>
  <c r="F36" i="29"/>
  <c r="BS39" i="29"/>
  <c r="E36" i="29"/>
  <c r="BI39" i="29"/>
  <c r="E28" i="29"/>
  <c r="BI31" i="29"/>
  <c r="F23" i="29"/>
  <c r="BS26" i="29"/>
  <c r="F21" i="29"/>
  <c r="BS24" i="29"/>
  <c r="F26" i="29"/>
  <c r="BS29" i="29"/>
  <c r="F29" i="29"/>
  <c r="BS32" i="29"/>
  <c r="F33" i="29"/>
  <c r="BS36" i="29"/>
  <c r="F37" i="29"/>
  <c r="BS40" i="29"/>
  <c r="E23" i="29"/>
  <c r="BI26" i="29"/>
  <c r="G32" i="29"/>
  <c r="CC35" i="29"/>
  <c r="G30" i="29"/>
  <c r="CC33" i="29"/>
  <c r="E29" i="29"/>
  <c r="BI32" i="29"/>
  <c r="C9" i="29"/>
  <c r="F8" i="29" s="1"/>
  <c r="G20" i="29"/>
  <c r="CC23" i="29"/>
  <c r="F27" i="29"/>
  <c r="BS30" i="29"/>
  <c r="F30" i="29"/>
  <c r="BS33" i="29"/>
  <c r="F34" i="29"/>
  <c r="BS37" i="29"/>
  <c r="F38" i="29"/>
  <c r="BS41" i="29"/>
  <c r="E22" i="29"/>
  <c r="BI25" i="29"/>
  <c r="G28" i="29"/>
  <c r="CC31" i="29"/>
  <c r="G22" i="29"/>
  <c r="CC25" i="29"/>
  <c r="E21" i="29"/>
  <c r="BI24" i="29"/>
  <c r="G36" i="29"/>
  <c r="CC39" i="29"/>
  <c r="G34" i="29"/>
  <c r="CC37" i="29"/>
  <c r="F8" i="28"/>
  <c r="F9" i="28" s="1"/>
  <c r="C46" i="28" s="1"/>
  <c r="H51" i="28" s="1"/>
  <c r="C45" i="28"/>
  <c r="E22" i="28"/>
  <c r="E24" i="28"/>
  <c r="AY23" i="28"/>
  <c r="AY33" i="28"/>
  <c r="D30" i="28"/>
  <c r="AY22" i="28"/>
  <c r="D19" i="28"/>
  <c r="BS22" i="28"/>
  <c r="F19" i="28"/>
  <c r="CC22" i="28"/>
  <c r="G19" i="28"/>
  <c r="E35" i="28"/>
  <c r="E28" i="28"/>
  <c r="E31" i="28"/>
  <c r="BI41" i="28"/>
  <c r="E23" i="28"/>
  <c r="E34" i="28"/>
  <c r="E21" i="28"/>
  <c r="E26" i="28"/>
  <c r="BI30" i="28"/>
  <c r="AY31" i="28"/>
  <c r="AY39" i="28"/>
  <c r="AY25" i="28"/>
  <c r="AY29" i="28"/>
  <c r="AY37" i="28"/>
  <c r="AY35" i="28"/>
  <c r="AY41" i="28"/>
  <c r="AY27" i="28"/>
  <c r="AY36" i="28"/>
  <c r="BI28" i="28"/>
  <c r="AY30" i="28"/>
  <c r="AY34" i="28"/>
  <c r="AY24" i="28"/>
  <c r="AY32" i="28"/>
  <c r="AY40" i="28"/>
  <c r="AY28" i="28"/>
  <c r="AY38" i="28"/>
  <c r="AY26" i="28"/>
  <c r="E30" i="28"/>
  <c r="BI33" i="28"/>
  <c r="F21" i="28"/>
  <c r="BS24" i="28"/>
  <c r="AU26" i="28"/>
  <c r="AV25" i="28"/>
  <c r="F28" i="28"/>
  <c r="BS31" i="28"/>
  <c r="F22" i="28"/>
  <c r="BS25" i="28"/>
  <c r="F30" i="28"/>
  <c r="BS33" i="28"/>
  <c r="F34" i="28"/>
  <c r="BS37" i="28"/>
  <c r="F38" i="28"/>
  <c r="BS41" i="28"/>
  <c r="E32" i="28"/>
  <c r="BI35" i="28"/>
  <c r="BS23" i="28"/>
  <c r="F33" i="28"/>
  <c r="BS36" i="28"/>
  <c r="E37" i="28"/>
  <c r="BI40" i="28"/>
  <c r="F27" i="28"/>
  <c r="BS30" i="28"/>
  <c r="BI23" i="28"/>
  <c r="E29" i="28"/>
  <c r="BI32" i="28"/>
  <c r="CK41" i="28"/>
  <c r="CB41" i="28" s="1"/>
  <c r="CK40" i="28"/>
  <c r="CB40" i="28" s="1"/>
  <c r="CK39" i="28"/>
  <c r="CB39" i="28" s="1"/>
  <c r="CK38" i="28"/>
  <c r="CB38" i="28" s="1"/>
  <c r="CK37" i="28"/>
  <c r="CB37" i="28" s="1"/>
  <c r="CK36" i="28"/>
  <c r="CB36" i="28" s="1"/>
  <c r="CK35" i="28"/>
  <c r="CB35" i="28" s="1"/>
  <c r="CK34" i="28"/>
  <c r="CB34" i="28" s="1"/>
  <c r="CK31" i="28"/>
  <c r="CB31" i="28" s="1"/>
  <c r="CK30" i="28"/>
  <c r="CB30" i="28" s="1"/>
  <c r="CK29" i="28"/>
  <c r="CB29" i="28" s="1"/>
  <c r="CK28" i="28"/>
  <c r="CB28" i="28" s="1"/>
  <c r="CK27" i="28"/>
  <c r="CB27" i="28" s="1"/>
  <c r="CK26" i="28"/>
  <c r="CB26" i="28" s="1"/>
  <c r="CK25" i="28"/>
  <c r="CB25" i="28" s="1"/>
  <c r="CK23" i="28"/>
  <c r="CB23" i="28" s="1"/>
  <c r="G20" i="28" s="1"/>
  <c r="CK24" i="28"/>
  <c r="CB24" i="28" s="1"/>
  <c r="CK32" i="28"/>
  <c r="CB32" i="28" s="1"/>
  <c r="CL20" i="28"/>
  <c r="CU22" i="28" s="1"/>
  <c r="CL22" i="28" s="1"/>
  <c r="CK33" i="28"/>
  <c r="CB33" i="28" s="1"/>
  <c r="CC20" i="28"/>
  <c r="F23" i="28"/>
  <c r="BS26" i="28"/>
  <c r="F31" i="28"/>
  <c r="BS34" i="28"/>
  <c r="F35" i="28"/>
  <c r="BS38" i="28"/>
  <c r="F26" i="28"/>
  <c r="BS29" i="28"/>
  <c r="F29" i="28"/>
  <c r="BS32" i="28"/>
  <c r="F37" i="28"/>
  <c r="BS40" i="28"/>
  <c r="E36" i="28"/>
  <c r="BI39" i="28"/>
  <c r="F25" i="28"/>
  <c r="BS28" i="28"/>
  <c r="E33" i="28"/>
  <c r="BI36" i="28"/>
  <c r="F24" i="28"/>
  <c r="BS27" i="28"/>
  <c r="F32" i="28"/>
  <c r="BS35" i="28"/>
  <c r="F36" i="28"/>
  <c r="BS39" i="28"/>
  <c r="W7" i="28"/>
  <c r="AL51" i="37" l="1"/>
  <c r="I51" i="36"/>
  <c r="D51" i="28"/>
  <c r="D52" i="28" s="1"/>
  <c r="AN48" i="28"/>
  <c r="AN53" i="28" s="1"/>
  <c r="AL50" i="28"/>
  <c r="HU30" i="40"/>
  <c r="HL30" i="40" s="1"/>
  <c r="HU27" i="40"/>
  <c r="HL27" i="40" s="1"/>
  <c r="HU28" i="40"/>
  <c r="HL28" i="40" s="1"/>
  <c r="HU23" i="40"/>
  <c r="HL23" i="40" s="1"/>
  <c r="HU24" i="40"/>
  <c r="HL24" i="40" s="1"/>
  <c r="HU29" i="40"/>
  <c r="HL29" i="40" s="1"/>
  <c r="HU26" i="40"/>
  <c r="HL26" i="40" s="1"/>
  <c r="HU25" i="40"/>
  <c r="HL25" i="40" s="1"/>
  <c r="HU22" i="40"/>
  <c r="HL22" i="40" s="1"/>
  <c r="HM18" i="40"/>
  <c r="HU31" i="40"/>
  <c r="HL31" i="40" s="1"/>
  <c r="HU21" i="40"/>
  <c r="HL21" i="40" s="1"/>
  <c r="HU20" i="40"/>
  <c r="HL20" i="40" s="1"/>
  <c r="HV18" i="40"/>
  <c r="HC24" i="40"/>
  <c r="T21" i="40"/>
  <c r="HC21" i="40"/>
  <c r="T18" i="40"/>
  <c r="HC25" i="40"/>
  <c r="T22" i="40"/>
  <c r="HC28" i="40"/>
  <c r="T25" i="40"/>
  <c r="HC22" i="40"/>
  <c r="T19" i="40"/>
  <c r="T28" i="40"/>
  <c r="HC31" i="40"/>
  <c r="T17" i="40"/>
  <c r="HC20" i="40"/>
  <c r="HC27" i="40"/>
  <c r="T24" i="40"/>
  <c r="HC23" i="40"/>
  <c r="T20" i="40"/>
  <c r="HC26" i="40"/>
  <c r="T23" i="40"/>
  <c r="HC30" i="40"/>
  <c r="T27" i="40"/>
  <c r="HC29" i="40"/>
  <c r="T26" i="40"/>
  <c r="AO49" i="37"/>
  <c r="AN49" i="37" s="1"/>
  <c r="F34" i="37"/>
  <c r="H34" i="37"/>
  <c r="D34" i="37"/>
  <c r="E34" i="37"/>
  <c r="G34" i="37"/>
  <c r="I34" i="37"/>
  <c r="J34" i="37"/>
  <c r="B35" i="37"/>
  <c r="F25" i="34"/>
  <c r="BS28" i="34"/>
  <c r="AY28" i="34"/>
  <c r="D25" i="34"/>
  <c r="BI28" i="34"/>
  <c r="E25" i="34"/>
  <c r="BH29" i="34"/>
  <c r="AX29" i="34"/>
  <c r="BR29" i="34"/>
  <c r="CL29" i="34"/>
  <c r="CB29" i="34"/>
  <c r="CV29" i="34"/>
  <c r="DP29" i="34"/>
  <c r="K26" i="34" s="1"/>
  <c r="H25" i="34"/>
  <c r="CM28" i="34"/>
  <c r="G25" i="34"/>
  <c r="CC28" i="34"/>
  <c r="DF29" i="34"/>
  <c r="DG26" i="37"/>
  <c r="DG30" i="37"/>
  <c r="DG31" i="37"/>
  <c r="DG40" i="37"/>
  <c r="AV30" i="37"/>
  <c r="AU31" i="37"/>
  <c r="DY41" i="37"/>
  <c r="DP41" i="37" s="1"/>
  <c r="DY37" i="37"/>
  <c r="DP37" i="37" s="1"/>
  <c r="K34" i="37" s="1"/>
  <c r="DY38" i="37"/>
  <c r="DP38" i="37" s="1"/>
  <c r="DY39" i="37"/>
  <c r="DP39" i="37" s="1"/>
  <c r="DY34" i="37"/>
  <c r="DP34" i="37" s="1"/>
  <c r="K31" i="37" s="1"/>
  <c r="DY30" i="37"/>
  <c r="DP30" i="37" s="1"/>
  <c r="K27" i="37" s="1"/>
  <c r="DY36" i="37"/>
  <c r="DP36" i="37" s="1"/>
  <c r="K33" i="37" s="1"/>
  <c r="DY35" i="37"/>
  <c r="DP35" i="37" s="1"/>
  <c r="K32" i="37" s="1"/>
  <c r="DY31" i="37"/>
  <c r="DP31" i="37" s="1"/>
  <c r="K28" i="37" s="1"/>
  <c r="DY40" i="37"/>
  <c r="DP40" i="37" s="1"/>
  <c r="DY32" i="37"/>
  <c r="DP32" i="37" s="1"/>
  <c r="K29" i="37" s="1"/>
  <c r="DY28" i="37"/>
  <c r="DP28" i="37" s="1"/>
  <c r="K25" i="37" s="1"/>
  <c r="DY24" i="37"/>
  <c r="DP24" i="37" s="1"/>
  <c r="K21" i="37" s="1"/>
  <c r="DY29" i="37"/>
  <c r="DP29" i="37" s="1"/>
  <c r="K26" i="37" s="1"/>
  <c r="DY25" i="37"/>
  <c r="DP25" i="37" s="1"/>
  <c r="K22" i="37" s="1"/>
  <c r="DY33" i="37"/>
  <c r="DP33" i="37" s="1"/>
  <c r="K30" i="37" s="1"/>
  <c r="DY26" i="37"/>
  <c r="DP26" i="37" s="1"/>
  <c r="K23" i="37" s="1"/>
  <c r="DY27" i="37"/>
  <c r="DP27" i="37" s="1"/>
  <c r="K24" i="37" s="1"/>
  <c r="DY23" i="37"/>
  <c r="DP23" i="37" s="1"/>
  <c r="K20" i="37" s="1"/>
  <c r="DZ20" i="37"/>
  <c r="DQ20" i="37"/>
  <c r="DG24" i="37"/>
  <c r="DG34" i="37"/>
  <c r="DG33" i="37"/>
  <c r="DG35" i="37"/>
  <c r="DG39" i="37"/>
  <c r="DG23" i="37"/>
  <c r="DG28" i="37"/>
  <c r="DG25" i="37"/>
  <c r="DG32" i="37"/>
  <c r="DG37" i="37"/>
  <c r="DG27" i="37"/>
  <c r="DG29" i="37"/>
  <c r="DG41" i="37"/>
  <c r="DG36" i="37"/>
  <c r="DG38" i="37"/>
  <c r="D59" i="37"/>
  <c r="I52" i="37"/>
  <c r="EI32" i="36"/>
  <c r="DZ32" i="36" s="1"/>
  <c r="EI33" i="36"/>
  <c r="DZ33" i="36" s="1"/>
  <c r="EI31" i="36"/>
  <c r="DZ31" i="36" s="1"/>
  <c r="EI28" i="36"/>
  <c r="DZ28" i="36" s="1"/>
  <c r="EI24" i="36"/>
  <c r="DZ24" i="36" s="1"/>
  <c r="EI25" i="36"/>
  <c r="DZ25" i="36" s="1"/>
  <c r="EI30" i="36"/>
  <c r="DZ30" i="36" s="1"/>
  <c r="EI29" i="36"/>
  <c r="DZ29" i="36" s="1"/>
  <c r="EI26" i="36"/>
  <c r="DZ26" i="36" s="1"/>
  <c r="EI27" i="36"/>
  <c r="DZ27" i="36" s="1"/>
  <c r="EI23" i="36"/>
  <c r="DZ23" i="36" s="1"/>
  <c r="EI22" i="36"/>
  <c r="DZ22" i="36" s="1"/>
  <c r="EJ20" i="36"/>
  <c r="EA20" i="36"/>
  <c r="K20" i="36"/>
  <c r="DQ23" i="36"/>
  <c r="K22" i="36"/>
  <c r="DQ25" i="36"/>
  <c r="K28" i="36"/>
  <c r="DQ31" i="36"/>
  <c r="G56" i="36"/>
  <c r="E52" i="36"/>
  <c r="AO48" i="36"/>
  <c r="AU31" i="36"/>
  <c r="AV30" i="36"/>
  <c r="K25" i="36"/>
  <c r="DQ28" i="36"/>
  <c r="D57" i="36"/>
  <c r="H52" i="36"/>
  <c r="AL49" i="36"/>
  <c r="K19" i="36"/>
  <c r="DQ22" i="36"/>
  <c r="K24" i="36"/>
  <c r="DQ27" i="36"/>
  <c r="K29" i="36"/>
  <c r="DQ32" i="36"/>
  <c r="K30" i="36"/>
  <c r="DQ33" i="36"/>
  <c r="K21" i="36"/>
  <c r="DQ24" i="36"/>
  <c r="K27" i="36"/>
  <c r="DQ30" i="36"/>
  <c r="K26" i="36"/>
  <c r="DQ29" i="36"/>
  <c r="K23" i="36"/>
  <c r="DQ26" i="36"/>
  <c r="J23" i="35"/>
  <c r="DG26" i="35"/>
  <c r="J25" i="35"/>
  <c r="DG28" i="35"/>
  <c r="J24" i="35"/>
  <c r="DG27" i="35"/>
  <c r="J34" i="35"/>
  <c r="DG37" i="35"/>
  <c r="J27" i="35"/>
  <c r="DG30" i="35"/>
  <c r="DY41" i="35"/>
  <c r="DP41" i="35" s="1"/>
  <c r="DY37" i="35"/>
  <c r="DP37" i="35" s="1"/>
  <c r="DY38" i="35"/>
  <c r="DP38" i="35" s="1"/>
  <c r="DY36" i="35"/>
  <c r="DP36" i="35" s="1"/>
  <c r="DY33" i="35"/>
  <c r="DP33" i="35" s="1"/>
  <c r="DY29" i="35"/>
  <c r="DP29" i="35" s="1"/>
  <c r="DY35" i="35"/>
  <c r="DP35" i="35" s="1"/>
  <c r="DY30" i="35"/>
  <c r="DP30" i="35" s="1"/>
  <c r="DY34" i="35"/>
  <c r="DP34" i="35" s="1"/>
  <c r="DY28" i="35"/>
  <c r="DP28" i="35" s="1"/>
  <c r="DY32" i="35"/>
  <c r="DP32" i="35" s="1"/>
  <c r="DY40" i="35"/>
  <c r="DP40" i="35" s="1"/>
  <c r="DY31" i="35"/>
  <c r="DP31" i="35" s="1"/>
  <c r="DY26" i="35"/>
  <c r="DP26" i="35" s="1"/>
  <c r="DZ20" i="35"/>
  <c r="DQ20" i="35"/>
  <c r="DY39" i="35"/>
  <c r="DP39" i="35" s="1"/>
  <c r="DY27" i="35"/>
  <c r="DP27" i="35" s="1"/>
  <c r="DY24" i="35"/>
  <c r="DP24" i="35" s="1"/>
  <c r="DY23" i="35"/>
  <c r="DP23" i="35" s="1"/>
  <c r="DY25" i="35"/>
  <c r="DP25" i="35" s="1"/>
  <c r="DY22" i="35"/>
  <c r="DP22" i="35" s="1"/>
  <c r="J26" i="35"/>
  <c r="DG29" i="35"/>
  <c r="J30" i="35"/>
  <c r="DG33" i="35"/>
  <c r="J33" i="35"/>
  <c r="DG36" i="35"/>
  <c r="J31" i="35"/>
  <c r="DG34" i="35"/>
  <c r="AU29" i="35"/>
  <c r="AV28" i="35"/>
  <c r="J19" i="35"/>
  <c r="DG22" i="35"/>
  <c r="J20" i="35"/>
  <c r="DG23" i="35"/>
  <c r="J37" i="35"/>
  <c r="DG40" i="35"/>
  <c r="J28" i="35"/>
  <c r="DG31" i="35"/>
  <c r="J32" i="35"/>
  <c r="DG35" i="35"/>
  <c r="J35" i="35"/>
  <c r="DG38" i="35"/>
  <c r="E56" i="35"/>
  <c r="D52" i="35"/>
  <c r="E51" i="35"/>
  <c r="AM48" i="35"/>
  <c r="J22" i="35"/>
  <c r="DG25" i="35"/>
  <c r="J21" i="35"/>
  <c r="DG24" i="35"/>
  <c r="J29" i="35"/>
  <c r="DG32" i="35"/>
  <c r="J38" i="35"/>
  <c r="DG41" i="35"/>
  <c r="J36" i="35"/>
  <c r="DG39" i="35"/>
  <c r="D58" i="35"/>
  <c r="AL50" i="35"/>
  <c r="K19" i="34"/>
  <c r="DQ22" i="34"/>
  <c r="K22" i="34"/>
  <c r="DQ25" i="34"/>
  <c r="AV29" i="34"/>
  <c r="AU30" i="34"/>
  <c r="IQ30" i="34" s="1"/>
  <c r="DP30" i="34" s="1"/>
  <c r="DQ30" i="34" s="1"/>
  <c r="K21" i="34"/>
  <c r="DQ24" i="34"/>
  <c r="K24" i="34"/>
  <c r="DQ27" i="34"/>
  <c r="G56" i="34"/>
  <c r="E52" i="34"/>
  <c r="AO48" i="34"/>
  <c r="K20" i="34"/>
  <c r="DQ23" i="34"/>
  <c r="D57" i="34"/>
  <c r="I51" i="34"/>
  <c r="H52" i="34"/>
  <c r="AL49" i="34"/>
  <c r="EI40" i="34"/>
  <c r="EI41" i="34"/>
  <c r="EI38" i="34"/>
  <c r="EI39" i="34"/>
  <c r="EI36" i="34"/>
  <c r="EI32" i="34"/>
  <c r="EI37" i="34"/>
  <c r="EI33" i="34"/>
  <c r="EI34" i="34"/>
  <c r="EI30" i="34"/>
  <c r="EI35" i="34"/>
  <c r="EI29" i="34"/>
  <c r="DZ29" i="34" s="1"/>
  <c r="EI31" i="34"/>
  <c r="EI28" i="34"/>
  <c r="DZ28" i="34" s="1"/>
  <c r="EI27" i="34"/>
  <c r="DZ27" i="34" s="1"/>
  <c r="EI24" i="34"/>
  <c r="DZ24" i="34" s="1"/>
  <c r="EI25" i="34"/>
  <c r="DZ25" i="34" s="1"/>
  <c r="EI26" i="34"/>
  <c r="DZ26" i="34" s="1"/>
  <c r="EI23" i="34"/>
  <c r="DZ23" i="34" s="1"/>
  <c r="EJ20" i="34"/>
  <c r="EA20" i="34"/>
  <c r="EI22" i="34"/>
  <c r="DZ22" i="34" s="1"/>
  <c r="K23" i="34"/>
  <c r="DQ26" i="34"/>
  <c r="K25" i="34"/>
  <c r="DQ28" i="34"/>
  <c r="DE30" i="31"/>
  <c r="CV30" i="31" s="1"/>
  <c r="CW30" i="31" s="1"/>
  <c r="DE24" i="31"/>
  <c r="CV24" i="31" s="1"/>
  <c r="CW24" i="31" s="1"/>
  <c r="DE32" i="31"/>
  <c r="CV32" i="31" s="1"/>
  <c r="CW32" i="31" s="1"/>
  <c r="DE34" i="31"/>
  <c r="CV34" i="31" s="1"/>
  <c r="CW34" i="31" s="1"/>
  <c r="DE39" i="31"/>
  <c r="CV39" i="31" s="1"/>
  <c r="CW39" i="31" s="1"/>
  <c r="DE29" i="31"/>
  <c r="CV29" i="31" s="1"/>
  <c r="CW29" i="31" s="1"/>
  <c r="DE40" i="31"/>
  <c r="CV40" i="31" s="1"/>
  <c r="CW40" i="31" s="1"/>
  <c r="DE35" i="31"/>
  <c r="CV35" i="31" s="1"/>
  <c r="CW35" i="31" s="1"/>
  <c r="DE41" i="31"/>
  <c r="CV41" i="31" s="1"/>
  <c r="CW41" i="31" s="1"/>
  <c r="DE28" i="31"/>
  <c r="CV28" i="31" s="1"/>
  <c r="CW28" i="31" s="1"/>
  <c r="DE23" i="31"/>
  <c r="CV23" i="31" s="1"/>
  <c r="CW23" i="31" s="1"/>
  <c r="DE38" i="31"/>
  <c r="CV38" i="31" s="1"/>
  <c r="CW38" i="31" s="1"/>
  <c r="DE26" i="31"/>
  <c r="CV26" i="31" s="1"/>
  <c r="CW26" i="31" s="1"/>
  <c r="DE31" i="31"/>
  <c r="CV31" i="31" s="1"/>
  <c r="CW31" i="31" s="1"/>
  <c r="DE33" i="31"/>
  <c r="CV33" i="31" s="1"/>
  <c r="CW33" i="31" s="1"/>
  <c r="DE25" i="31"/>
  <c r="CV25" i="31" s="1"/>
  <c r="CW25" i="31" s="1"/>
  <c r="DE36" i="31"/>
  <c r="CV36" i="31" s="1"/>
  <c r="CW36" i="31" s="1"/>
  <c r="DE37" i="31"/>
  <c r="CV37" i="31" s="1"/>
  <c r="CW37" i="31" s="1"/>
  <c r="DE27" i="31"/>
  <c r="CV27" i="31" s="1"/>
  <c r="CW27" i="31" s="1"/>
  <c r="E56" i="33"/>
  <c r="D52" i="33"/>
  <c r="E51" i="33"/>
  <c r="AM48" i="33"/>
  <c r="I20" i="33"/>
  <c r="CW23" i="33"/>
  <c r="I24" i="33"/>
  <c r="CW27" i="33"/>
  <c r="I31" i="33"/>
  <c r="CW34" i="33"/>
  <c r="I33" i="33"/>
  <c r="CW36" i="33"/>
  <c r="I35" i="33"/>
  <c r="CW38" i="33"/>
  <c r="I19" i="33"/>
  <c r="CW22" i="33"/>
  <c r="I21" i="33"/>
  <c r="CW24" i="33"/>
  <c r="I26" i="33"/>
  <c r="CW29" i="33"/>
  <c r="I28" i="33"/>
  <c r="CW31" i="33"/>
  <c r="I37" i="33"/>
  <c r="CW40" i="33"/>
  <c r="AU30" i="33"/>
  <c r="AV29" i="33"/>
  <c r="DO41" i="33"/>
  <c r="DF41" i="33" s="1"/>
  <c r="DO37" i="33"/>
  <c r="DF37" i="33" s="1"/>
  <c r="DO38" i="33"/>
  <c r="DF38" i="33" s="1"/>
  <c r="DO34" i="33"/>
  <c r="DF34" i="33" s="1"/>
  <c r="DO39" i="33"/>
  <c r="DF39" i="33" s="1"/>
  <c r="DO35" i="33"/>
  <c r="DF35" i="33" s="1"/>
  <c r="DO36" i="33"/>
  <c r="DF36" i="33" s="1"/>
  <c r="DO33" i="33"/>
  <c r="DF33" i="33" s="1"/>
  <c r="DO29" i="33"/>
  <c r="DF29" i="33" s="1"/>
  <c r="DO40" i="33"/>
  <c r="DF40" i="33" s="1"/>
  <c r="DO30" i="33"/>
  <c r="DF30" i="33" s="1"/>
  <c r="DO31" i="33"/>
  <c r="DF31" i="33" s="1"/>
  <c r="DO26" i="33"/>
  <c r="DF26" i="33" s="1"/>
  <c r="DO27" i="33"/>
  <c r="DF27" i="33" s="1"/>
  <c r="DO32" i="33"/>
  <c r="DF32" i="33" s="1"/>
  <c r="DO28" i="33"/>
  <c r="DF28" i="33" s="1"/>
  <c r="DO24" i="33"/>
  <c r="DF24" i="33" s="1"/>
  <c r="DP20" i="33"/>
  <c r="DO23" i="33"/>
  <c r="DF23" i="33" s="1"/>
  <c r="DO22" i="33"/>
  <c r="DF22" i="33" s="1"/>
  <c r="DG20" i="33"/>
  <c r="DO25" i="33"/>
  <c r="DF25" i="33" s="1"/>
  <c r="I22" i="33"/>
  <c r="CW25" i="33"/>
  <c r="I25" i="33"/>
  <c r="CW28" i="33"/>
  <c r="I27" i="33"/>
  <c r="CW30" i="33"/>
  <c r="I32" i="33"/>
  <c r="CW35" i="33"/>
  <c r="D58" i="33"/>
  <c r="AL50" i="33"/>
  <c r="AN54" i="33" s="1"/>
  <c r="I23" i="33"/>
  <c r="CW26" i="33"/>
  <c r="I34" i="33"/>
  <c r="CW37" i="33"/>
  <c r="I30" i="33"/>
  <c r="CW33" i="33"/>
  <c r="I29" i="33"/>
  <c r="CW32" i="33"/>
  <c r="I38" i="33"/>
  <c r="CW41" i="33"/>
  <c r="I36" i="33"/>
  <c r="CW39" i="33"/>
  <c r="AU28" i="31"/>
  <c r="AV27" i="31"/>
  <c r="H36" i="31"/>
  <c r="H34" i="31"/>
  <c r="H31" i="31"/>
  <c r="H38" i="31"/>
  <c r="DF20" i="31"/>
  <c r="DE22" i="31"/>
  <c r="CV22" i="31" s="1"/>
  <c r="CW20" i="31"/>
  <c r="H32" i="31"/>
  <c r="H35" i="31"/>
  <c r="H33" i="31"/>
  <c r="C45" i="31"/>
  <c r="F8" i="31"/>
  <c r="H19" i="31"/>
  <c r="CM22" i="31"/>
  <c r="H37" i="31"/>
  <c r="AY22" i="29"/>
  <c r="CW22" i="29"/>
  <c r="I19" i="29"/>
  <c r="C11" i="28"/>
  <c r="P10" i="28" s="1"/>
  <c r="C45" i="29"/>
  <c r="H22" i="29"/>
  <c r="CM25" i="29"/>
  <c r="CM29" i="29"/>
  <c r="H29" i="29"/>
  <c r="CM32" i="29"/>
  <c r="H33" i="29"/>
  <c r="CM36" i="29"/>
  <c r="H37" i="29"/>
  <c r="CM40" i="29"/>
  <c r="H20" i="29"/>
  <c r="CM23" i="29"/>
  <c r="H23" i="29"/>
  <c r="CM26" i="29"/>
  <c r="H27" i="29"/>
  <c r="CM30" i="29"/>
  <c r="H30" i="29"/>
  <c r="CM33" i="29"/>
  <c r="H34" i="29"/>
  <c r="CM37" i="29"/>
  <c r="H38" i="29"/>
  <c r="CM41" i="29"/>
  <c r="DE41" i="29"/>
  <c r="CV41" i="29" s="1"/>
  <c r="DE40" i="29"/>
  <c r="CV40" i="29" s="1"/>
  <c r="DE39" i="29"/>
  <c r="CV39" i="29" s="1"/>
  <c r="DE38" i="29"/>
  <c r="CV38" i="29" s="1"/>
  <c r="DE37" i="29"/>
  <c r="CV37" i="29" s="1"/>
  <c r="DE36" i="29"/>
  <c r="CV36" i="29" s="1"/>
  <c r="DE35" i="29"/>
  <c r="CV35" i="29" s="1"/>
  <c r="DE34" i="29"/>
  <c r="CV34" i="29" s="1"/>
  <c r="DE33" i="29"/>
  <c r="CV33" i="29" s="1"/>
  <c r="DE32" i="29"/>
  <c r="CV32" i="29" s="1"/>
  <c r="DE31" i="29"/>
  <c r="CV31" i="29" s="1"/>
  <c r="DE30" i="29"/>
  <c r="CV30" i="29" s="1"/>
  <c r="DE29" i="29"/>
  <c r="CV29" i="29" s="1"/>
  <c r="DE28" i="29"/>
  <c r="CV28" i="29" s="1"/>
  <c r="DE27" i="29"/>
  <c r="CV27" i="29" s="1"/>
  <c r="DE26" i="29"/>
  <c r="CV26" i="29" s="1"/>
  <c r="DE23" i="29"/>
  <c r="CV23" i="29" s="1"/>
  <c r="DF20" i="29"/>
  <c r="DO22" i="29" s="1"/>
  <c r="DF22" i="29" s="1"/>
  <c r="DE24" i="29"/>
  <c r="CV24" i="29" s="1"/>
  <c r="CW20" i="29"/>
  <c r="DE25" i="29"/>
  <c r="CV25" i="29" s="1"/>
  <c r="H24" i="29"/>
  <c r="CM27" i="29"/>
  <c r="H28" i="29"/>
  <c r="CM31" i="29"/>
  <c r="H31" i="29"/>
  <c r="CM34" i="29"/>
  <c r="H35" i="29"/>
  <c r="CM38" i="29"/>
  <c r="AV26" i="29"/>
  <c r="AU27" i="29"/>
  <c r="H21" i="29"/>
  <c r="CM24" i="29"/>
  <c r="H25" i="29"/>
  <c r="CM28" i="29"/>
  <c r="H32" i="29"/>
  <c r="CM35" i="29"/>
  <c r="H36" i="29"/>
  <c r="CM39" i="29"/>
  <c r="CM22" i="28"/>
  <c r="H19" i="28"/>
  <c r="G30" i="28"/>
  <c r="CC33" i="28"/>
  <c r="CC23" i="28"/>
  <c r="G25" i="28"/>
  <c r="CC28" i="28"/>
  <c r="G31" i="28"/>
  <c r="CC34" i="28"/>
  <c r="G35" i="28"/>
  <c r="CC38" i="28"/>
  <c r="AU27" i="28"/>
  <c r="AV26" i="28"/>
  <c r="CU41" i="28"/>
  <c r="CL41" i="28" s="1"/>
  <c r="CU40" i="28"/>
  <c r="CL40" i="28" s="1"/>
  <c r="CU39" i="28"/>
  <c r="CL39" i="28" s="1"/>
  <c r="CU38" i="28"/>
  <c r="CL38" i="28" s="1"/>
  <c r="CU37" i="28"/>
  <c r="CL37" i="28" s="1"/>
  <c r="CU36" i="28"/>
  <c r="CL36" i="28" s="1"/>
  <c r="CU35" i="28"/>
  <c r="CL35" i="28" s="1"/>
  <c r="CU34" i="28"/>
  <c r="CL34" i="28" s="1"/>
  <c r="CU33" i="28"/>
  <c r="CL33" i="28" s="1"/>
  <c r="CU32" i="28"/>
  <c r="CL32" i="28" s="1"/>
  <c r="CU31" i="28"/>
  <c r="CL31" i="28" s="1"/>
  <c r="CU30" i="28"/>
  <c r="CL30" i="28" s="1"/>
  <c r="CU29" i="28"/>
  <c r="CL29" i="28" s="1"/>
  <c r="CU28" i="28"/>
  <c r="CL28" i="28" s="1"/>
  <c r="CU24" i="28"/>
  <c r="CL24" i="28" s="1"/>
  <c r="CV20" i="28"/>
  <c r="DE22" i="28" s="1"/>
  <c r="CV22" i="28" s="1"/>
  <c r="CM20" i="28"/>
  <c r="CU27" i="28"/>
  <c r="CL27" i="28" s="1"/>
  <c r="CU26" i="28"/>
  <c r="CL26" i="28" s="1"/>
  <c r="CU23" i="28"/>
  <c r="CL23" i="28" s="1"/>
  <c r="H20" i="28" s="1"/>
  <c r="CU25" i="28"/>
  <c r="CL25" i="28" s="1"/>
  <c r="G22" i="28"/>
  <c r="CC25" i="28"/>
  <c r="G26" i="28"/>
  <c r="CC29" i="28"/>
  <c r="G32" i="28"/>
  <c r="CC35" i="28"/>
  <c r="G36" i="28"/>
  <c r="CC39" i="28"/>
  <c r="W8" i="28"/>
  <c r="G29" i="28"/>
  <c r="CC32" i="28"/>
  <c r="G23" i="28"/>
  <c r="CC26" i="28"/>
  <c r="G27" i="28"/>
  <c r="CC30" i="28"/>
  <c r="G33" i="28"/>
  <c r="CC36" i="28"/>
  <c r="G37" i="28"/>
  <c r="CC40" i="28"/>
  <c r="G21" i="28"/>
  <c r="CC24" i="28"/>
  <c r="G24" i="28"/>
  <c r="CC27" i="28"/>
  <c r="G28" i="28"/>
  <c r="CC31" i="28"/>
  <c r="G34" i="28"/>
  <c r="CC37" i="28"/>
  <c r="G38" i="28"/>
  <c r="CC41" i="28"/>
  <c r="F56" i="28"/>
  <c r="I51" i="28" l="1"/>
  <c r="AL49" i="28"/>
  <c r="E51" i="28"/>
  <c r="AM48" i="28"/>
  <c r="HM20" i="40"/>
  <c r="U17" i="40"/>
  <c r="U18" i="40"/>
  <c r="HM21" i="40"/>
  <c r="U22" i="40"/>
  <c r="HM25" i="40"/>
  <c r="HM23" i="40"/>
  <c r="U20" i="40"/>
  <c r="HM31" i="40"/>
  <c r="U28" i="40"/>
  <c r="HM26" i="40"/>
  <c r="U23" i="40"/>
  <c r="U25" i="40"/>
  <c r="HM28" i="40"/>
  <c r="IE31" i="40"/>
  <c r="HV31" i="40" s="1"/>
  <c r="IE26" i="40"/>
  <c r="HV26" i="40" s="1"/>
  <c r="IE30" i="40"/>
  <c r="HV30" i="40" s="1"/>
  <c r="IE27" i="40"/>
  <c r="HV27" i="40" s="1"/>
  <c r="IE22" i="40"/>
  <c r="HV22" i="40" s="1"/>
  <c r="IE28" i="40"/>
  <c r="HV28" i="40" s="1"/>
  <c r="IE25" i="40"/>
  <c r="HV25" i="40" s="1"/>
  <c r="IE23" i="40"/>
  <c r="HV23" i="40" s="1"/>
  <c r="IE29" i="40"/>
  <c r="HV29" i="40" s="1"/>
  <c r="IE20" i="40"/>
  <c r="HV20" i="40" s="1"/>
  <c r="IF18" i="40"/>
  <c r="IE21" i="40"/>
  <c r="HV21" i="40" s="1"/>
  <c r="HW18" i="40"/>
  <c r="IE24" i="40"/>
  <c r="HV24" i="40" s="1"/>
  <c r="U26" i="40"/>
  <c r="HM29" i="40"/>
  <c r="HM27" i="40"/>
  <c r="U24" i="40"/>
  <c r="HM22" i="40"/>
  <c r="U19" i="40"/>
  <c r="HM24" i="40"/>
  <c r="U21" i="40"/>
  <c r="U27" i="40"/>
  <c r="HM30" i="40"/>
  <c r="E35" i="37"/>
  <c r="J35" i="37"/>
  <c r="B36" i="37"/>
  <c r="I35" i="37"/>
  <c r="F35" i="37"/>
  <c r="H35" i="37"/>
  <c r="D35" i="37"/>
  <c r="G35" i="37"/>
  <c r="L35" i="37"/>
  <c r="K35" i="37"/>
  <c r="AM51" i="37"/>
  <c r="AM50" i="37" s="1"/>
  <c r="AO51" i="37"/>
  <c r="DZ30" i="34"/>
  <c r="K27" i="34"/>
  <c r="F26" i="34"/>
  <c r="BS29" i="34"/>
  <c r="DQ29" i="34"/>
  <c r="CW29" i="34"/>
  <c r="I26" i="34"/>
  <c r="D26" i="34"/>
  <c r="AY29" i="34"/>
  <c r="H26" i="34"/>
  <c r="CM29" i="34"/>
  <c r="J26" i="34"/>
  <c r="DG29" i="34"/>
  <c r="BH30" i="34"/>
  <c r="AX30" i="34"/>
  <c r="BR30" i="34"/>
  <c r="CB30" i="34"/>
  <c r="CL30" i="34"/>
  <c r="CV30" i="34"/>
  <c r="DF30" i="34"/>
  <c r="G26" i="34"/>
  <c r="CC29" i="34"/>
  <c r="E26" i="34"/>
  <c r="BI29" i="34"/>
  <c r="D51" i="29"/>
  <c r="DQ23" i="37"/>
  <c r="DQ25" i="37"/>
  <c r="DQ28" i="37"/>
  <c r="DQ35" i="37"/>
  <c r="DQ39" i="37"/>
  <c r="DQ27" i="37"/>
  <c r="DQ29" i="37"/>
  <c r="DQ32" i="37"/>
  <c r="DQ36" i="37"/>
  <c r="DQ38" i="37"/>
  <c r="DQ26" i="37"/>
  <c r="DQ40" i="37"/>
  <c r="DQ30" i="37"/>
  <c r="DQ37" i="37"/>
  <c r="EI40" i="37"/>
  <c r="DZ40" i="37" s="1"/>
  <c r="EI36" i="37"/>
  <c r="DZ36" i="37" s="1"/>
  <c r="L33" i="37" s="1"/>
  <c r="EI41" i="37"/>
  <c r="DZ41" i="37" s="1"/>
  <c r="EI37" i="37"/>
  <c r="DZ37" i="37" s="1"/>
  <c r="L34" i="37" s="1"/>
  <c r="EI38" i="37"/>
  <c r="DZ38" i="37" s="1"/>
  <c r="EI33" i="37"/>
  <c r="DZ33" i="37" s="1"/>
  <c r="L30" i="37" s="1"/>
  <c r="EI34" i="37"/>
  <c r="DZ34" i="37" s="1"/>
  <c r="L31" i="37" s="1"/>
  <c r="EI30" i="37"/>
  <c r="DZ30" i="37" s="1"/>
  <c r="L27" i="37" s="1"/>
  <c r="EI35" i="37"/>
  <c r="DZ35" i="37" s="1"/>
  <c r="L32" i="37" s="1"/>
  <c r="EI31" i="37"/>
  <c r="DZ31" i="37" s="1"/>
  <c r="L28" i="37" s="1"/>
  <c r="EI27" i="37"/>
  <c r="DZ27" i="37" s="1"/>
  <c r="L24" i="37" s="1"/>
  <c r="EI23" i="37"/>
  <c r="DZ23" i="37" s="1"/>
  <c r="L20" i="37" s="1"/>
  <c r="EI39" i="37"/>
  <c r="DZ39" i="37" s="1"/>
  <c r="EI28" i="37"/>
  <c r="DZ28" i="37" s="1"/>
  <c r="L25" i="37" s="1"/>
  <c r="EI29" i="37"/>
  <c r="DZ29" i="37" s="1"/>
  <c r="L26" i="37" s="1"/>
  <c r="EI25" i="37"/>
  <c r="DZ25" i="37" s="1"/>
  <c r="L22" i="37" s="1"/>
  <c r="EI32" i="37"/>
  <c r="DZ32" i="37" s="1"/>
  <c r="L29" i="37" s="1"/>
  <c r="EA20" i="37"/>
  <c r="EI26" i="37"/>
  <c r="DZ26" i="37" s="1"/>
  <c r="L23" i="37" s="1"/>
  <c r="EI24" i="37"/>
  <c r="DZ24" i="37" s="1"/>
  <c r="L21" i="37" s="1"/>
  <c r="EJ20" i="37"/>
  <c r="DQ33" i="37"/>
  <c r="DQ24" i="37"/>
  <c r="DQ31" i="37"/>
  <c r="DQ34" i="37"/>
  <c r="DQ41" i="37"/>
  <c r="AU32" i="37"/>
  <c r="AV31" i="37"/>
  <c r="ES31" i="36"/>
  <c r="EJ31" i="36" s="1"/>
  <c r="ES32" i="36"/>
  <c r="EJ32" i="36" s="1"/>
  <c r="ES33" i="36"/>
  <c r="EJ33" i="36" s="1"/>
  <c r="ES30" i="36"/>
  <c r="EJ30" i="36" s="1"/>
  <c r="ES27" i="36"/>
  <c r="EJ27" i="36" s="1"/>
  <c r="ES28" i="36"/>
  <c r="EJ28" i="36" s="1"/>
  <c r="ES24" i="36"/>
  <c r="EJ24" i="36" s="1"/>
  <c r="ES22" i="36"/>
  <c r="EJ22" i="36" s="1"/>
  <c r="ES29" i="36"/>
  <c r="EJ29" i="36" s="1"/>
  <c r="ES25" i="36"/>
  <c r="EJ25" i="36" s="1"/>
  <c r="ES26" i="36"/>
  <c r="EJ26" i="36" s="1"/>
  <c r="ET20" i="36"/>
  <c r="EK20" i="36"/>
  <c r="ES23" i="36"/>
  <c r="EJ23" i="36" s="1"/>
  <c r="L23" i="36"/>
  <c r="EA26" i="36"/>
  <c r="L21" i="36"/>
  <c r="EA24" i="36"/>
  <c r="L28" i="36"/>
  <c r="EA31" i="36"/>
  <c r="L30" i="36"/>
  <c r="EA33" i="36"/>
  <c r="AU32" i="36"/>
  <c r="AV31" i="36"/>
  <c r="L19" i="36"/>
  <c r="EA22" i="36"/>
  <c r="L26" i="36"/>
  <c r="EA29" i="36"/>
  <c r="L25" i="36"/>
  <c r="EA28" i="36"/>
  <c r="AO49" i="36"/>
  <c r="AM49" i="36"/>
  <c r="L20" i="36"/>
  <c r="EA23" i="36"/>
  <c r="L27" i="36"/>
  <c r="EA30" i="36"/>
  <c r="L29" i="36"/>
  <c r="EA32" i="36"/>
  <c r="D59" i="36"/>
  <c r="I52" i="36"/>
  <c r="AL51" i="36"/>
  <c r="L24" i="36"/>
  <c r="EA27" i="36"/>
  <c r="L22" i="36"/>
  <c r="EA25" i="36"/>
  <c r="K22" i="35"/>
  <c r="DQ25" i="35"/>
  <c r="K31" i="35"/>
  <c r="DQ34" i="35"/>
  <c r="K38" i="35"/>
  <c r="DQ41" i="35"/>
  <c r="K36" i="35"/>
  <c r="DQ39" i="35"/>
  <c r="K28" i="35"/>
  <c r="DQ31" i="35"/>
  <c r="K30" i="35"/>
  <c r="DQ33" i="35"/>
  <c r="G56" i="35"/>
  <c r="AO48" i="35"/>
  <c r="E52" i="35"/>
  <c r="AU30" i="35"/>
  <c r="AV29" i="35"/>
  <c r="K20" i="35"/>
  <c r="DQ23" i="35"/>
  <c r="K37" i="35"/>
  <c r="DQ40" i="35"/>
  <c r="K27" i="35"/>
  <c r="DQ30" i="35"/>
  <c r="K33" i="35"/>
  <c r="DQ36" i="35"/>
  <c r="K21" i="35"/>
  <c r="DQ24" i="35"/>
  <c r="EI40" i="35"/>
  <c r="DZ40" i="35" s="1"/>
  <c r="EI36" i="35"/>
  <c r="DZ36" i="35" s="1"/>
  <c r="EI41" i="35"/>
  <c r="DZ41" i="35" s="1"/>
  <c r="EI37" i="35"/>
  <c r="DZ37" i="35" s="1"/>
  <c r="EI34" i="35"/>
  <c r="DZ34" i="35" s="1"/>
  <c r="EI32" i="35"/>
  <c r="DZ32" i="35" s="1"/>
  <c r="EI35" i="35"/>
  <c r="DZ35" i="35" s="1"/>
  <c r="EI33" i="35"/>
  <c r="DZ33" i="35" s="1"/>
  <c r="EI38" i="35"/>
  <c r="DZ38" i="35" s="1"/>
  <c r="EI27" i="35"/>
  <c r="DZ27" i="35" s="1"/>
  <c r="EI29" i="35"/>
  <c r="DZ29" i="35" s="1"/>
  <c r="EI31" i="35"/>
  <c r="DZ31" i="35" s="1"/>
  <c r="EI30" i="35"/>
  <c r="DZ30" i="35" s="1"/>
  <c r="EI28" i="35"/>
  <c r="DZ28" i="35" s="1"/>
  <c r="EI25" i="35"/>
  <c r="DZ25" i="35" s="1"/>
  <c r="EI22" i="35"/>
  <c r="DZ22" i="35" s="1"/>
  <c r="EI24" i="35"/>
  <c r="DZ24" i="35" s="1"/>
  <c r="EI23" i="35"/>
  <c r="DZ23" i="35" s="1"/>
  <c r="EA20" i="35"/>
  <c r="EI39" i="35"/>
  <c r="DZ39" i="35" s="1"/>
  <c r="EI26" i="35"/>
  <c r="DZ26" i="35" s="1"/>
  <c r="EJ20" i="35"/>
  <c r="K32" i="35"/>
  <c r="DQ35" i="35"/>
  <c r="K35" i="35"/>
  <c r="DQ38" i="35"/>
  <c r="K29" i="35"/>
  <c r="DQ32" i="35"/>
  <c r="D57" i="35"/>
  <c r="I51" i="35"/>
  <c r="H52" i="35"/>
  <c r="AL49" i="35"/>
  <c r="K19" i="35"/>
  <c r="DQ22" i="35"/>
  <c r="K24" i="35"/>
  <c r="DQ27" i="35"/>
  <c r="K23" i="35"/>
  <c r="DQ26" i="35"/>
  <c r="K25" i="35"/>
  <c r="DQ28" i="35"/>
  <c r="K26" i="35"/>
  <c r="DQ29" i="35"/>
  <c r="K34" i="35"/>
  <c r="DQ37" i="35"/>
  <c r="L20" i="34"/>
  <c r="EA23" i="34"/>
  <c r="L24" i="34"/>
  <c r="EA27" i="34"/>
  <c r="L19" i="34"/>
  <c r="EA22" i="34"/>
  <c r="L23" i="34"/>
  <c r="EA26" i="34"/>
  <c r="L25" i="34"/>
  <c r="EA28" i="34"/>
  <c r="L27" i="34"/>
  <c r="EA30" i="34"/>
  <c r="AM49" i="34"/>
  <c r="AO49" i="34"/>
  <c r="L22" i="34"/>
  <c r="EA25" i="34"/>
  <c r="D59" i="34"/>
  <c r="I52" i="34"/>
  <c r="AL51" i="34"/>
  <c r="ES40" i="34"/>
  <c r="ES41" i="34"/>
  <c r="ES35" i="34"/>
  <c r="ES31" i="34"/>
  <c r="ES38" i="34"/>
  <c r="ES36" i="34"/>
  <c r="ES32" i="34"/>
  <c r="ES39" i="34"/>
  <c r="ES37" i="34"/>
  <c r="ES33" i="34"/>
  <c r="ES34" i="34"/>
  <c r="ES28" i="34"/>
  <c r="EJ28" i="34" s="1"/>
  <c r="ES30" i="34"/>
  <c r="EJ30" i="34" s="1"/>
  <c r="ES27" i="34"/>
  <c r="EJ27" i="34" s="1"/>
  <c r="ES29" i="34"/>
  <c r="EJ29" i="34" s="1"/>
  <c r="ES23" i="34"/>
  <c r="EJ23" i="34" s="1"/>
  <c r="ES24" i="34"/>
  <c r="EJ24" i="34" s="1"/>
  <c r="ES22" i="34"/>
  <c r="EJ22" i="34" s="1"/>
  <c r="ES25" i="34"/>
  <c r="EJ25" i="34" s="1"/>
  <c r="ES26" i="34"/>
  <c r="EJ26" i="34" s="1"/>
  <c r="ET20" i="34"/>
  <c r="EK20" i="34"/>
  <c r="L21" i="34"/>
  <c r="EA24" i="34"/>
  <c r="L26" i="34"/>
  <c r="EA29" i="34"/>
  <c r="AU31" i="34"/>
  <c r="IQ31" i="34" s="1"/>
  <c r="AV30" i="34"/>
  <c r="DO25" i="31"/>
  <c r="DF25" i="31" s="1"/>
  <c r="DG25" i="31" s="1"/>
  <c r="DO31" i="31"/>
  <c r="DF31" i="31" s="1"/>
  <c r="DG31" i="31" s="1"/>
  <c r="DO32" i="31"/>
  <c r="DF32" i="31" s="1"/>
  <c r="DG32" i="31" s="1"/>
  <c r="DO40" i="31"/>
  <c r="DF40" i="31" s="1"/>
  <c r="DG40" i="31" s="1"/>
  <c r="DO27" i="31"/>
  <c r="DF27" i="31" s="1"/>
  <c r="DG27" i="31" s="1"/>
  <c r="DO36" i="31"/>
  <c r="DF36" i="31" s="1"/>
  <c r="DG36" i="31" s="1"/>
  <c r="DO38" i="31"/>
  <c r="DF38" i="31" s="1"/>
  <c r="DG38" i="31" s="1"/>
  <c r="DO29" i="31"/>
  <c r="DF29" i="31" s="1"/>
  <c r="DG29" i="31" s="1"/>
  <c r="DO34" i="31"/>
  <c r="DF34" i="31" s="1"/>
  <c r="DG34" i="31" s="1"/>
  <c r="DO30" i="31"/>
  <c r="DF30" i="31" s="1"/>
  <c r="DG30" i="31" s="1"/>
  <c r="DO41" i="31"/>
  <c r="DF41" i="31" s="1"/>
  <c r="DG41" i="31" s="1"/>
  <c r="DO33" i="31"/>
  <c r="DF33" i="31" s="1"/>
  <c r="DG33" i="31" s="1"/>
  <c r="DO35" i="31"/>
  <c r="DF35" i="31" s="1"/>
  <c r="DG35" i="31" s="1"/>
  <c r="DO23" i="31"/>
  <c r="DF23" i="31" s="1"/>
  <c r="DG23" i="31" s="1"/>
  <c r="DO24" i="31"/>
  <c r="DF24" i="31" s="1"/>
  <c r="DG24" i="31" s="1"/>
  <c r="DO28" i="31"/>
  <c r="DF28" i="31" s="1"/>
  <c r="DG28" i="31" s="1"/>
  <c r="DO37" i="31"/>
  <c r="DF37" i="31" s="1"/>
  <c r="DG37" i="31" s="1"/>
  <c r="DO39" i="31"/>
  <c r="DF39" i="31" s="1"/>
  <c r="DG39" i="31" s="1"/>
  <c r="DO26" i="31"/>
  <c r="DF26" i="31" s="1"/>
  <c r="DG26" i="31" s="1"/>
  <c r="J23" i="33"/>
  <c r="DG26" i="33"/>
  <c r="J36" i="33"/>
  <c r="DG39" i="33"/>
  <c r="J19" i="33"/>
  <c r="DG22" i="33"/>
  <c r="J25" i="33"/>
  <c r="DG28" i="33"/>
  <c r="J28" i="33"/>
  <c r="DG31" i="33"/>
  <c r="J30" i="33"/>
  <c r="DG33" i="33"/>
  <c r="J38" i="33"/>
  <c r="DG41" i="33"/>
  <c r="D57" i="33"/>
  <c r="I51" i="33"/>
  <c r="H52" i="33"/>
  <c r="AL49" i="33"/>
  <c r="J20" i="33"/>
  <c r="DG23" i="33"/>
  <c r="DG30" i="33"/>
  <c r="J27" i="33"/>
  <c r="J31" i="33"/>
  <c r="DG34" i="33"/>
  <c r="AU31" i="33"/>
  <c r="AV30" i="33"/>
  <c r="G56" i="33"/>
  <c r="E52" i="33"/>
  <c r="AO48" i="33"/>
  <c r="J29" i="33"/>
  <c r="DG32" i="33"/>
  <c r="J33" i="33"/>
  <c r="DG36" i="33"/>
  <c r="J22" i="33"/>
  <c r="DG25" i="33"/>
  <c r="DY40" i="33"/>
  <c r="DP40" i="33" s="1"/>
  <c r="DY36" i="33"/>
  <c r="DP36" i="33" s="1"/>
  <c r="DY41" i="33"/>
  <c r="DP41" i="33" s="1"/>
  <c r="DY37" i="33"/>
  <c r="DP37" i="33" s="1"/>
  <c r="DY38" i="33"/>
  <c r="DP38" i="33" s="1"/>
  <c r="DY34" i="33"/>
  <c r="DP34" i="33" s="1"/>
  <c r="DY32" i="33"/>
  <c r="DP32" i="33" s="1"/>
  <c r="DY35" i="33"/>
  <c r="DP35" i="33" s="1"/>
  <c r="DY33" i="33"/>
  <c r="DP33" i="33" s="1"/>
  <c r="DY29" i="33"/>
  <c r="DP29" i="33" s="1"/>
  <c r="DY39" i="33"/>
  <c r="DP39" i="33" s="1"/>
  <c r="DY30" i="33"/>
  <c r="DP30" i="33" s="1"/>
  <c r="DY25" i="33"/>
  <c r="DP25" i="33" s="1"/>
  <c r="DY26" i="33"/>
  <c r="DP26" i="33" s="1"/>
  <c r="DY28" i="33"/>
  <c r="DP28" i="33" s="1"/>
  <c r="DY27" i="33"/>
  <c r="DP27" i="33" s="1"/>
  <c r="DY31" i="33"/>
  <c r="DP31" i="33" s="1"/>
  <c r="DY22" i="33"/>
  <c r="DP22" i="33" s="1"/>
  <c r="DQ20" i="33"/>
  <c r="DY24" i="33"/>
  <c r="DP24" i="33" s="1"/>
  <c r="DY23" i="33"/>
  <c r="DP23" i="33" s="1"/>
  <c r="DZ20" i="33"/>
  <c r="J24" i="33"/>
  <c r="DG27" i="33"/>
  <c r="J37" i="33"/>
  <c r="DG40" i="33"/>
  <c r="J32" i="33"/>
  <c r="DG35" i="33"/>
  <c r="J35" i="33"/>
  <c r="DG38" i="33"/>
  <c r="J21" i="33"/>
  <c r="DG24" i="33"/>
  <c r="J26" i="33"/>
  <c r="DG29" i="33"/>
  <c r="J34" i="33"/>
  <c r="DG37" i="33"/>
  <c r="I34" i="31"/>
  <c r="I37" i="31"/>
  <c r="I38" i="31"/>
  <c r="I32" i="31"/>
  <c r="W8" i="31"/>
  <c r="F9" i="31"/>
  <c r="C46" i="31" s="1"/>
  <c r="H51" i="31" s="1"/>
  <c r="C11" i="31"/>
  <c r="P10" i="31" s="1"/>
  <c r="I19" i="31"/>
  <c r="CW22" i="31"/>
  <c r="I35" i="31"/>
  <c r="I36" i="31"/>
  <c r="AV28" i="31"/>
  <c r="AU29" i="31"/>
  <c r="D51" i="31"/>
  <c r="F56" i="31"/>
  <c r="AN48" i="31"/>
  <c r="AN53" i="31" s="1"/>
  <c r="DO22" i="31"/>
  <c r="DF22" i="31" s="1"/>
  <c r="DG20" i="31"/>
  <c r="DP20" i="31"/>
  <c r="I31" i="31"/>
  <c r="I33" i="31"/>
  <c r="DG22" i="29"/>
  <c r="J19" i="29"/>
  <c r="I22" i="29"/>
  <c r="CW25" i="29"/>
  <c r="AV27" i="29"/>
  <c r="AU28" i="29"/>
  <c r="I23" i="29"/>
  <c r="CW26" i="29"/>
  <c r="I27" i="29"/>
  <c r="CW30" i="29"/>
  <c r="I31" i="29"/>
  <c r="CW34" i="29"/>
  <c r="I35" i="29"/>
  <c r="CW38" i="29"/>
  <c r="I24" i="29"/>
  <c r="CW27" i="29"/>
  <c r="I28" i="29"/>
  <c r="CW31" i="29"/>
  <c r="I32" i="29"/>
  <c r="CW35" i="29"/>
  <c r="I36" i="29"/>
  <c r="CW39" i="29"/>
  <c r="I21" i="29"/>
  <c r="CW24" i="29"/>
  <c r="DO41" i="29"/>
  <c r="DF41" i="29" s="1"/>
  <c r="DO40" i="29"/>
  <c r="DF40" i="29" s="1"/>
  <c r="DO39" i="29"/>
  <c r="DF39" i="29" s="1"/>
  <c r="DO38" i="29"/>
  <c r="DF38" i="29" s="1"/>
  <c r="DO37" i="29"/>
  <c r="DF37" i="29" s="1"/>
  <c r="DO36" i="29"/>
  <c r="DF36" i="29" s="1"/>
  <c r="DO35" i="29"/>
  <c r="DF35" i="29" s="1"/>
  <c r="DO34" i="29"/>
  <c r="DF34" i="29" s="1"/>
  <c r="DO33" i="29"/>
  <c r="DF33" i="29" s="1"/>
  <c r="DO32" i="29"/>
  <c r="DF32" i="29" s="1"/>
  <c r="DO31" i="29"/>
  <c r="DF31" i="29" s="1"/>
  <c r="DO30" i="29"/>
  <c r="DF30" i="29" s="1"/>
  <c r="DO29" i="29"/>
  <c r="DF29" i="29" s="1"/>
  <c r="DO28" i="29"/>
  <c r="DF28" i="29" s="1"/>
  <c r="DO27" i="29"/>
  <c r="DF27" i="29" s="1"/>
  <c r="DO26" i="29"/>
  <c r="DF26" i="29" s="1"/>
  <c r="DO25" i="29"/>
  <c r="DF25" i="29" s="1"/>
  <c r="DO24" i="29"/>
  <c r="DF24" i="29" s="1"/>
  <c r="DO23" i="29"/>
  <c r="DF23" i="29" s="1"/>
  <c r="DP20" i="29"/>
  <c r="DY22" i="29" s="1"/>
  <c r="DP22" i="29" s="1"/>
  <c r="DG20" i="29"/>
  <c r="I25" i="29"/>
  <c r="CW28" i="29"/>
  <c r="I29" i="29"/>
  <c r="CW32" i="29"/>
  <c r="I33" i="29"/>
  <c r="CW36" i="29"/>
  <c r="I37" i="29"/>
  <c r="CW40" i="29"/>
  <c r="W8" i="29"/>
  <c r="F9" i="29"/>
  <c r="C46" i="29" s="1"/>
  <c r="H51" i="29" s="1"/>
  <c r="C11" i="29"/>
  <c r="P10" i="29" s="1"/>
  <c r="I20" i="29"/>
  <c r="CW23" i="29"/>
  <c r="I26" i="29"/>
  <c r="CW29" i="29"/>
  <c r="I30" i="29"/>
  <c r="CW33" i="29"/>
  <c r="CW37" i="29"/>
  <c r="I34" i="29"/>
  <c r="I38" i="29"/>
  <c r="CW41" i="29"/>
  <c r="F56" i="29"/>
  <c r="AN48" i="29"/>
  <c r="AN53" i="29" s="1"/>
  <c r="CW22" i="28"/>
  <c r="I19" i="28"/>
  <c r="H22" i="28"/>
  <c r="CM25" i="28"/>
  <c r="H25" i="28"/>
  <c r="CM28" i="28"/>
  <c r="H29" i="28"/>
  <c r="CM32" i="28"/>
  <c r="H33" i="28"/>
  <c r="CM36" i="28"/>
  <c r="H37" i="28"/>
  <c r="CM40" i="28"/>
  <c r="CM23" i="28"/>
  <c r="H26" i="28"/>
  <c r="CM29" i="28"/>
  <c r="H30" i="28"/>
  <c r="CM33" i="28"/>
  <c r="H34" i="28"/>
  <c r="CM37" i="28"/>
  <c r="H38" i="28"/>
  <c r="CM41" i="28"/>
  <c r="D58" i="28"/>
  <c r="AN54" i="28"/>
  <c r="H23" i="28"/>
  <c r="CM26" i="28"/>
  <c r="DE41" i="28"/>
  <c r="CV41" i="28" s="1"/>
  <c r="DE40" i="28"/>
  <c r="CV40" i="28" s="1"/>
  <c r="DE36" i="28"/>
  <c r="CV36" i="28" s="1"/>
  <c r="DE39" i="28"/>
  <c r="CV39" i="28" s="1"/>
  <c r="DE35" i="28"/>
  <c r="CV35" i="28" s="1"/>
  <c r="DE31" i="28"/>
  <c r="CV31" i="28" s="1"/>
  <c r="DE23" i="28"/>
  <c r="CV23" i="28" s="1"/>
  <c r="I20" i="28" s="1"/>
  <c r="DF20" i="28"/>
  <c r="DO22" i="28" s="1"/>
  <c r="DF22" i="28" s="1"/>
  <c r="DE37" i="28"/>
  <c r="CV37" i="28" s="1"/>
  <c r="DE30" i="28"/>
  <c r="CV30" i="28" s="1"/>
  <c r="DE34" i="28"/>
  <c r="CV34" i="28" s="1"/>
  <c r="DE32" i="28"/>
  <c r="CV32" i="28" s="1"/>
  <c r="DE29" i="28"/>
  <c r="CV29" i="28" s="1"/>
  <c r="DE27" i="28"/>
  <c r="CV27" i="28" s="1"/>
  <c r="DE26" i="28"/>
  <c r="CV26" i="28" s="1"/>
  <c r="DE25" i="28"/>
  <c r="CV25" i="28" s="1"/>
  <c r="DE24" i="28"/>
  <c r="CV24" i="28" s="1"/>
  <c r="DE38" i="28"/>
  <c r="CV38" i="28" s="1"/>
  <c r="DE33" i="28"/>
  <c r="CV33" i="28" s="1"/>
  <c r="DE28" i="28"/>
  <c r="CV28" i="28" s="1"/>
  <c r="CW20" i="28"/>
  <c r="H27" i="28"/>
  <c r="CM30" i="28"/>
  <c r="H31" i="28"/>
  <c r="CM34" i="28"/>
  <c r="H35" i="28"/>
  <c r="CM38" i="28"/>
  <c r="E56" i="28"/>
  <c r="H24" i="28"/>
  <c r="CM27" i="28"/>
  <c r="H21" i="28"/>
  <c r="CM24" i="28"/>
  <c r="H28" i="28"/>
  <c r="CM31" i="28"/>
  <c r="H32" i="28"/>
  <c r="CM35" i="28"/>
  <c r="H36" i="28"/>
  <c r="CM39" i="28"/>
  <c r="AU28" i="28"/>
  <c r="AV27" i="28"/>
  <c r="E51" i="29" l="1"/>
  <c r="AO48" i="28"/>
  <c r="AL51" i="28"/>
  <c r="IO30" i="40"/>
  <c r="IF30" i="40" s="1"/>
  <c r="IO31" i="40"/>
  <c r="IF31" i="40" s="1"/>
  <c r="IO29" i="40"/>
  <c r="IF29" i="40" s="1"/>
  <c r="IO25" i="40"/>
  <c r="IF25" i="40" s="1"/>
  <c r="IO26" i="40"/>
  <c r="IF26" i="40" s="1"/>
  <c r="IO27" i="40"/>
  <c r="IF27" i="40" s="1"/>
  <c r="IO28" i="40"/>
  <c r="IF28" i="40" s="1"/>
  <c r="IO22" i="40"/>
  <c r="IF22" i="40" s="1"/>
  <c r="IG18" i="40"/>
  <c r="IO20" i="40"/>
  <c r="IF20" i="40" s="1"/>
  <c r="IO23" i="40"/>
  <c r="IF23" i="40" s="1"/>
  <c r="IO21" i="40"/>
  <c r="IF21" i="40" s="1"/>
  <c r="IO24" i="40"/>
  <c r="IF24" i="40" s="1"/>
  <c r="HW25" i="40"/>
  <c r="V22" i="40"/>
  <c r="HW30" i="40"/>
  <c r="V27" i="40"/>
  <c r="HW24" i="40"/>
  <c r="V21" i="40"/>
  <c r="HW20" i="40"/>
  <c r="V17" i="40"/>
  <c r="HW28" i="40"/>
  <c r="V25" i="40"/>
  <c r="HW26" i="40"/>
  <c r="V23" i="40"/>
  <c r="HW29" i="40"/>
  <c r="V26" i="40"/>
  <c r="HW22" i="40"/>
  <c r="V19" i="40"/>
  <c r="HW31" i="40"/>
  <c r="V28" i="40"/>
  <c r="HW21" i="40"/>
  <c r="V18" i="40"/>
  <c r="HW23" i="40"/>
  <c r="V20" i="40"/>
  <c r="HW27" i="40"/>
  <c r="V24" i="40"/>
  <c r="AM48" i="29"/>
  <c r="G36" i="37"/>
  <c r="L36" i="37"/>
  <c r="E36" i="37"/>
  <c r="D36" i="37"/>
  <c r="F36" i="37"/>
  <c r="K36" i="37"/>
  <c r="H36" i="37"/>
  <c r="J36" i="37"/>
  <c r="I36" i="37"/>
  <c r="B37" i="37"/>
  <c r="AN51" i="37"/>
  <c r="AO50" i="37"/>
  <c r="AN50" i="37" s="1"/>
  <c r="AO57" i="37" s="1"/>
  <c r="EJ31" i="34"/>
  <c r="DZ31" i="34"/>
  <c r="DP31" i="34"/>
  <c r="BH31" i="34"/>
  <c r="AX31" i="34"/>
  <c r="DF31" i="34"/>
  <c r="CV31" i="34"/>
  <c r="CL31" i="34"/>
  <c r="CB31" i="34"/>
  <c r="BR31" i="34"/>
  <c r="J27" i="34"/>
  <c r="DG30" i="34"/>
  <c r="F27" i="34"/>
  <c r="BS30" i="34"/>
  <c r="CM30" i="34"/>
  <c r="H27" i="34"/>
  <c r="BI30" i="34"/>
  <c r="E27" i="34"/>
  <c r="G27" i="34"/>
  <c r="CC30" i="34"/>
  <c r="CW30" i="34"/>
  <c r="I27" i="34"/>
  <c r="D27" i="34"/>
  <c r="AY30" i="34"/>
  <c r="AN49" i="36"/>
  <c r="EA26" i="37"/>
  <c r="EA30" i="37"/>
  <c r="EA41" i="37"/>
  <c r="EA32" i="37"/>
  <c r="EA28" i="37"/>
  <c r="EA31" i="37"/>
  <c r="EA33" i="37"/>
  <c r="EA36" i="37"/>
  <c r="EA29" i="37"/>
  <c r="EA37" i="37"/>
  <c r="ES39" i="37"/>
  <c r="EJ39" i="37" s="1"/>
  <c r="M36" i="37" s="1"/>
  <c r="ES40" i="37"/>
  <c r="EJ40" i="37" s="1"/>
  <c r="ES36" i="37"/>
  <c r="EJ36" i="37" s="1"/>
  <c r="M33" i="37" s="1"/>
  <c r="ES41" i="37"/>
  <c r="EJ41" i="37" s="1"/>
  <c r="ES37" i="37"/>
  <c r="EJ37" i="37" s="1"/>
  <c r="M34" i="37" s="1"/>
  <c r="ES32" i="37"/>
  <c r="EJ32" i="37" s="1"/>
  <c r="M29" i="37" s="1"/>
  <c r="ES33" i="37"/>
  <c r="EJ33" i="37" s="1"/>
  <c r="M30" i="37" s="1"/>
  <c r="ES34" i="37"/>
  <c r="EJ34" i="37" s="1"/>
  <c r="M31" i="37" s="1"/>
  <c r="ES30" i="37"/>
  <c r="EJ30" i="37" s="1"/>
  <c r="M27" i="37" s="1"/>
  <c r="ES35" i="37"/>
  <c r="EJ35" i="37" s="1"/>
  <c r="M32" i="37" s="1"/>
  <c r="ES26" i="37"/>
  <c r="EJ26" i="37" s="1"/>
  <c r="M23" i="37" s="1"/>
  <c r="ES38" i="37"/>
  <c r="EJ38" i="37" s="1"/>
  <c r="M35" i="37" s="1"/>
  <c r="ES27" i="37"/>
  <c r="EJ27" i="37" s="1"/>
  <c r="M24" i="37" s="1"/>
  <c r="ES28" i="37"/>
  <c r="EJ28" i="37" s="1"/>
  <c r="M25" i="37" s="1"/>
  <c r="ES31" i="37"/>
  <c r="EJ31" i="37" s="1"/>
  <c r="M28" i="37" s="1"/>
  <c r="ES29" i="37"/>
  <c r="EJ29" i="37" s="1"/>
  <c r="M26" i="37" s="1"/>
  <c r="ES23" i="37"/>
  <c r="EJ23" i="37" s="1"/>
  <c r="M20" i="37" s="1"/>
  <c r="ES24" i="37"/>
  <c r="EJ24" i="37" s="1"/>
  <c r="M21" i="37" s="1"/>
  <c r="ET20" i="37"/>
  <c r="EK20" i="37"/>
  <c r="ES25" i="37"/>
  <c r="EJ25" i="37" s="1"/>
  <c r="M22" i="37" s="1"/>
  <c r="EA27" i="37"/>
  <c r="EA24" i="37"/>
  <c r="EA25" i="37"/>
  <c r="EA39" i="37"/>
  <c r="EA35" i="37"/>
  <c r="EA38" i="37"/>
  <c r="EA40" i="37"/>
  <c r="EA23" i="37"/>
  <c r="AU33" i="37"/>
  <c r="AV32" i="37"/>
  <c r="EA34" i="37"/>
  <c r="AM51" i="36"/>
  <c r="AM50" i="36" s="1"/>
  <c r="AO51" i="36"/>
  <c r="AO50" i="36" s="1"/>
  <c r="M26" i="36"/>
  <c r="EK29" i="36"/>
  <c r="M24" i="36"/>
  <c r="EK27" i="36"/>
  <c r="M30" i="36"/>
  <c r="EK33" i="36"/>
  <c r="FC31" i="36"/>
  <c r="ET31" i="36" s="1"/>
  <c r="FC32" i="36"/>
  <c r="ET32" i="36" s="1"/>
  <c r="FC30" i="36"/>
  <c r="ET30" i="36" s="1"/>
  <c r="FC29" i="36"/>
  <c r="ET29" i="36" s="1"/>
  <c r="FC33" i="36"/>
  <c r="ET33" i="36" s="1"/>
  <c r="FC26" i="36"/>
  <c r="ET26" i="36" s="1"/>
  <c r="FC27" i="36"/>
  <c r="ET27" i="36" s="1"/>
  <c r="FC23" i="36"/>
  <c r="ET23" i="36" s="1"/>
  <c r="FC28" i="36"/>
  <c r="ET28" i="36" s="1"/>
  <c r="FC24" i="36"/>
  <c r="ET24" i="36" s="1"/>
  <c r="FC25" i="36"/>
  <c r="ET25" i="36" s="1"/>
  <c r="FC22" i="36"/>
  <c r="ET22" i="36" s="1"/>
  <c r="FD20" i="36"/>
  <c r="EU20" i="36"/>
  <c r="M19" i="36"/>
  <c r="EK22" i="36"/>
  <c r="M27" i="36"/>
  <c r="EK30" i="36"/>
  <c r="M28" i="36"/>
  <c r="EK31" i="36"/>
  <c r="AV32" i="36"/>
  <c r="AU33" i="36"/>
  <c r="M23" i="36"/>
  <c r="EK26" i="36"/>
  <c r="M21" i="36"/>
  <c r="EK24" i="36"/>
  <c r="M20" i="36"/>
  <c r="EK23" i="36"/>
  <c r="M22" i="36"/>
  <c r="EK25" i="36"/>
  <c r="M25" i="36"/>
  <c r="EK28" i="36"/>
  <c r="M29" i="36"/>
  <c r="EK32" i="36"/>
  <c r="L21" i="35"/>
  <c r="EA24" i="35"/>
  <c r="G57" i="35"/>
  <c r="AO49" i="35"/>
  <c r="AM49" i="35"/>
  <c r="L36" i="35"/>
  <c r="EA39" i="35"/>
  <c r="L19" i="35"/>
  <c r="EA22" i="35"/>
  <c r="L28" i="35"/>
  <c r="EA31" i="35"/>
  <c r="L30" i="35"/>
  <c r="EA33" i="35"/>
  <c r="L37" i="35"/>
  <c r="EA40" i="35"/>
  <c r="D59" i="35"/>
  <c r="I52" i="35"/>
  <c r="AL51" i="35"/>
  <c r="L22" i="35"/>
  <c r="EA25" i="35"/>
  <c r="L26" i="35"/>
  <c r="EA29" i="35"/>
  <c r="L32" i="35"/>
  <c r="EA35" i="35"/>
  <c r="L34" i="35"/>
  <c r="EA37" i="35"/>
  <c r="ES39" i="35"/>
  <c r="EJ39" i="35" s="1"/>
  <c r="ES35" i="35"/>
  <c r="EJ35" i="35" s="1"/>
  <c r="ES40" i="35"/>
  <c r="EJ40" i="35" s="1"/>
  <c r="ES36" i="35"/>
  <c r="EJ36" i="35" s="1"/>
  <c r="ES31" i="35"/>
  <c r="EJ31" i="35" s="1"/>
  <c r="ES41" i="35"/>
  <c r="EJ41" i="35" s="1"/>
  <c r="ES32" i="35"/>
  <c r="EJ32" i="35" s="1"/>
  <c r="ES38" i="35"/>
  <c r="EJ38" i="35" s="1"/>
  <c r="ES34" i="35"/>
  <c r="EJ34" i="35" s="1"/>
  <c r="ES33" i="35"/>
  <c r="EJ33" i="35" s="1"/>
  <c r="ES37" i="35"/>
  <c r="EJ37" i="35" s="1"/>
  <c r="ES30" i="35"/>
  <c r="EJ30" i="35" s="1"/>
  <c r="ES28" i="35"/>
  <c r="EJ28" i="35" s="1"/>
  <c r="ES29" i="35"/>
  <c r="EJ29" i="35" s="1"/>
  <c r="ES27" i="35"/>
  <c r="EJ27" i="35" s="1"/>
  <c r="ES26" i="35"/>
  <c r="EJ26" i="35" s="1"/>
  <c r="ES24" i="35"/>
  <c r="EJ24" i="35" s="1"/>
  <c r="ES23" i="35"/>
  <c r="EJ23" i="35" s="1"/>
  <c r="ET20" i="35"/>
  <c r="ES25" i="35"/>
  <c r="EJ25" i="35" s="1"/>
  <c r="ES22" i="35"/>
  <c r="EJ22" i="35" s="1"/>
  <c r="EK20" i="35"/>
  <c r="L20" i="35"/>
  <c r="EA23" i="35"/>
  <c r="L25" i="35"/>
  <c r="EA28" i="35"/>
  <c r="L24" i="35"/>
  <c r="EA27" i="35"/>
  <c r="L29" i="35"/>
  <c r="EA32" i="35"/>
  <c r="L38" i="35"/>
  <c r="EA41" i="35"/>
  <c r="L23" i="35"/>
  <c r="EA26" i="35"/>
  <c r="L27" i="35"/>
  <c r="EA30" i="35"/>
  <c r="L35" i="35"/>
  <c r="EA38" i="35"/>
  <c r="L31" i="35"/>
  <c r="EA34" i="35"/>
  <c r="L33" i="35"/>
  <c r="EA36" i="35"/>
  <c r="AU31" i="35"/>
  <c r="AV30" i="35"/>
  <c r="AN49" i="34"/>
  <c r="M23" i="34"/>
  <c r="EK26" i="34"/>
  <c r="M20" i="34"/>
  <c r="EK23" i="34"/>
  <c r="M25" i="34"/>
  <c r="EK28" i="34"/>
  <c r="M28" i="34"/>
  <c r="EK31" i="34"/>
  <c r="M22" i="34"/>
  <c r="EK25" i="34"/>
  <c r="M26" i="34"/>
  <c r="EK29" i="34"/>
  <c r="M19" i="34"/>
  <c r="EK22" i="34"/>
  <c r="M24" i="34"/>
  <c r="EK27" i="34"/>
  <c r="AU32" i="34"/>
  <c r="IQ32" i="34" s="1"/>
  <c r="AV31" i="34"/>
  <c r="FC39" i="34"/>
  <c r="FC41" i="34"/>
  <c r="FC34" i="34"/>
  <c r="FC40" i="34"/>
  <c r="FC38" i="34"/>
  <c r="FC35" i="34"/>
  <c r="FC31" i="34"/>
  <c r="ET31" i="34" s="1"/>
  <c r="FC36" i="34"/>
  <c r="FC32" i="34"/>
  <c r="FC37" i="34"/>
  <c r="FC33" i="34"/>
  <c r="FC27" i="34"/>
  <c r="ET27" i="34" s="1"/>
  <c r="FC29" i="34"/>
  <c r="ET29" i="34" s="1"/>
  <c r="FC30" i="34"/>
  <c r="ET30" i="34" s="1"/>
  <c r="FC26" i="34"/>
  <c r="ET26" i="34" s="1"/>
  <c r="FC28" i="34"/>
  <c r="ET28" i="34" s="1"/>
  <c r="FC23" i="34"/>
  <c r="ET23" i="34" s="1"/>
  <c r="FC24" i="34"/>
  <c r="ET24" i="34" s="1"/>
  <c r="FC25" i="34"/>
  <c r="ET25" i="34" s="1"/>
  <c r="FC22" i="34"/>
  <c r="ET22" i="34" s="1"/>
  <c r="FD20" i="34"/>
  <c r="EU20" i="34"/>
  <c r="M21" i="34"/>
  <c r="EK24" i="34"/>
  <c r="M27" i="34"/>
  <c r="EK30" i="34"/>
  <c r="AO51" i="34"/>
  <c r="AM51" i="34"/>
  <c r="AM50" i="34" s="1"/>
  <c r="DY30" i="31"/>
  <c r="DP30" i="31" s="1"/>
  <c r="DQ30" i="31" s="1"/>
  <c r="DY41" i="31"/>
  <c r="DP41" i="31" s="1"/>
  <c r="DQ41" i="31" s="1"/>
  <c r="DY29" i="31"/>
  <c r="DP29" i="31" s="1"/>
  <c r="DQ29" i="31" s="1"/>
  <c r="DY37" i="31"/>
  <c r="DP37" i="31" s="1"/>
  <c r="DQ37" i="31" s="1"/>
  <c r="DY38" i="31"/>
  <c r="DP38" i="31" s="1"/>
  <c r="DQ38" i="31" s="1"/>
  <c r="DY25" i="31"/>
  <c r="DP25" i="31" s="1"/>
  <c r="DQ25" i="31" s="1"/>
  <c r="DY40" i="31"/>
  <c r="DP40" i="31" s="1"/>
  <c r="DQ40" i="31" s="1"/>
  <c r="DY32" i="31"/>
  <c r="DP32" i="31" s="1"/>
  <c r="DQ32" i="31" s="1"/>
  <c r="DY26" i="31"/>
  <c r="DP26" i="31" s="1"/>
  <c r="DQ26" i="31" s="1"/>
  <c r="DY35" i="31"/>
  <c r="DP35" i="31" s="1"/>
  <c r="DQ35" i="31" s="1"/>
  <c r="DY24" i="31"/>
  <c r="DP24" i="31" s="1"/>
  <c r="DQ24" i="31" s="1"/>
  <c r="DY36" i="31"/>
  <c r="DP36" i="31" s="1"/>
  <c r="DQ36" i="31" s="1"/>
  <c r="DY33" i="31"/>
  <c r="DP33" i="31" s="1"/>
  <c r="DQ33" i="31" s="1"/>
  <c r="DY23" i="31"/>
  <c r="DP23" i="31" s="1"/>
  <c r="DQ23" i="31" s="1"/>
  <c r="DY39" i="31"/>
  <c r="DP39" i="31" s="1"/>
  <c r="DQ39" i="31" s="1"/>
  <c r="DY27" i="31"/>
  <c r="DP27" i="31" s="1"/>
  <c r="DQ27" i="31" s="1"/>
  <c r="DY28" i="31"/>
  <c r="DP28" i="31" s="1"/>
  <c r="DQ28" i="31" s="1"/>
  <c r="DY34" i="31"/>
  <c r="DP34" i="31" s="1"/>
  <c r="DQ34" i="31" s="1"/>
  <c r="DY31" i="31"/>
  <c r="DP31" i="31" s="1"/>
  <c r="DQ31" i="31" s="1"/>
  <c r="K25" i="33"/>
  <c r="DQ28" i="33"/>
  <c r="EI39" i="33"/>
  <c r="DZ39" i="33" s="1"/>
  <c r="EI35" i="33"/>
  <c r="DZ35" i="33" s="1"/>
  <c r="EI40" i="33"/>
  <c r="DZ40" i="33" s="1"/>
  <c r="EI36" i="33"/>
  <c r="DZ36" i="33" s="1"/>
  <c r="EI41" i="33"/>
  <c r="DZ41" i="33" s="1"/>
  <c r="EI37" i="33"/>
  <c r="DZ37" i="33" s="1"/>
  <c r="EI31" i="33"/>
  <c r="DZ31" i="33" s="1"/>
  <c r="EI32" i="33"/>
  <c r="DZ32" i="33" s="1"/>
  <c r="EI28" i="33"/>
  <c r="DZ28" i="33" s="1"/>
  <c r="EI34" i="33"/>
  <c r="DZ34" i="33" s="1"/>
  <c r="EI33" i="33"/>
  <c r="DZ33" i="33" s="1"/>
  <c r="EI29" i="33"/>
  <c r="DZ29" i="33" s="1"/>
  <c r="EI30" i="33"/>
  <c r="DZ30" i="33" s="1"/>
  <c r="EI24" i="33"/>
  <c r="DZ24" i="33" s="1"/>
  <c r="EI23" i="33"/>
  <c r="DZ23" i="33" s="1"/>
  <c r="EI25" i="33"/>
  <c r="DZ25" i="33" s="1"/>
  <c r="EI22" i="33"/>
  <c r="DZ22" i="33" s="1"/>
  <c r="EI38" i="33"/>
  <c r="DZ38" i="33" s="1"/>
  <c r="EI26" i="33"/>
  <c r="DZ26" i="33" s="1"/>
  <c r="EJ20" i="33"/>
  <c r="EA20" i="33"/>
  <c r="EI27" i="33"/>
  <c r="DZ27" i="33" s="1"/>
  <c r="K19" i="33"/>
  <c r="DQ22" i="33"/>
  <c r="K23" i="33"/>
  <c r="DQ26" i="33"/>
  <c r="K26" i="33"/>
  <c r="DQ29" i="33"/>
  <c r="K31" i="33"/>
  <c r="DQ34" i="33"/>
  <c r="K20" i="33"/>
  <c r="DQ23" i="33"/>
  <c r="K22" i="33"/>
  <c r="DQ25" i="33"/>
  <c r="K35" i="33"/>
  <c r="DQ38" i="33"/>
  <c r="K33" i="33"/>
  <c r="DQ36" i="33"/>
  <c r="K28" i="33"/>
  <c r="DQ31" i="33"/>
  <c r="K30" i="33"/>
  <c r="DQ33" i="33"/>
  <c r="K21" i="33"/>
  <c r="DQ24" i="33"/>
  <c r="K24" i="33"/>
  <c r="DQ27" i="33"/>
  <c r="K27" i="33"/>
  <c r="DQ30" i="33"/>
  <c r="K32" i="33"/>
  <c r="DQ35" i="33"/>
  <c r="K34" i="33"/>
  <c r="DQ37" i="33"/>
  <c r="K37" i="33"/>
  <c r="DQ40" i="33"/>
  <c r="AV31" i="33"/>
  <c r="AU32" i="33"/>
  <c r="AO49" i="33"/>
  <c r="AM49" i="33"/>
  <c r="K36" i="33"/>
  <c r="DQ39" i="33"/>
  <c r="K29" i="33"/>
  <c r="DQ32" i="33"/>
  <c r="K38" i="33"/>
  <c r="DQ41" i="33"/>
  <c r="D59" i="33"/>
  <c r="I52" i="33"/>
  <c r="AL51" i="33"/>
  <c r="J19" i="31"/>
  <c r="DG22" i="31"/>
  <c r="J38" i="31"/>
  <c r="J36" i="31"/>
  <c r="J33" i="31"/>
  <c r="D58" i="31"/>
  <c r="AL50" i="31"/>
  <c r="AN54" i="31" s="1"/>
  <c r="J34" i="31"/>
  <c r="J37" i="31"/>
  <c r="J31" i="31"/>
  <c r="E56" i="31"/>
  <c r="D52" i="31"/>
  <c r="AM48" i="31"/>
  <c r="E51" i="31"/>
  <c r="DY22" i="31"/>
  <c r="DP22" i="31" s="1"/>
  <c r="DZ20" i="31"/>
  <c r="DQ20" i="31"/>
  <c r="J32" i="31"/>
  <c r="J35" i="31"/>
  <c r="AU30" i="31"/>
  <c r="AV29" i="31"/>
  <c r="DQ22" i="29"/>
  <c r="K19" i="29"/>
  <c r="J21" i="29"/>
  <c r="DG24" i="29"/>
  <c r="J25" i="29"/>
  <c r="DG28" i="29"/>
  <c r="J29" i="29"/>
  <c r="DG32" i="29"/>
  <c r="J33" i="29"/>
  <c r="DG36" i="29"/>
  <c r="J37" i="29"/>
  <c r="DG40" i="29"/>
  <c r="J22" i="29"/>
  <c r="DG25" i="29"/>
  <c r="J26" i="29"/>
  <c r="DG29" i="29"/>
  <c r="J30" i="29"/>
  <c r="DG33" i="29"/>
  <c r="J34" i="29"/>
  <c r="DG37" i="29"/>
  <c r="J38" i="29"/>
  <c r="DG41" i="29"/>
  <c r="E56" i="29"/>
  <c r="D52" i="29"/>
  <c r="DY41" i="29"/>
  <c r="DP41" i="29" s="1"/>
  <c r="DY37" i="29"/>
  <c r="DP37" i="29" s="1"/>
  <c r="DY33" i="29"/>
  <c r="DP33" i="29" s="1"/>
  <c r="DY40" i="29"/>
  <c r="DP40" i="29" s="1"/>
  <c r="DY36" i="29"/>
  <c r="DP36" i="29" s="1"/>
  <c r="DY32" i="29"/>
  <c r="DP32" i="29" s="1"/>
  <c r="DY39" i="29"/>
  <c r="DP39" i="29" s="1"/>
  <c r="DY35" i="29"/>
  <c r="DP35" i="29" s="1"/>
  <c r="DY28" i="29"/>
  <c r="DP28" i="29" s="1"/>
  <c r="DY26" i="29"/>
  <c r="DP26" i="29" s="1"/>
  <c r="DZ20" i="29"/>
  <c r="EI22" i="29" s="1"/>
  <c r="DZ22" i="29" s="1"/>
  <c r="DY38" i="29"/>
  <c r="DP38" i="29" s="1"/>
  <c r="DY31" i="29"/>
  <c r="DP31" i="29" s="1"/>
  <c r="DY27" i="29"/>
  <c r="DP27" i="29" s="1"/>
  <c r="DY25" i="29"/>
  <c r="DP25" i="29" s="1"/>
  <c r="DY24" i="29"/>
  <c r="DP24" i="29" s="1"/>
  <c r="DQ20" i="29"/>
  <c r="DY34" i="29"/>
  <c r="DP34" i="29" s="1"/>
  <c r="DY30" i="29"/>
  <c r="DP30" i="29" s="1"/>
  <c r="DY23" i="29"/>
  <c r="DP23" i="29" s="1"/>
  <c r="DY29" i="29"/>
  <c r="DP29" i="29" s="1"/>
  <c r="J23" i="29"/>
  <c r="DG26" i="29"/>
  <c r="J27" i="29"/>
  <c r="DG30" i="29"/>
  <c r="J31" i="29"/>
  <c r="DG34" i="29"/>
  <c r="J35" i="29"/>
  <c r="DG38" i="29"/>
  <c r="AV28" i="29"/>
  <c r="AU29" i="29"/>
  <c r="D58" i="29"/>
  <c r="AL50" i="29"/>
  <c r="AN54" i="29" s="1"/>
  <c r="J20" i="29"/>
  <c r="DG23" i="29"/>
  <c r="J24" i="29"/>
  <c r="DG27" i="29"/>
  <c r="J28" i="29"/>
  <c r="DG31" i="29"/>
  <c r="J32" i="29"/>
  <c r="DG35" i="29"/>
  <c r="J36" i="29"/>
  <c r="DG39" i="29"/>
  <c r="DG22" i="28"/>
  <c r="J19" i="28"/>
  <c r="I26" i="28"/>
  <c r="CW29" i="28"/>
  <c r="I32" i="28"/>
  <c r="CW35" i="28"/>
  <c r="I25" i="28"/>
  <c r="CW28" i="28"/>
  <c r="I22" i="28"/>
  <c r="CW25" i="28"/>
  <c r="I29" i="28"/>
  <c r="CW32" i="28"/>
  <c r="DO41" i="28"/>
  <c r="DF41" i="28" s="1"/>
  <c r="DO40" i="28"/>
  <c r="DF40" i="28" s="1"/>
  <c r="DO39" i="28"/>
  <c r="DF39" i="28" s="1"/>
  <c r="DO38" i="28"/>
  <c r="DF38" i="28" s="1"/>
  <c r="DO37" i="28"/>
  <c r="DF37" i="28" s="1"/>
  <c r="DO36" i="28"/>
  <c r="DF36" i="28" s="1"/>
  <c r="DO35" i="28"/>
  <c r="DF35" i="28" s="1"/>
  <c r="DO34" i="28"/>
  <c r="DF34" i="28" s="1"/>
  <c r="DO33" i="28"/>
  <c r="DF33" i="28" s="1"/>
  <c r="DO32" i="28"/>
  <c r="DF32" i="28" s="1"/>
  <c r="DO31" i="28"/>
  <c r="DF31" i="28" s="1"/>
  <c r="DO27" i="28"/>
  <c r="DF27" i="28" s="1"/>
  <c r="DO26" i="28"/>
  <c r="DF26" i="28" s="1"/>
  <c r="DO25" i="28"/>
  <c r="DF25" i="28" s="1"/>
  <c r="DO29" i="28"/>
  <c r="DF29" i="28" s="1"/>
  <c r="DP20" i="28"/>
  <c r="DY22" i="28" s="1"/>
  <c r="DP22" i="28" s="1"/>
  <c r="DG20" i="28"/>
  <c r="DO30" i="28"/>
  <c r="DF30" i="28" s="1"/>
  <c r="DO24" i="28"/>
  <c r="DF24" i="28" s="1"/>
  <c r="DO23" i="28"/>
  <c r="DF23" i="28" s="1"/>
  <c r="J20" i="28" s="1"/>
  <c r="DO28" i="28"/>
  <c r="DF28" i="28" s="1"/>
  <c r="I36" i="28"/>
  <c r="CW39" i="28"/>
  <c r="I34" i="28"/>
  <c r="CW37" i="28"/>
  <c r="AU29" i="28"/>
  <c r="AV28" i="28"/>
  <c r="I30" i="28"/>
  <c r="CW33" i="28"/>
  <c r="I23" i="28"/>
  <c r="CW26" i="28"/>
  <c r="I31" i="28"/>
  <c r="CW34" i="28"/>
  <c r="CW23" i="28"/>
  <c r="I33" i="28"/>
  <c r="CW36" i="28"/>
  <c r="D57" i="28"/>
  <c r="H52" i="28"/>
  <c r="I21" i="28"/>
  <c r="CW24" i="28"/>
  <c r="I38" i="28"/>
  <c r="CW41" i="28"/>
  <c r="G56" i="28"/>
  <c r="E52" i="28"/>
  <c r="I35" i="28"/>
  <c r="CW38" i="28"/>
  <c r="I24" i="28"/>
  <c r="CW27" i="28"/>
  <c r="I27" i="28"/>
  <c r="CW30" i="28"/>
  <c r="I28" i="28"/>
  <c r="CW31" i="28"/>
  <c r="I37" i="28"/>
  <c r="CW40" i="28"/>
  <c r="I51" i="29" l="1"/>
  <c r="AM49" i="28"/>
  <c r="AO58" i="37"/>
  <c r="AB74" i="37" s="1"/>
  <c r="IG21" i="40"/>
  <c r="W18" i="40"/>
  <c r="IG22" i="40"/>
  <c r="W19" i="40"/>
  <c r="IG25" i="40"/>
  <c r="W22" i="40"/>
  <c r="W20" i="40"/>
  <c r="IG23" i="40"/>
  <c r="IG28" i="40"/>
  <c r="W25" i="40"/>
  <c r="IG29" i="40"/>
  <c r="W26" i="40"/>
  <c r="IG20" i="40"/>
  <c r="W17" i="40"/>
  <c r="IG27" i="40"/>
  <c r="W24" i="40"/>
  <c r="IG31" i="40"/>
  <c r="W28" i="40"/>
  <c r="IG24" i="40"/>
  <c r="W21" i="40"/>
  <c r="IG26" i="40"/>
  <c r="W23" i="40"/>
  <c r="IG30" i="40"/>
  <c r="W27" i="40"/>
  <c r="L37" i="37"/>
  <c r="M37" i="37"/>
  <c r="F37" i="37"/>
  <c r="H37" i="37"/>
  <c r="J37" i="37"/>
  <c r="I37" i="37"/>
  <c r="E37" i="37"/>
  <c r="G37" i="37"/>
  <c r="B38" i="37"/>
  <c r="D37" i="37"/>
  <c r="K37" i="37"/>
  <c r="ET32" i="34"/>
  <c r="L28" i="34"/>
  <c r="EA31" i="34"/>
  <c r="H28" i="34"/>
  <c r="CM31" i="34"/>
  <c r="E28" i="34"/>
  <c r="BI31" i="34"/>
  <c r="BS31" i="34"/>
  <c r="F28" i="34"/>
  <c r="J28" i="34"/>
  <c r="DG31" i="34"/>
  <c r="G28" i="34"/>
  <c r="CC31" i="34"/>
  <c r="D28" i="34"/>
  <c r="AY31" i="34"/>
  <c r="BH32" i="34"/>
  <c r="CL32" i="34"/>
  <c r="CB32" i="34"/>
  <c r="BR32" i="34"/>
  <c r="AX32" i="34"/>
  <c r="CV32" i="34"/>
  <c r="DF32" i="34"/>
  <c r="DP32" i="34"/>
  <c r="DZ32" i="34"/>
  <c r="EJ32" i="34"/>
  <c r="CW31" i="34"/>
  <c r="I28" i="34"/>
  <c r="K28" i="34"/>
  <c r="DQ31" i="34"/>
  <c r="EK23" i="37"/>
  <c r="EK27" i="37"/>
  <c r="EK30" i="37"/>
  <c r="EK37" i="37"/>
  <c r="EK40" i="37"/>
  <c r="AV33" i="37"/>
  <c r="AU34" i="37"/>
  <c r="FC38" i="37"/>
  <c r="ET38" i="37" s="1"/>
  <c r="N35" i="37" s="1"/>
  <c r="FC39" i="37"/>
  <c r="ET39" i="37" s="1"/>
  <c r="N36" i="37" s="1"/>
  <c r="FC40" i="37"/>
  <c r="ET40" i="37" s="1"/>
  <c r="N37" i="37" s="1"/>
  <c r="FC36" i="37"/>
  <c r="ET36" i="37" s="1"/>
  <c r="N33" i="37" s="1"/>
  <c r="FC37" i="37"/>
  <c r="ET37" i="37" s="1"/>
  <c r="N34" i="37" s="1"/>
  <c r="FC35" i="37"/>
  <c r="ET35" i="37" s="1"/>
  <c r="N32" i="37" s="1"/>
  <c r="FC31" i="37"/>
  <c r="ET31" i="37" s="1"/>
  <c r="N28" i="37" s="1"/>
  <c r="FC41" i="37"/>
  <c r="ET41" i="37" s="1"/>
  <c r="FC32" i="37"/>
  <c r="ET32" i="37" s="1"/>
  <c r="N29" i="37" s="1"/>
  <c r="FC33" i="37"/>
  <c r="ET33" i="37" s="1"/>
  <c r="N30" i="37" s="1"/>
  <c r="FC30" i="37"/>
  <c r="ET30" i="37" s="1"/>
  <c r="N27" i="37" s="1"/>
  <c r="FC29" i="37"/>
  <c r="ET29" i="37" s="1"/>
  <c r="N26" i="37" s="1"/>
  <c r="FC25" i="37"/>
  <c r="ET25" i="37" s="1"/>
  <c r="N22" i="37" s="1"/>
  <c r="FC34" i="37"/>
  <c r="ET34" i="37" s="1"/>
  <c r="N31" i="37" s="1"/>
  <c r="FC26" i="37"/>
  <c r="ET26" i="37" s="1"/>
  <c r="N23" i="37" s="1"/>
  <c r="FC27" i="37"/>
  <c r="ET27" i="37" s="1"/>
  <c r="N24" i="37" s="1"/>
  <c r="FC28" i="37"/>
  <c r="ET28" i="37" s="1"/>
  <c r="N25" i="37" s="1"/>
  <c r="FC24" i="37"/>
  <c r="ET24" i="37" s="1"/>
  <c r="N21" i="37" s="1"/>
  <c r="EU20" i="37"/>
  <c r="FC23" i="37"/>
  <c r="ET23" i="37" s="1"/>
  <c r="N20" i="37" s="1"/>
  <c r="FD20" i="37"/>
  <c r="EK29" i="37"/>
  <c r="EK38" i="37"/>
  <c r="EK34" i="37"/>
  <c r="EK41" i="37"/>
  <c r="EK39" i="37"/>
  <c r="EK31" i="37"/>
  <c r="EK26" i="37"/>
  <c r="EK33" i="37"/>
  <c r="EK25" i="37"/>
  <c r="EK24" i="37"/>
  <c r="EK28" i="37"/>
  <c r="EK35" i="37"/>
  <c r="EK32" i="37"/>
  <c r="EK36" i="37"/>
  <c r="AN50" i="36"/>
  <c r="AO57" i="36" s="1"/>
  <c r="AO58" i="36" s="1"/>
  <c r="AB74" i="36" s="1"/>
  <c r="AV33" i="36"/>
  <c r="AU34" i="36"/>
  <c r="N22" i="36"/>
  <c r="EU25" i="36"/>
  <c r="N24" i="36"/>
  <c r="EU27" i="36"/>
  <c r="EU31" i="36"/>
  <c r="N28" i="36"/>
  <c r="N21" i="36"/>
  <c r="EU24" i="36"/>
  <c r="N23" i="36"/>
  <c r="EU26" i="36"/>
  <c r="N27" i="36"/>
  <c r="EU30" i="36"/>
  <c r="AN51" i="36"/>
  <c r="FM33" i="36"/>
  <c r="FD33" i="36" s="1"/>
  <c r="FM31" i="36"/>
  <c r="FD31" i="36" s="1"/>
  <c r="FM29" i="36"/>
  <c r="FD29" i="36" s="1"/>
  <c r="FM32" i="36"/>
  <c r="FD32" i="36" s="1"/>
  <c r="FM25" i="36"/>
  <c r="FD25" i="36" s="1"/>
  <c r="FM26" i="36"/>
  <c r="FD26" i="36" s="1"/>
  <c r="FM30" i="36"/>
  <c r="FD30" i="36" s="1"/>
  <c r="FM27" i="36"/>
  <c r="FD27" i="36" s="1"/>
  <c r="FM23" i="36"/>
  <c r="FD23" i="36" s="1"/>
  <c r="FM28" i="36"/>
  <c r="FD28" i="36" s="1"/>
  <c r="FM24" i="36"/>
  <c r="FD24" i="36" s="1"/>
  <c r="FM22" i="36"/>
  <c r="FD22" i="36" s="1"/>
  <c r="FN20" i="36"/>
  <c r="FE20" i="36"/>
  <c r="N25" i="36"/>
  <c r="EU28" i="36"/>
  <c r="N30" i="36"/>
  <c r="E59" i="36" s="1"/>
  <c r="EU33" i="36"/>
  <c r="N29" i="36"/>
  <c r="E57" i="36" s="1"/>
  <c r="EU32" i="36"/>
  <c r="N19" i="36"/>
  <c r="EU22" i="36"/>
  <c r="N20" i="36"/>
  <c r="EU23" i="36"/>
  <c r="N26" i="36"/>
  <c r="EU29" i="36"/>
  <c r="AN49" i="35"/>
  <c r="M21" i="35"/>
  <c r="EK24" i="35"/>
  <c r="M22" i="35"/>
  <c r="EK25" i="35"/>
  <c r="M23" i="35"/>
  <c r="EK26" i="35"/>
  <c r="EK30" i="35"/>
  <c r="M27" i="35"/>
  <c r="M35" i="35"/>
  <c r="EK38" i="35"/>
  <c r="M33" i="35"/>
  <c r="EK36" i="35"/>
  <c r="EU20" i="35"/>
  <c r="FD20" i="35"/>
  <c r="M24" i="35"/>
  <c r="EK27" i="35"/>
  <c r="M34" i="35"/>
  <c r="E57" i="35" s="1"/>
  <c r="F57" i="35" s="1"/>
  <c r="EK37" i="35"/>
  <c r="M29" i="35"/>
  <c r="EK32" i="35"/>
  <c r="M37" i="35"/>
  <c r="EK40" i="35"/>
  <c r="E59" i="35"/>
  <c r="G59" i="35"/>
  <c r="AM51" i="35"/>
  <c r="AM50" i="35" s="1"/>
  <c r="AO51" i="35"/>
  <c r="AU32" i="35"/>
  <c r="AV31" i="35"/>
  <c r="M20" i="35"/>
  <c r="EK23" i="35"/>
  <c r="M26" i="35"/>
  <c r="EK29" i="35"/>
  <c r="M30" i="35"/>
  <c r="EK33" i="35"/>
  <c r="M38" i="35"/>
  <c r="EK41" i="35"/>
  <c r="M32" i="35"/>
  <c r="EK35" i="35"/>
  <c r="M19" i="35"/>
  <c r="EK22" i="35"/>
  <c r="M25" i="35"/>
  <c r="EK28" i="35"/>
  <c r="M31" i="35"/>
  <c r="EK34" i="35"/>
  <c r="M28" i="35"/>
  <c r="EK31" i="35"/>
  <c r="M36" i="35"/>
  <c r="EK39" i="35"/>
  <c r="N21" i="34"/>
  <c r="EU24" i="34"/>
  <c r="N27" i="34"/>
  <c r="EU30" i="34"/>
  <c r="AV32" i="34"/>
  <c r="AU33" i="34"/>
  <c r="IQ33" i="34" s="1"/>
  <c r="ET33" i="34" s="1"/>
  <c r="N30" i="34" s="1"/>
  <c r="FM41" i="34"/>
  <c r="FM38" i="34"/>
  <c r="FM39" i="34"/>
  <c r="FM40" i="34"/>
  <c r="FM37" i="34"/>
  <c r="FM33" i="34"/>
  <c r="FM34" i="34"/>
  <c r="FM30" i="34"/>
  <c r="FD30" i="34" s="1"/>
  <c r="FM35" i="34"/>
  <c r="FM31" i="34"/>
  <c r="FD31" i="34" s="1"/>
  <c r="FM36" i="34"/>
  <c r="FM32" i="34"/>
  <c r="FD32" i="34" s="1"/>
  <c r="FM28" i="34"/>
  <c r="FD28" i="34" s="1"/>
  <c r="FM29" i="34"/>
  <c r="FD29" i="34" s="1"/>
  <c r="FM27" i="34"/>
  <c r="FD27" i="34" s="1"/>
  <c r="FM25" i="34"/>
  <c r="FD25" i="34" s="1"/>
  <c r="FM26" i="34"/>
  <c r="FD26" i="34" s="1"/>
  <c r="FM23" i="34"/>
  <c r="FD23" i="34" s="1"/>
  <c r="FM24" i="34"/>
  <c r="FD24" i="34" s="1"/>
  <c r="FM22" i="34"/>
  <c r="FD22" i="34" s="1"/>
  <c r="FN20" i="34"/>
  <c r="FE20" i="34"/>
  <c r="N20" i="34"/>
  <c r="EU23" i="34"/>
  <c r="N26" i="34"/>
  <c r="EU29" i="34"/>
  <c r="N29" i="34"/>
  <c r="EU32" i="34"/>
  <c r="AN51" i="34"/>
  <c r="N19" i="34"/>
  <c r="EU22" i="34"/>
  <c r="N25" i="34"/>
  <c r="EU28" i="34"/>
  <c r="N24" i="34"/>
  <c r="EU27" i="34"/>
  <c r="N22" i="34"/>
  <c r="EU25" i="34"/>
  <c r="N23" i="34"/>
  <c r="EU26" i="34"/>
  <c r="N28" i="34"/>
  <c r="EU31" i="34"/>
  <c r="AO50" i="34"/>
  <c r="AN50" i="34" s="1"/>
  <c r="AO57" i="34" s="1"/>
  <c r="AN49" i="33"/>
  <c r="EI28" i="31"/>
  <c r="DZ28" i="31" s="1"/>
  <c r="EA28" i="31" s="1"/>
  <c r="EI27" i="31"/>
  <c r="DZ27" i="31" s="1"/>
  <c r="EA27" i="31" s="1"/>
  <c r="EI31" i="31"/>
  <c r="DZ31" i="31" s="1"/>
  <c r="EA31" i="31" s="1"/>
  <c r="EI38" i="31"/>
  <c r="DZ38" i="31" s="1"/>
  <c r="EA38" i="31" s="1"/>
  <c r="EI33" i="31"/>
  <c r="DZ33" i="31" s="1"/>
  <c r="EA33" i="31" s="1"/>
  <c r="EI29" i="31"/>
  <c r="DZ29" i="31" s="1"/>
  <c r="EA29" i="31" s="1"/>
  <c r="EI26" i="31"/>
  <c r="DZ26" i="31" s="1"/>
  <c r="EA26" i="31" s="1"/>
  <c r="EI35" i="31"/>
  <c r="DZ35" i="31" s="1"/>
  <c r="EA35" i="31" s="1"/>
  <c r="EI40" i="31"/>
  <c r="DZ40" i="31" s="1"/>
  <c r="EA40" i="31" s="1"/>
  <c r="EI37" i="31"/>
  <c r="DZ37" i="31" s="1"/>
  <c r="EA37" i="31" s="1"/>
  <c r="EI32" i="31"/>
  <c r="DZ32" i="31" s="1"/>
  <c r="EA32" i="31" s="1"/>
  <c r="EI34" i="31"/>
  <c r="DZ34" i="31" s="1"/>
  <c r="EA34" i="31" s="1"/>
  <c r="EI39" i="31"/>
  <c r="DZ39" i="31" s="1"/>
  <c r="EA39" i="31" s="1"/>
  <c r="EI36" i="31"/>
  <c r="DZ36" i="31" s="1"/>
  <c r="EA36" i="31" s="1"/>
  <c r="EI25" i="31"/>
  <c r="DZ25" i="31" s="1"/>
  <c r="EA25" i="31" s="1"/>
  <c r="EI23" i="31"/>
  <c r="DZ23" i="31" s="1"/>
  <c r="EA23" i="31" s="1"/>
  <c r="EI24" i="31"/>
  <c r="DZ24" i="31" s="1"/>
  <c r="EA24" i="31" s="1"/>
  <c r="EI30" i="31"/>
  <c r="DZ30" i="31" s="1"/>
  <c r="EA30" i="31" s="1"/>
  <c r="EI41" i="31"/>
  <c r="DZ41" i="31" s="1"/>
  <c r="EA41" i="31" s="1"/>
  <c r="L23" i="33"/>
  <c r="EA26" i="33"/>
  <c r="L20" i="33"/>
  <c r="EA23" i="33"/>
  <c r="L30" i="33"/>
  <c r="EA33" i="33"/>
  <c r="L28" i="33"/>
  <c r="EA31" i="33"/>
  <c r="L37" i="33"/>
  <c r="EA40" i="33"/>
  <c r="L24" i="33"/>
  <c r="EA27" i="33"/>
  <c r="L35" i="33"/>
  <c r="EA38" i="33"/>
  <c r="L21" i="33"/>
  <c r="EA24" i="33"/>
  <c r="L31" i="33"/>
  <c r="EA34" i="33"/>
  <c r="L34" i="33"/>
  <c r="EA37" i="33"/>
  <c r="L32" i="33"/>
  <c r="EA35" i="33"/>
  <c r="AV32" i="33"/>
  <c r="AU33" i="33"/>
  <c r="L19" i="33"/>
  <c r="EA22" i="33"/>
  <c r="L27" i="33"/>
  <c r="EA30" i="33"/>
  <c r="L25" i="33"/>
  <c r="EA28" i="33"/>
  <c r="L38" i="33"/>
  <c r="EA41" i="33"/>
  <c r="L36" i="33"/>
  <c r="EA39" i="33"/>
  <c r="AM51" i="33"/>
  <c r="AM50" i="33" s="1"/>
  <c r="AO51" i="33"/>
  <c r="ES38" i="33"/>
  <c r="EJ38" i="33" s="1"/>
  <c r="ES34" i="33"/>
  <c r="EJ34" i="33" s="1"/>
  <c r="ES39" i="33"/>
  <c r="EJ39" i="33" s="1"/>
  <c r="ES35" i="33"/>
  <c r="EJ35" i="33" s="1"/>
  <c r="ES40" i="33"/>
  <c r="EJ40" i="33" s="1"/>
  <c r="ES36" i="33"/>
  <c r="EJ36" i="33" s="1"/>
  <c r="ES41" i="33"/>
  <c r="EJ41" i="33" s="1"/>
  <c r="ES30" i="33"/>
  <c r="EJ30" i="33" s="1"/>
  <c r="ES31" i="33"/>
  <c r="EJ31" i="33" s="1"/>
  <c r="ES32" i="33"/>
  <c r="EJ32" i="33" s="1"/>
  <c r="ES28" i="33"/>
  <c r="EJ28" i="33" s="1"/>
  <c r="ES29" i="33"/>
  <c r="EJ29" i="33" s="1"/>
  <c r="ES27" i="33"/>
  <c r="EJ27" i="33" s="1"/>
  <c r="ES33" i="33"/>
  <c r="EJ33" i="33" s="1"/>
  <c r="ES24" i="33"/>
  <c r="EJ24" i="33" s="1"/>
  <c r="ES23" i="33"/>
  <c r="EJ23" i="33" s="1"/>
  <c r="ES37" i="33"/>
  <c r="EJ37" i="33" s="1"/>
  <c r="ES25" i="33"/>
  <c r="EJ25" i="33" s="1"/>
  <c r="ES22" i="33"/>
  <c r="EJ22" i="33" s="1"/>
  <c r="ES26" i="33"/>
  <c r="EJ26" i="33" s="1"/>
  <c r="ET20" i="33"/>
  <c r="EK20" i="33"/>
  <c r="L22" i="33"/>
  <c r="EA25" i="33"/>
  <c r="L26" i="33"/>
  <c r="EA29" i="33"/>
  <c r="L29" i="33"/>
  <c r="EA32" i="33"/>
  <c r="EA36" i="33"/>
  <c r="L33" i="33"/>
  <c r="K37" i="31"/>
  <c r="K36" i="31"/>
  <c r="K34" i="31"/>
  <c r="EA20" i="31"/>
  <c r="EI22" i="31"/>
  <c r="DZ22" i="31" s="1"/>
  <c r="EJ20" i="31"/>
  <c r="K31" i="31"/>
  <c r="K38" i="31"/>
  <c r="K19" i="31"/>
  <c r="DQ22" i="31"/>
  <c r="K35" i="31"/>
  <c r="G56" i="31"/>
  <c r="E52" i="31"/>
  <c r="AO48" i="31"/>
  <c r="AU31" i="31"/>
  <c r="AV30" i="31"/>
  <c r="K33" i="31"/>
  <c r="K32" i="31"/>
  <c r="D57" i="31"/>
  <c r="I51" i="31"/>
  <c r="H52" i="31"/>
  <c r="AL49" i="31"/>
  <c r="EA22" i="29"/>
  <c r="L19" i="29"/>
  <c r="K27" i="29"/>
  <c r="DQ30" i="29"/>
  <c r="K22" i="29"/>
  <c r="DQ25" i="29"/>
  <c r="EI41" i="29"/>
  <c r="DZ41" i="29" s="1"/>
  <c r="EI40" i="29"/>
  <c r="DZ40" i="29" s="1"/>
  <c r="EI39" i="29"/>
  <c r="DZ39" i="29" s="1"/>
  <c r="EI38" i="29"/>
  <c r="DZ38" i="29" s="1"/>
  <c r="EI37" i="29"/>
  <c r="DZ37" i="29" s="1"/>
  <c r="EI36" i="29"/>
  <c r="DZ36" i="29" s="1"/>
  <c r="EI35" i="29"/>
  <c r="DZ35" i="29" s="1"/>
  <c r="EI34" i="29"/>
  <c r="DZ34" i="29" s="1"/>
  <c r="EI33" i="29"/>
  <c r="DZ33" i="29" s="1"/>
  <c r="EI32" i="29"/>
  <c r="DZ32" i="29" s="1"/>
  <c r="EI31" i="29"/>
  <c r="DZ31" i="29" s="1"/>
  <c r="EI30" i="29"/>
  <c r="DZ30" i="29" s="1"/>
  <c r="EI29" i="29"/>
  <c r="DZ29" i="29" s="1"/>
  <c r="EI28" i="29"/>
  <c r="DZ28" i="29" s="1"/>
  <c r="EI27" i="29"/>
  <c r="DZ27" i="29" s="1"/>
  <c r="EI26" i="29"/>
  <c r="DZ26" i="29" s="1"/>
  <c r="EI25" i="29"/>
  <c r="DZ25" i="29" s="1"/>
  <c r="EI24" i="29"/>
  <c r="DZ24" i="29" s="1"/>
  <c r="EJ20" i="29"/>
  <c r="ES22" i="29" s="1"/>
  <c r="EJ22" i="29" s="1"/>
  <c r="EI23" i="29"/>
  <c r="DZ23" i="29" s="1"/>
  <c r="EA20" i="29"/>
  <c r="K36" i="29"/>
  <c r="DQ39" i="29"/>
  <c r="K30" i="29"/>
  <c r="DQ33" i="29"/>
  <c r="G56" i="29"/>
  <c r="E52" i="29"/>
  <c r="AO48" i="29"/>
  <c r="D57" i="29"/>
  <c r="H52" i="29"/>
  <c r="AL49" i="29"/>
  <c r="K31" i="29"/>
  <c r="DQ34" i="29"/>
  <c r="K24" i="29"/>
  <c r="DQ27" i="29"/>
  <c r="K23" i="29"/>
  <c r="DQ26" i="29"/>
  <c r="K29" i="29"/>
  <c r="DQ32" i="29"/>
  <c r="K34" i="29"/>
  <c r="DQ37" i="29"/>
  <c r="K26" i="29"/>
  <c r="DQ29" i="29"/>
  <c r="K28" i="29"/>
  <c r="DQ31" i="29"/>
  <c r="K25" i="29"/>
  <c r="DQ28" i="29"/>
  <c r="K33" i="29"/>
  <c r="DQ36" i="29"/>
  <c r="K38" i="29"/>
  <c r="DQ41" i="29"/>
  <c r="AV29" i="29"/>
  <c r="AU30" i="29"/>
  <c r="K20" i="29"/>
  <c r="DQ23" i="29"/>
  <c r="K21" i="29"/>
  <c r="DQ24" i="29"/>
  <c r="K35" i="29"/>
  <c r="DQ38" i="29"/>
  <c r="K32" i="29"/>
  <c r="DQ35" i="29"/>
  <c r="K37" i="29"/>
  <c r="DQ40" i="29"/>
  <c r="DQ22" i="28"/>
  <c r="K19" i="28"/>
  <c r="J25" i="28"/>
  <c r="DG28" i="28"/>
  <c r="DG23" i="28"/>
  <c r="DY41" i="28"/>
  <c r="DP41" i="28" s="1"/>
  <c r="DY40" i="28"/>
  <c r="DP40" i="28" s="1"/>
  <c r="DY39" i="28"/>
  <c r="DP39" i="28" s="1"/>
  <c r="DY38" i="28"/>
  <c r="DP38" i="28" s="1"/>
  <c r="DY37" i="28"/>
  <c r="DP37" i="28" s="1"/>
  <c r="DY36" i="28"/>
  <c r="DP36" i="28" s="1"/>
  <c r="DY35" i="28"/>
  <c r="DP35" i="28" s="1"/>
  <c r="DY34" i="28"/>
  <c r="DP34" i="28" s="1"/>
  <c r="DY31" i="28"/>
  <c r="DP31" i="28" s="1"/>
  <c r="DY30" i="28"/>
  <c r="DP30" i="28" s="1"/>
  <c r="DY29" i="28"/>
  <c r="DP29" i="28" s="1"/>
  <c r="DY28" i="28"/>
  <c r="DP28" i="28" s="1"/>
  <c r="DY32" i="28"/>
  <c r="DP32" i="28" s="1"/>
  <c r="DY33" i="28"/>
  <c r="DP33" i="28" s="1"/>
  <c r="DY27" i="28"/>
  <c r="DP27" i="28" s="1"/>
  <c r="DY26" i="28"/>
  <c r="DP26" i="28" s="1"/>
  <c r="DY25" i="28"/>
  <c r="DP25" i="28" s="1"/>
  <c r="DY23" i="28"/>
  <c r="DP23" i="28" s="1"/>
  <c r="K20" i="28" s="1"/>
  <c r="DY24" i="28"/>
  <c r="DP24" i="28" s="1"/>
  <c r="DZ20" i="28"/>
  <c r="EI22" i="28" s="1"/>
  <c r="DZ22" i="28" s="1"/>
  <c r="DQ20" i="28"/>
  <c r="J24" i="28"/>
  <c r="DG27" i="28"/>
  <c r="J31" i="28"/>
  <c r="DG34" i="28"/>
  <c r="J35" i="28"/>
  <c r="DG38" i="28"/>
  <c r="J30" i="28"/>
  <c r="DG33" i="28"/>
  <c r="J38" i="28"/>
  <c r="DG41" i="28"/>
  <c r="AV29" i="28"/>
  <c r="AU30" i="28"/>
  <c r="DG24" i="28"/>
  <c r="J21" i="28"/>
  <c r="J26" i="28"/>
  <c r="DG29" i="28"/>
  <c r="J28" i="28"/>
  <c r="DG31" i="28"/>
  <c r="J32" i="28"/>
  <c r="DG35" i="28"/>
  <c r="J36" i="28"/>
  <c r="DG39" i="28"/>
  <c r="D59" i="28"/>
  <c r="I52" i="28"/>
  <c r="J23" i="28"/>
  <c r="DG26" i="28"/>
  <c r="J34" i="28"/>
  <c r="DG37" i="28"/>
  <c r="AO49" i="28"/>
  <c r="J27" i="28"/>
  <c r="DG30" i="28"/>
  <c r="J22" i="28"/>
  <c r="DG25" i="28"/>
  <c r="J29" i="28"/>
  <c r="DG32" i="28"/>
  <c r="J33" i="28"/>
  <c r="DG36" i="28"/>
  <c r="J37" i="28"/>
  <c r="DG40" i="28"/>
  <c r="AB78" i="37" l="1"/>
  <c r="P12" i="37" s="1"/>
  <c r="AB78" i="36"/>
  <c r="P12" i="36" s="1"/>
  <c r="AB76" i="33"/>
  <c r="M38" i="37"/>
  <c r="N38" i="37"/>
  <c r="L38" i="37"/>
  <c r="F38" i="37"/>
  <c r="J38" i="37"/>
  <c r="G38" i="37"/>
  <c r="D38" i="37"/>
  <c r="H38" i="37"/>
  <c r="K38" i="37"/>
  <c r="I38" i="37"/>
  <c r="E38" i="37"/>
  <c r="E58" i="36"/>
  <c r="E58" i="35"/>
  <c r="FD33" i="34"/>
  <c r="EU33" i="34"/>
  <c r="M29" i="34"/>
  <c r="EK32" i="34"/>
  <c r="H29" i="34"/>
  <c r="CM32" i="34"/>
  <c r="BH33" i="34"/>
  <c r="CL33" i="34"/>
  <c r="CB33" i="34"/>
  <c r="BR33" i="34"/>
  <c r="AX33" i="34"/>
  <c r="CV33" i="34"/>
  <c r="DF33" i="34"/>
  <c r="DP33" i="34"/>
  <c r="DZ33" i="34"/>
  <c r="EJ33" i="34"/>
  <c r="L29" i="34"/>
  <c r="EA32" i="34"/>
  <c r="AY32" i="34"/>
  <c r="D29" i="34"/>
  <c r="E29" i="34"/>
  <c r="BI32" i="34"/>
  <c r="DG32" i="34"/>
  <c r="J29" i="34"/>
  <c r="G29" i="34"/>
  <c r="CC32" i="34"/>
  <c r="CW32" i="34"/>
  <c r="I29" i="34"/>
  <c r="K29" i="34"/>
  <c r="DQ32" i="34"/>
  <c r="BS32" i="34"/>
  <c r="F29" i="34"/>
  <c r="EU26" i="37"/>
  <c r="EU30" i="37"/>
  <c r="EU31" i="37"/>
  <c r="EU40" i="37"/>
  <c r="AV34" i="37"/>
  <c r="AU35" i="37"/>
  <c r="FM41" i="37"/>
  <c r="FD41" i="37" s="1"/>
  <c r="O38" i="37" s="1"/>
  <c r="FM37" i="37"/>
  <c r="FD37" i="37" s="1"/>
  <c r="O34" i="37" s="1"/>
  <c r="FM38" i="37"/>
  <c r="FD38" i="37" s="1"/>
  <c r="O35" i="37" s="1"/>
  <c r="FM39" i="37"/>
  <c r="FD39" i="37" s="1"/>
  <c r="O36" i="37" s="1"/>
  <c r="FM34" i="37"/>
  <c r="FD34" i="37" s="1"/>
  <c r="O31" i="37" s="1"/>
  <c r="FM30" i="37"/>
  <c r="FD30" i="37" s="1"/>
  <c r="O27" i="37" s="1"/>
  <c r="FM36" i="37"/>
  <c r="FD36" i="37" s="1"/>
  <c r="O33" i="37" s="1"/>
  <c r="FM35" i="37"/>
  <c r="FD35" i="37" s="1"/>
  <c r="O32" i="37" s="1"/>
  <c r="FM31" i="37"/>
  <c r="FD31" i="37" s="1"/>
  <c r="O28" i="37" s="1"/>
  <c r="FM40" i="37"/>
  <c r="FD40" i="37" s="1"/>
  <c r="O37" i="37" s="1"/>
  <c r="FM32" i="37"/>
  <c r="FD32" i="37" s="1"/>
  <c r="O29" i="37" s="1"/>
  <c r="FM28" i="37"/>
  <c r="FD28" i="37" s="1"/>
  <c r="O25" i="37" s="1"/>
  <c r="FM24" i="37"/>
  <c r="FD24" i="37" s="1"/>
  <c r="O21" i="37" s="1"/>
  <c r="FM25" i="37"/>
  <c r="FD25" i="37" s="1"/>
  <c r="O22" i="37" s="1"/>
  <c r="FM33" i="37"/>
  <c r="FD33" i="37" s="1"/>
  <c r="O30" i="37" s="1"/>
  <c r="FM29" i="37"/>
  <c r="FD29" i="37" s="1"/>
  <c r="O26" i="37" s="1"/>
  <c r="FM26" i="37"/>
  <c r="FD26" i="37" s="1"/>
  <c r="O23" i="37" s="1"/>
  <c r="FM27" i="37"/>
  <c r="FD27" i="37" s="1"/>
  <c r="O24" i="37" s="1"/>
  <c r="FM23" i="37"/>
  <c r="FD23" i="37" s="1"/>
  <c r="O20" i="37" s="1"/>
  <c r="FN20" i="37"/>
  <c r="FE20" i="37"/>
  <c r="EU24" i="37"/>
  <c r="EU34" i="37"/>
  <c r="EU33" i="37"/>
  <c r="EU35" i="37"/>
  <c r="EU39" i="37"/>
  <c r="EU23" i="37"/>
  <c r="EU28" i="37"/>
  <c r="EU25" i="37"/>
  <c r="EU32" i="37"/>
  <c r="E57" i="37"/>
  <c r="EU37" i="37"/>
  <c r="EU27" i="37"/>
  <c r="EU29" i="37"/>
  <c r="EU41" i="37"/>
  <c r="EU36" i="37"/>
  <c r="E59" i="37"/>
  <c r="EU38" i="37"/>
  <c r="FX20" i="36"/>
  <c r="FO20" i="36"/>
  <c r="O20" i="36"/>
  <c r="FE23" i="36"/>
  <c r="O22" i="36"/>
  <c r="FE25" i="36"/>
  <c r="O28" i="36"/>
  <c r="FE31" i="36"/>
  <c r="O19" i="36"/>
  <c r="FE22" i="36"/>
  <c r="O24" i="36"/>
  <c r="FE27" i="36"/>
  <c r="O29" i="36"/>
  <c r="G57" i="36" s="1"/>
  <c r="F57" i="36" s="1"/>
  <c r="FE32" i="36"/>
  <c r="O30" i="36"/>
  <c r="G59" i="36" s="1"/>
  <c r="FE33" i="36"/>
  <c r="AU35" i="36"/>
  <c r="AV34" i="36"/>
  <c r="O21" i="36"/>
  <c r="FE24" i="36"/>
  <c r="O27" i="36"/>
  <c r="FE30" i="36"/>
  <c r="O26" i="36"/>
  <c r="FE29" i="36"/>
  <c r="O25" i="36"/>
  <c r="FE28" i="36"/>
  <c r="O23" i="36"/>
  <c r="FE26" i="36"/>
  <c r="AN51" i="35"/>
  <c r="FN20" i="35"/>
  <c r="FE20" i="35"/>
  <c r="AV32" i="35"/>
  <c r="AU33" i="35"/>
  <c r="F59" i="35"/>
  <c r="G58" i="35"/>
  <c r="AO50" i="35"/>
  <c r="AN50" i="35" s="1"/>
  <c r="AO57" i="35" s="1"/>
  <c r="O21" i="34"/>
  <c r="FE24" i="34"/>
  <c r="O24" i="34"/>
  <c r="FE27" i="34"/>
  <c r="AV33" i="34"/>
  <c r="AU34" i="34"/>
  <c r="IQ34" i="34" s="1"/>
  <c r="FD34" i="34" s="1"/>
  <c r="FE34" i="34" s="1"/>
  <c r="O20" i="34"/>
  <c r="FE23" i="34"/>
  <c r="O26" i="34"/>
  <c r="FE29" i="34"/>
  <c r="O28" i="34"/>
  <c r="FE31" i="34"/>
  <c r="O30" i="34"/>
  <c r="FE33" i="34"/>
  <c r="AO58" i="34"/>
  <c r="FW32" i="34"/>
  <c r="FN32" i="34" s="1"/>
  <c r="FW33" i="34"/>
  <c r="FN33" i="34" s="1"/>
  <c r="FW30" i="34"/>
  <c r="FN30" i="34" s="1"/>
  <c r="FW29" i="34"/>
  <c r="FN29" i="34" s="1"/>
  <c r="FW31" i="34"/>
  <c r="FN31" i="34" s="1"/>
  <c r="FW28" i="34"/>
  <c r="FN28" i="34" s="1"/>
  <c r="FW27" i="34"/>
  <c r="FN27" i="34" s="1"/>
  <c r="FW24" i="34"/>
  <c r="FN24" i="34" s="1"/>
  <c r="FW25" i="34"/>
  <c r="FN25" i="34" s="1"/>
  <c r="FW26" i="34"/>
  <c r="FN26" i="34" s="1"/>
  <c r="FW23" i="34"/>
  <c r="FN23" i="34" s="1"/>
  <c r="FX20" i="34"/>
  <c r="FO20" i="34"/>
  <c r="FW22" i="34"/>
  <c r="FN22" i="34" s="1"/>
  <c r="O23" i="34"/>
  <c r="FE26" i="34"/>
  <c r="O25" i="34"/>
  <c r="FE28" i="34"/>
  <c r="O19" i="34"/>
  <c r="FE22" i="34"/>
  <c r="O22" i="34"/>
  <c r="FE25" i="34"/>
  <c r="O29" i="34"/>
  <c r="FE32" i="34"/>
  <c r="O27" i="34"/>
  <c r="FE30" i="34"/>
  <c r="AN51" i="33"/>
  <c r="ES24" i="31"/>
  <c r="EJ24" i="31" s="1"/>
  <c r="EK24" i="31" s="1"/>
  <c r="ES30" i="31"/>
  <c r="EJ30" i="31" s="1"/>
  <c r="EK30" i="31" s="1"/>
  <c r="ES32" i="31"/>
  <c r="EJ32" i="31" s="1"/>
  <c r="EK32" i="31" s="1"/>
  <c r="ES39" i="31"/>
  <c r="EJ39" i="31" s="1"/>
  <c r="EK39" i="31" s="1"/>
  <c r="ES29" i="31"/>
  <c r="EJ29" i="31" s="1"/>
  <c r="EK29" i="31" s="1"/>
  <c r="ES31" i="31"/>
  <c r="EJ31" i="31" s="1"/>
  <c r="EK31" i="31" s="1"/>
  <c r="ES34" i="31"/>
  <c r="EJ34" i="31" s="1"/>
  <c r="EK34" i="31" s="1"/>
  <c r="ES26" i="31"/>
  <c r="EJ26" i="31" s="1"/>
  <c r="EK26" i="31" s="1"/>
  <c r="ES28" i="31"/>
  <c r="EJ28" i="31" s="1"/>
  <c r="EK28" i="31" s="1"/>
  <c r="ES37" i="31"/>
  <c r="EJ37" i="31" s="1"/>
  <c r="EK37" i="31" s="1"/>
  <c r="ES36" i="31"/>
  <c r="EJ36" i="31" s="1"/>
  <c r="EK36" i="31" s="1"/>
  <c r="ES27" i="31"/>
  <c r="EJ27" i="31" s="1"/>
  <c r="EK27" i="31" s="1"/>
  <c r="ES35" i="31"/>
  <c r="EJ35" i="31" s="1"/>
  <c r="EK35" i="31" s="1"/>
  <c r="ES40" i="31"/>
  <c r="EJ40" i="31" s="1"/>
  <c r="EK40" i="31" s="1"/>
  <c r="ES41" i="31"/>
  <c r="EJ41" i="31" s="1"/>
  <c r="EK41" i="31" s="1"/>
  <c r="ES33" i="31"/>
  <c r="EJ33" i="31" s="1"/>
  <c r="EK33" i="31" s="1"/>
  <c r="ES23" i="31"/>
  <c r="EJ23" i="31" s="1"/>
  <c r="EK23" i="31" s="1"/>
  <c r="ES38" i="31"/>
  <c r="EJ38" i="31" s="1"/>
  <c r="EK38" i="31" s="1"/>
  <c r="ES25" i="31"/>
  <c r="EJ25" i="31" s="1"/>
  <c r="EK25" i="31" s="1"/>
  <c r="M19" i="33"/>
  <c r="EK22" i="33"/>
  <c r="M21" i="33"/>
  <c r="EK24" i="33"/>
  <c r="M25" i="33"/>
  <c r="EK28" i="33"/>
  <c r="M27" i="33"/>
  <c r="EK30" i="33"/>
  <c r="M32" i="33"/>
  <c r="EK35" i="33"/>
  <c r="AO50" i="33"/>
  <c r="AN50" i="33" s="1"/>
  <c r="AO57" i="33" s="1"/>
  <c r="M22" i="33"/>
  <c r="EK25" i="33"/>
  <c r="M30" i="33"/>
  <c r="EK33" i="33"/>
  <c r="M38" i="33"/>
  <c r="EK41" i="33"/>
  <c r="M36" i="33"/>
  <c r="EK39" i="33"/>
  <c r="M29" i="33"/>
  <c r="EK32" i="33"/>
  <c r="FC41" i="33"/>
  <c r="ET41" i="33" s="1"/>
  <c r="FC37" i="33"/>
  <c r="ET37" i="33" s="1"/>
  <c r="FC38" i="33"/>
  <c r="ET38" i="33" s="1"/>
  <c r="FC34" i="33"/>
  <c r="ET34" i="33" s="1"/>
  <c r="FC39" i="33"/>
  <c r="ET39" i="33" s="1"/>
  <c r="FC35" i="33"/>
  <c r="ET35" i="33" s="1"/>
  <c r="FC36" i="33"/>
  <c r="ET36" i="33" s="1"/>
  <c r="FC33" i="33"/>
  <c r="ET33" i="33" s="1"/>
  <c r="FC29" i="33"/>
  <c r="ET29" i="33" s="1"/>
  <c r="FC40" i="33"/>
  <c r="ET40" i="33" s="1"/>
  <c r="FC30" i="33"/>
  <c r="ET30" i="33" s="1"/>
  <c r="FC31" i="33"/>
  <c r="ET31" i="33" s="1"/>
  <c r="FC26" i="33"/>
  <c r="ET26" i="33" s="1"/>
  <c r="FC28" i="33"/>
  <c r="ET28" i="33" s="1"/>
  <c r="FC27" i="33"/>
  <c r="ET27" i="33" s="1"/>
  <c r="FC32" i="33"/>
  <c r="ET32" i="33" s="1"/>
  <c r="FC24" i="33"/>
  <c r="ET24" i="33" s="1"/>
  <c r="FD20" i="33"/>
  <c r="FC23" i="33"/>
  <c r="ET23" i="33" s="1"/>
  <c r="FC22" i="33"/>
  <c r="ET22" i="33" s="1"/>
  <c r="EU20" i="33"/>
  <c r="FC25" i="33"/>
  <c r="ET25" i="33" s="1"/>
  <c r="M34" i="33"/>
  <c r="EK37" i="33"/>
  <c r="M24" i="33"/>
  <c r="EK27" i="33"/>
  <c r="M33" i="33"/>
  <c r="EK36" i="33"/>
  <c r="M31" i="33"/>
  <c r="EK34" i="33"/>
  <c r="M23" i="33"/>
  <c r="EK26" i="33"/>
  <c r="M20" i="33"/>
  <c r="EK23" i="33"/>
  <c r="M26" i="33"/>
  <c r="EK29" i="33"/>
  <c r="M28" i="33"/>
  <c r="EK31" i="33"/>
  <c r="M37" i="33"/>
  <c r="EK40" i="33"/>
  <c r="M35" i="33"/>
  <c r="EK38" i="33"/>
  <c r="AU34" i="33"/>
  <c r="AV33" i="33"/>
  <c r="AO49" i="31"/>
  <c r="AM49" i="31"/>
  <c r="D59" i="31"/>
  <c r="I52" i="31"/>
  <c r="AL51" i="31"/>
  <c r="ET20" i="31"/>
  <c r="ES22" i="31"/>
  <c r="EJ22" i="31" s="1"/>
  <c r="EK20" i="31"/>
  <c r="L31" i="31"/>
  <c r="L38" i="31"/>
  <c r="L19" i="31"/>
  <c r="EA22" i="31"/>
  <c r="L32" i="31"/>
  <c r="L35" i="31"/>
  <c r="L33" i="31"/>
  <c r="AV31" i="31"/>
  <c r="AU32" i="31"/>
  <c r="L36" i="31"/>
  <c r="L37" i="31"/>
  <c r="L34" i="31"/>
  <c r="AO49" i="29"/>
  <c r="AM49" i="29"/>
  <c r="EK22" i="29"/>
  <c r="M19" i="29"/>
  <c r="ES40" i="29"/>
  <c r="EJ40" i="29" s="1"/>
  <c r="ES39" i="29"/>
  <c r="EJ39" i="29" s="1"/>
  <c r="ES38" i="29"/>
  <c r="EJ38" i="29" s="1"/>
  <c r="ES37" i="29"/>
  <c r="EJ37" i="29" s="1"/>
  <c r="ES36" i="29"/>
  <c r="EJ36" i="29" s="1"/>
  <c r="ES35" i="29"/>
  <c r="EJ35" i="29" s="1"/>
  <c r="ES34" i="29"/>
  <c r="EJ34" i="29" s="1"/>
  <c r="ES33" i="29"/>
  <c r="EJ33" i="29" s="1"/>
  <c r="ES32" i="29"/>
  <c r="EJ32" i="29" s="1"/>
  <c r="ES41" i="29"/>
  <c r="EJ41" i="29" s="1"/>
  <c r="ES31" i="29"/>
  <c r="EJ31" i="29" s="1"/>
  <c r="ES30" i="29"/>
  <c r="EJ30" i="29" s="1"/>
  <c r="ES29" i="29"/>
  <c r="EJ29" i="29" s="1"/>
  <c r="ES28" i="29"/>
  <c r="EJ28" i="29" s="1"/>
  <c r="ES27" i="29"/>
  <c r="EJ27" i="29" s="1"/>
  <c r="ES26" i="29"/>
  <c r="EJ26" i="29" s="1"/>
  <c r="ES23" i="29"/>
  <c r="EJ23" i="29" s="1"/>
  <c r="ET20" i="29"/>
  <c r="FC22" i="29" s="1"/>
  <c r="ET22" i="29" s="1"/>
  <c r="ES24" i="29"/>
  <c r="EJ24" i="29" s="1"/>
  <c r="EK20" i="29"/>
  <c r="ES25" i="29"/>
  <c r="EJ25" i="29" s="1"/>
  <c r="L24" i="29"/>
  <c r="EA27" i="29"/>
  <c r="L28" i="29"/>
  <c r="EA31" i="29"/>
  <c r="L32" i="29"/>
  <c r="EA35" i="29"/>
  <c r="L36" i="29"/>
  <c r="EA39" i="29"/>
  <c r="L21" i="29"/>
  <c r="EA24" i="29"/>
  <c r="L25" i="29"/>
  <c r="EA28" i="29"/>
  <c r="L29" i="29"/>
  <c r="EA32" i="29"/>
  <c r="L33" i="29"/>
  <c r="EA36" i="29"/>
  <c r="L37" i="29"/>
  <c r="EA40" i="29"/>
  <c r="AV30" i="29"/>
  <c r="AU31" i="29"/>
  <c r="L22" i="29"/>
  <c r="EA25" i="29"/>
  <c r="L26" i="29"/>
  <c r="EA29" i="29"/>
  <c r="L30" i="29"/>
  <c r="EA33" i="29"/>
  <c r="L34" i="29"/>
  <c r="EA37" i="29"/>
  <c r="D59" i="29"/>
  <c r="I52" i="29"/>
  <c r="AL51" i="29"/>
  <c r="L20" i="29"/>
  <c r="EA23" i="29"/>
  <c r="L23" i="29"/>
  <c r="EA26" i="29"/>
  <c r="L27" i="29"/>
  <c r="EA30" i="29"/>
  <c r="L31" i="29"/>
  <c r="EA34" i="29"/>
  <c r="L35" i="29"/>
  <c r="EA38" i="29"/>
  <c r="L38" i="29"/>
  <c r="EA41" i="29"/>
  <c r="EA22" i="28"/>
  <c r="L19" i="28"/>
  <c r="AN49" i="28"/>
  <c r="K21" i="28"/>
  <c r="DQ24" i="28"/>
  <c r="K32" i="28"/>
  <c r="DQ35" i="28"/>
  <c r="AO51" i="28"/>
  <c r="AO50" i="28" s="1"/>
  <c r="AM51" i="28"/>
  <c r="AM50" i="28" s="1"/>
  <c r="DQ23" i="28"/>
  <c r="K30" i="28"/>
  <c r="DQ33" i="28"/>
  <c r="K27" i="28"/>
  <c r="DQ30" i="28"/>
  <c r="K33" i="28"/>
  <c r="DQ36" i="28"/>
  <c r="K37" i="28"/>
  <c r="DQ40" i="28"/>
  <c r="K26" i="28"/>
  <c r="DQ29" i="28"/>
  <c r="K22" i="28"/>
  <c r="DQ25" i="28"/>
  <c r="K29" i="28"/>
  <c r="DQ32" i="28"/>
  <c r="K28" i="28"/>
  <c r="DQ31" i="28"/>
  <c r="K34" i="28"/>
  <c r="DQ37" i="28"/>
  <c r="K38" i="28"/>
  <c r="DQ41" i="28"/>
  <c r="K24" i="28"/>
  <c r="DQ27" i="28"/>
  <c r="K36" i="28"/>
  <c r="DQ39" i="28"/>
  <c r="AU31" i="28"/>
  <c r="AV30" i="28"/>
  <c r="EI41" i="28"/>
  <c r="DZ41" i="28" s="1"/>
  <c r="EI40" i="28"/>
  <c r="DZ40" i="28" s="1"/>
  <c r="EI39" i="28"/>
  <c r="DZ39" i="28" s="1"/>
  <c r="EI38" i="28"/>
  <c r="DZ38" i="28" s="1"/>
  <c r="EI37" i="28"/>
  <c r="DZ37" i="28" s="1"/>
  <c r="EI36" i="28"/>
  <c r="DZ36" i="28" s="1"/>
  <c r="EI35" i="28"/>
  <c r="DZ35" i="28" s="1"/>
  <c r="EI34" i="28"/>
  <c r="DZ34" i="28" s="1"/>
  <c r="EI33" i="28"/>
  <c r="DZ33" i="28" s="1"/>
  <c r="EI32" i="28"/>
  <c r="DZ32" i="28" s="1"/>
  <c r="EI31" i="28"/>
  <c r="DZ31" i="28" s="1"/>
  <c r="EI30" i="28"/>
  <c r="DZ30" i="28" s="1"/>
  <c r="EI29" i="28"/>
  <c r="DZ29" i="28" s="1"/>
  <c r="EI28" i="28"/>
  <c r="DZ28" i="28" s="1"/>
  <c r="EI24" i="28"/>
  <c r="DZ24" i="28" s="1"/>
  <c r="EJ20" i="28"/>
  <c r="ES22" i="28" s="1"/>
  <c r="EJ22" i="28" s="1"/>
  <c r="EA20" i="28"/>
  <c r="EI25" i="28"/>
  <c r="DZ25" i="28" s="1"/>
  <c r="EI27" i="28"/>
  <c r="DZ27" i="28" s="1"/>
  <c r="EI26" i="28"/>
  <c r="DZ26" i="28" s="1"/>
  <c r="EI23" i="28"/>
  <c r="DZ23" i="28" s="1"/>
  <c r="L20" i="28" s="1"/>
  <c r="K23" i="28"/>
  <c r="DQ26" i="28"/>
  <c r="K25" i="28"/>
  <c r="DQ28" i="28"/>
  <c r="K31" i="28"/>
  <c r="DQ34" i="28"/>
  <c r="K35" i="28"/>
  <c r="DQ38" i="28"/>
  <c r="F58" i="35" l="1"/>
  <c r="D64" i="35" s="1"/>
  <c r="D68" i="35" s="1"/>
  <c r="AB79" i="36"/>
  <c r="P11" i="36" s="1"/>
  <c r="AB79" i="37"/>
  <c r="P11" i="37" s="1"/>
  <c r="AB74" i="34"/>
  <c r="AB78" i="34" s="1"/>
  <c r="P12" i="34" s="1"/>
  <c r="E58" i="37"/>
  <c r="G58" i="36"/>
  <c r="F58" i="36" s="1"/>
  <c r="F59" i="36"/>
  <c r="O31" i="34"/>
  <c r="F30" i="34"/>
  <c r="BS33" i="34"/>
  <c r="DG33" i="34"/>
  <c r="J30" i="34"/>
  <c r="G30" i="34"/>
  <c r="CC33" i="34"/>
  <c r="EA33" i="34"/>
  <c r="L30" i="34"/>
  <c r="D30" i="34"/>
  <c r="AY33" i="34"/>
  <c r="BI33" i="34"/>
  <c r="E30" i="34"/>
  <c r="K30" i="34"/>
  <c r="DQ33" i="34"/>
  <c r="BH34" i="34"/>
  <c r="CL34" i="34"/>
  <c r="AX34" i="34"/>
  <c r="CB34" i="34"/>
  <c r="BR34" i="34"/>
  <c r="CV34" i="34"/>
  <c r="DF34" i="34"/>
  <c r="DP34" i="34"/>
  <c r="DZ34" i="34"/>
  <c r="EJ34" i="34"/>
  <c r="ET34" i="34"/>
  <c r="M30" i="34"/>
  <c r="EK33" i="34"/>
  <c r="I30" i="34"/>
  <c r="CW33" i="34"/>
  <c r="H30" i="34"/>
  <c r="CM33" i="34"/>
  <c r="FE23" i="37"/>
  <c r="FE33" i="37"/>
  <c r="FE28" i="37"/>
  <c r="FE35" i="37"/>
  <c r="FE39" i="37"/>
  <c r="FE27" i="37"/>
  <c r="FE25" i="37"/>
  <c r="FE32" i="37"/>
  <c r="FE36" i="37"/>
  <c r="G59" i="37"/>
  <c r="FE38" i="37"/>
  <c r="FE26" i="37"/>
  <c r="FE40" i="37"/>
  <c r="FE30" i="37"/>
  <c r="G57" i="37"/>
  <c r="F57" i="37" s="1"/>
  <c r="FE37" i="37"/>
  <c r="FO20" i="37"/>
  <c r="FX20" i="37"/>
  <c r="FE29" i="37"/>
  <c r="FE24" i="37"/>
  <c r="FE31" i="37"/>
  <c r="FE34" i="37"/>
  <c r="FE41" i="37"/>
  <c r="AU36" i="37"/>
  <c r="AV35" i="37"/>
  <c r="AU36" i="36"/>
  <c r="AV35" i="36"/>
  <c r="GH20" i="36"/>
  <c r="FY20" i="36"/>
  <c r="AO58" i="35"/>
  <c r="AB74" i="35" s="1"/>
  <c r="AB78" i="35" s="1"/>
  <c r="P12" i="35" s="1"/>
  <c r="AU34" i="35"/>
  <c r="AV33" i="35"/>
  <c r="FO20" i="35"/>
  <c r="FX20" i="35"/>
  <c r="GG31" i="34"/>
  <c r="FX31" i="34" s="1"/>
  <c r="GG32" i="34"/>
  <c r="FX32" i="34" s="1"/>
  <c r="GG33" i="34"/>
  <c r="FX33" i="34" s="1"/>
  <c r="GG28" i="34"/>
  <c r="FX28" i="34" s="1"/>
  <c r="GG30" i="34"/>
  <c r="FX30" i="34" s="1"/>
  <c r="GG27" i="34"/>
  <c r="FX27" i="34" s="1"/>
  <c r="GG29" i="34"/>
  <c r="FX29" i="34" s="1"/>
  <c r="GG23" i="34"/>
  <c r="FX23" i="34" s="1"/>
  <c r="GG24" i="34"/>
  <c r="FX24" i="34" s="1"/>
  <c r="GG22" i="34"/>
  <c r="FX22" i="34" s="1"/>
  <c r="GG25" i="34"/>
  <c r="FX25" i="34" s="1"/>
  <c r="GG26" i="34"/>
  <c r="FX26" i="34" s="1"/>
  <c r="GH20" i="34"/>
  <c r="FY20" i="34"/>
  <c r="P21" i="34"/>
  <c r="FO24" i="34"/>
  <c r="P26" i="34"/>
  <c r="FO29" i="34"/>
  <c r="P29" i="34"/>
  <c r="FO32" i="34"/>
  <c r="P20" i="34"/>
  <c r="FO23" i="34"/>
  <c r="P24" i="34"/>
  <c r="FO27" i="34"/>
  <c r="P27" i="34"/>
  <c r="FO30" i="34"/>
  <c r="P19" i="34"/>
  <c r="FO22" i="34"/>
  <c r="P23" i="34"/>
  <c r="FO26" i="34"/>
  <c r="P25" i="34"/>
  <c r="FO28" i="34"/>
  <c r="AU35" i="34"/>
  <c r="IQ35" i="34" s="1"/>
  <c r="AV34" i="34"/>
  <c r="P22" i="34"/>
  <c r="FO25" i="34"/>
  <c r="P28" i="34"/>
  <c r="FO31" i="34"/>
  <c r="P30" i="34"/>
  <c r="FO33" i="34"/>
  <c r="FC31" i="31"/>
  <c r="ET31" i="31" s="1"/>
  <c r="EU31" i="31" s="1"/>
  <c r="FC32" i="31"/>
  <c r="ET32" i="31" s="1"/>
  <c r="EU32" i="31" s="1"/>
  <c r="FC28" i="31"/>
  <c r="ET28" i="31" s="1"/>
  <c r="EU28" i="31" s="1"/>
  <c r="FC40" i="31"/>
  <c r="ET40" i="31" s="1"/>
  <c r="EU40" i="31" s="1"/>
  <c r="FC41" i="31"/>
  <c r="ET41" i="31" s="1"/>
  <c r="EU41" i="31" s="1"/>
  <c r="FC24" i="31"/>
  <c r="ET24" i="31" s="1"/>
  <c r="EU24" i="31" s="1"/>
  <c r="FC36" i="31"/>
  <c r="ET36" i="31" s="1"/>
  <c r="EU36" i="31" s="1"/>
  <c r="FC34" i="31"/>
  <c r="ET34" i="31" s="1"/>
  <c r="EU34" i="31" s="1"/>
  <c r="FC33" i="31"/>
  <c r="ET33" i="31" s="1"/>
  <c r="EU33" i="31" s="1"/>
  <c r="FC23" i="31"/>
  <c r="ET23" i="31" s="1"/>
  <c r="EU23" i="31" s="1"/>
  <c r="FC39" i="31"/>
  <c r="ET39" i="31" s="1"/>
  <c r="EU39" i="31" s="1"/>
  <c r="FC35" i="31"/>
  <c r="ET35" i="31" s="1"/>
  <c r="EU35" i="31" s="1"/>
  <c r="FC26" i="31"/>
  <c r="ET26" i="31" s="1"/>
  <c r="EU26" i="31" s="1"/>
  <c r="FC25" i="31"/>
  <c r="ET25" i="31" s="1"/>
  <c r="EU25" i="31" s="1"/>
  <c r="FC29" i="31"/>
  <c r="ET29" i="31" s="1"/>
  <c r="EU29" i="31" s="1"/>
  <c r="FC30" i="31"/>
  <c r="ET30" i="31" s="1"/>
  <c r="EU30" i="31" s="1"/>
  <c r="FC37" i="31"/>
  <c r="ET37" i="31" s="1"/>
  <c r="EU37" i="31" s="1"/>
  <c r="FC38" i="31"/>
  <c r="ET38" i="31" s="1"/>
  <c r="EU38" i="31" s="1"/>
  <c r="FC27" i="31"/>
  <c r="ET27" i="31" s="1"/>
  <c r="EU27" i="31" s="1"/>
  <c r="AN49" i="31"/>
  <c r="N19" i="33"/>
  <c r="EU22" i="33"/>
  <c r="N29" i="33"/>
  <c r="EU32" i="33"/>
  <c r="N28" i="33"/>
  <c r="EU31" i="33"/>
  <c r="N30" i="33"/>
  <c r="EU33" i="33"/>
  <c r="N38" i="33"/>
  <c r="EU41" i="33"/>
  <c r="N20" i="33"/>
  <c r="EU23" i="33"/>
  <c r="N24" i="33"/>
  <c r="EU27" i="33"/>
  <c r="N27" i="33"/>
  <c r="EU30" i="33"/>
  <c r="N33" i="33"/>
  <c r="EU36" i="33"/>
  <c r="N31" i="33"/>
  <c r="EU34" i="33"/>
  <c r="AO58" i="33"/>
  <c r="AB74" i="33" s="1"/>
  <c r="AU35" i="33"/>
  <c r="AV34" i="33"/>
  <c r="N22" i="33"/>
  <c r="EU25" i="33"/>
  <c r="FM40" i="33"/>
  <c r="FD40" i="33" s="1"/>
  <c r="FM36" i="33"/>
  <c r="FD36" i="33" s="1"/>
  <c r="FM41" i="33"/>
  <c r="FD41" i="33" s="1"/>
  <c r="FM37" i="33"/>
  <c r="FD37" i="33" s="1"/>
  <c r="FM38" i="33"/>
  <c r="FD38" i="33" s="1"/>
  <c r="FM34" i="33"/>
  <c r="FD34" i="33" s="1"/>
  <c r="FM32" i="33"/>
  <c r="FD32" i="33" s="1"/>
  <c r="FM28" i="33"/>
  <c r="FD28" i="33" s="1"/>
  <c r="FM35" i="33"/>
  <c r="FD35" i="33" s="1"/>
  <c r="FM33" i="33"/>
  <c r="FD33" i="33" s="1"/>
  <c r="FM29" i="33"/>
  <c r="FD29" i="33" s="1"/>
  <c r="FM39" i="33"/>
  <c r="FD39" i="33" s="1"/>
  <c r="FM30" i="33"/>
  <c r="FD30" i="33" s="1"/>
  <c r="FM25" i="33"/>
  <c r="FD25" i="33" s="1"/>
  <c r="FM26" i="33"/>
  <c r="FD26" i="33" s="1"/>
  <c r="FM27" i="33"/>
  <c r="FD27" i="33" s="1"/>
  <c r="FM31" i="33"/>
  <c r="FD31" i="33" s="1"/>
  <c r="FM22" i="33"/>
  <c r="FD22" i="33" s="1"/>
  <c r="FM24" i="33"/>
  <c r="FD24" i="33" s="1"/>
  <c r="FM23" i="33"/>
  <c r="FD23" i="33" s="1"/>
  <c r="FN20" i="33"/>
  <c r="FE20" i="33"/>
  <c r="N25" i="33"/>
  <c r="EU28" i="33"/>
  <c r="N37" i="33"/>
  <c r="EU40" i="33"/>
  <c r="N32" i="33"/>
  <c r="EU35" i="33"/>
  <c r="N35" i="33"/>
  <c r="EU38" i="33"/>
  <c r="N21" i="33"/>
  <c r="EU24" i="33"/>
  <c r="N23" i="33"/>
  <c r="EU26" i="33"/>
  <c r="N26" i="33"/>
  <c r="EU29" i="33"/>
  <c r="N36" i="33"/>
  <c r="EU39" i="33"/>
  <c r="N34" i="33"/>
  <c r="EU37" i="33"/>
  <c r="FC22" i="31"/>
  <c r="ET22" i="31" s="1"/>
  <c r="EU20" i="31"/>
  <c r="FD20" i="31"/>
  <c r="M33" i="31"/>
  <c r="M31" i="31"/>
  <c r="M34" i="31"/>
  <c r="M37" i="31"/>
  <c r="AV32" i="31"/>
  <c r="AU33" i="31"/>
  <c r="M38" i="31"/>
  <c r="M32" i="31"/>
  <c r="AO51" i="31"/>
  <c r="AO50" i="31" s="1"/>
  <c r="AM51" i="31"/>
  <c r="AM50" i="31" s="1"/>
  <c r="M19" i="31"/>
  <c r="EK22" i="31"/>
  <c r="M35" i="31"/>
  <c r="M36" i="31"/>
  <c r="EU22" i="29"/>
  <c r="N19" i="29"/>
  <c r="AN49" i="29"/>
  <c r="AU32" i="29"/>
  <c r="AV31" i="29"/>
  <c r="AM51" i="29"/>
  <c r="AM50" i="29" s="1"/>
  <c r="AO51" i="29"/>
  <c r="M21" i="29"/>
  <c r="EK24" i="29"/>
  <c r="M24" i="29"/>
  <c r="EK27" i="29"/>
  <c r="M28" i="29"/>
  <c r="EK31" i="29"/>
  <c r="M31" i="29"/>
  <c r="EK34" i="29"/>
  <c r="M35" i="29"/>
  <c r="EK38" i="29"/>
  <c r="FC41" i="29"/>
  <c r="ET41" i="29" s="1"/>
  <c r="FC40" i="29"/>
  <c r="ET40" i="29" s="1"/>
  <c r="FC39" i="29"/>
  <c r="ET39" i="29" s="1"/>
  <c r="FC38" i="29"/>
  <c r="ET38" i="29" s="1"/>
  <c r="FC37" i="29"/>
  <c r="ET37" i="29" s="1"/>
  <c r="FC36" i="29"/>
  <c r="ET36" i="29" s="1"/>
  <c r="FC35" i="29"/>
  <c r="ET35" i="29" s="1"/>
  <c r="FC34" i="29"/>
  <c r="ET34" i="29" s="1"/>
  <c r="FC33" i="29"/>
  <c r="ET33" i="29" s="1"/>
  <c r="FC32" i="29"/>
  <c r="ET32" i="29" s="1"/>
  <c r="FC31" i="29"/>
  <c r="ET31" i="29" s="1"/>
  <c r="FC30" i="29"/>
  <c r="ET30" i="29" s="1"/>
  <c r="FC29" i="29"/>
  <c r="ET29" i="29" s="1"/>
  <c r="FC28" i="29"/>
  <c r="ET28" i="29" s="1"/>
  <c r="FC27" i="29"/>
  <c r="ET27" i="29" s="1"/>
  <c r="FC26" i="29"/>
  <c r="ET26" i="29" s="1"/>
  <c r="FC25" i="29"/>
  <c r="ET25" i="29" s="1"/>
  <c r="FC24" i="29"/>
  <c r="ET24" i="29" s="1"/>
  <c r="FC23" i="29"/>
  <c r="ET23" i="29" s="1"/>
  <c r="FD20" i="29"/>
  <c r="FM22" i="29" s="1"/>
  <c r="FD22" i="29" s="1"/>
  <c r="EU20" i="29"/>
  <c r="M25" i="29"/>
  <c r="EK28" i="29"/>
  <c r="M38" i="29"/>
  <c r="EK41" i="29"/>
  <c r="M32" i="29"/>
  <c r="EK35" i="29"/>
  <c r="M36" i="29"/>
  <c r="EK39" i="29"/>
  <c r="M22" i="29"/>
  <c r="EK25" i="29"/>
  <c r="M20" i="29"/>
  <c r="EK23" i="29"/>
  <c r="M26" i="29"/>
  <c r="EK29" i="29"/>
  <c r="M29" i="29"/>
  <c r="EK32" i="29"/>
  <c r="M33" i="29"/>
  <c r="EK36" i="29"/>
  <c r="M37" i="29"/>
  <c r="EK40" i="29"/>
  <c r="M23" i="29"/>
  <c r="EK26" i="29"/>
  <c r="M27" i="29"/>
  <c r="EK30" i="29"/>
  <c r="M30" i="29"/>
  <c r="EK33" i="29"/>
  <c r="M34" i="29"/>
  <c r="EK37" i="29"/>
  <c r="AN50" i="28"/>
  <c r="AO57" i="28" s="1"/>
  <c r="EK22" i="28"/>
  <c r="M19" i="28"/>
  <c r="ES41" i="28"/>
  <c r="EJ41" i="28" s="1"/>
  <c r="ES40" i="28"/>
  <c r="EJ40" i="28" s="1"/>
  <c r="ES36" i="28"/>
  <c r="EJ36" i="28" s="1"/>
  <c r="ES32" i="28"/>
  <c r="EJ32" i="28" s="1"/>
  <c r="ES39" i="28"/>
  <c r="EJ39" i="28" s="1"/>
  <c r="ES35" i="28"/>
  <c r="EJ35" i="28" s="1"/>
  <c r="ES33" i="28"/>
  <c r="EJ33" i="28" s="1"/>
  <c r="ES31" i="28"/>
  <c r="EJ31" i="28" s="1"/>
  <c r="ES38" i="28"/>
  <c r="EJ38" i="28" s="1"/>
  <c r="ES23" i="28"/>
  <c r="EJ23" i="28" s="1"/>
  <c r="M20" i="28" s="1"/>
  <c r="ES37" i="28"/>
  <c r="EJ37" i="28" s="1"/>
  <c r="ES30" i="28"/>
  <c r="EJ30" i="28" s="1"/>
  <c r="ES28" i="28"/>
  <c r="EJ28" i="28" s="1"/>
  <c r="ES27" i="28"/>
  <c r="EJ27" i="28" s="1"/>
  <c r="ES26" i="28"/>
  <c r="EJ26" i="28" s="1"/>
  <c r="ES25" i="28"/>
  <c r="EJ25" i="28" s="1"/>
  <c r="ES24" i="28"/>
  <c r="EJ24" i="28" s="1"/>
  <c r="ET20" i="28"/>
  <c r="FC22" i="28" s="1"/>
  <c r="ET22" i="28" s="1"/>
  <c r="ES29" i="28"/>
  <c r="EJ29" i="28" s="1"/>
  <c r="ES34" i="28"/>
  <c r="EJ34" i="28" s="1"/>
  <c r="EK20" i="28"/>
  <c r="L27" i="28"/>
  <c r="EA30" i="28"/>
  <c r="L35" i="28"/>
  <c r="EA38" i="28"/>
  <c r="L24" i="28"/>
  <c r="EA27" i="28"/>
  <c r="L28" i="28"/>
  <c r="EA31" i="28"/>
  <c r="L36" i="28"/>
  <c r="EA39" i="28"/>
  <c r="L22" i="28"/>
  <c r="EA25" i="28"/>
  <c r="L25" i="28"/>
  <c r="EA28" i="28"/>
  <c r="L29" i="28"/>
  <c r="EA32" i="28"/>
  <c r="L33" i="28"/>
  <c r="EA36" i="28"/>
  <c r="L37" i="28"/>
  <c r="EA40" i="28"/>
  <c r="AU32" i="28"/>
  <c r="AV31" i="28"/>
  <c r="L23" i="28"/>
  <c r="EA26" i="28"/>
  <c r="L31" i="28"/>
  <c r="EA34" i="28"/>
  <c r="L21" i="28"/>
  <c r="EA24" i="28"/>
  <c r="L32" i="28"/>
  <c r="EA35" i="28"/>
  <c r="EA23" i="28"/>
  <c r="L26" i="28"/>
  <c r="EA29" i="28"/>
  <c r="L30" i="28"/>
  <c r="EA33" i="28"/>
  <c r="L34" i="28"/>
  <c r="EA37" i="28"/>
  <c r="L38" i="28"/>
  <c r="EA41" i="28"/>
  <c r="AN51" i="28"/>
  <c r="D66" i="35" l="1"/>
  <c r="P6" i="35" s="1"/>
  <c r="AB79" i="35"/>
  <c r="P11" i="35" s="1"/>
  <c r="AB79" i="34"/>
  <c r="P11" i="34" s="1"/>
  <c r="AB78" i="33"/>
  <c r="P12" i="33" s="1"/>
  <c r="AO58" i="28"/>
  <c r="AB74" i="28" s="1"/>
  <c r="AB78" i="28" s="1"/>
  <c r="G58" i="37"/>
  <c r="F58" i="37" s="1"/>
  <c r="F59" i="37"/>
  <c r="D64" i="36"/>
  <c r="D66" i="36"/>
  <c r="P6" i="36" s="1"/>
  <c r="H31" i="34"/>
  <c r="CM34" i="34"/>
  <c r="DQ34" i="34"/>
  <c r="K31" i="34"/>
  <c r="CC34" i="34"/>
  <c r="G31" i="34"/>
  <c r="BH35" i="34"/>
  <c r="AX35" i="34"/>
  <c r="CL35" i="34"/>
  <c r="CB35" i="34"/>
  <c r="BR35" i="34"/>
  <c r="CV35" i="34"/>
  <c r="DF35" i="34"/>
  <c r="DP35" i="34"/>
  <c r="DZ35" i="34"/>
  <c r="EJ35" i="34"/>
  <c r="ET35" i="34"/>
  <c r="FD35" i="34"/>
  <c r="M31" i="34"/>
  <c r="EK34" i="34"/>
  <c r="CW34" i="34"/>
  <c r="I31" i="34"/>
  <c r="L31" i="34"/>
  <c r="EA34" i="34"/>
  <c r="F31" i="34"/>
  <c r="BS34" i="34"/>
  <c r="E31" i="34"/>
  <c r="BI34" i="34"/>
  <c r="N31" i="34"/>
  <c r="EU34" i="34"/>
  <c r="DG34" i="34"/>
  <c r="J31" i="34"/>
  <c r="D31" i="34"/>
  <c r="AY34" i="34"/>
  <c r="D70" i="35"/>
  <c r="D69" i="35"/>
  <c r="AU37" i="37"/>
  <c r="AV36" i="37"/>
  <c r="GH20" i="37"/>
  <c r="FY20" i="37"/>
  <c r="GR20" i="36"/>
  <c r="GI20" i="36"/>
  <c r="AV36" i="36"/>
  <c r="AU37" i="36"/>
  <c r="GH20" i="35"/>
  <c r="FY20" i="35"/>
  <c r="AU35" i="35"/>
  <c r="AV34" i="35"/>
  <c r="P5" i="35"/>
  <c r="GQ31" i="34"/>
  <c r="GH31" i="34" s="1"/>
  <c r="GQ32" i="34"/>
  <c r="GH32" i="34" s="1"/>
  <c r="GQ33" i="34"/>
  <c r="GH33" i="34" s="1"/>
  <c r="GQ27" i="34"/>
  <c r="GH27" i="34" s="1"/>
  <c r="GQ29" i="34"/>
  <c r="GH29" i="34" s="1"/>
  <c r="GQ30" i="34"/>
  <c r="GH30" i="34" s="1"/>
  <c r="GQ26" i="34"/>
  <c r="GH26" i="34" s="1"/>
  <c r="GQ28" i="34"/>
  <c r="GH28" i="34" s="1"/>
  <c r="GQ23" i="34"/>
  <c r="GH23" i="34" s="1"/>
  <c r="GQ24" i="34"/>
  <c r="GH24" i="34" s="1"/>
  <c r="GQ22" i="34"/>
  <c r="GH22" i="34" s="1"/>
  <c r="GQ25" i="34"/>
  <c r="GH25" i="34" s="1"/>
  <c r="GR20" i="34"/>
  <c r="GI20" i="34"/>
  <c r="Q28" i="34"/>
  <c r="FY31" i="34"/>
  <c r="Q23" i="34"/>
  <c r="FY26" i="34"/>
  <c r="Q22" i="34"/>
  <c r="FY25" i="34"/>
  <c r="Q26" i="34"/>
  <c r="FY29" i="34"/>
  <c r="Q30" i="34"/>
  <c r="FY33" i="34"/>
  <c r="Q21" i="34"/>
  <c r="FY24" i="34"/>
  <c r="Q27" i="34"/>
  <c r="FY30" i="34"/>
  <c r="Q20" i="34"/>
  <c r="FY23" i="34"/>
  <c r="Q25" i="34"/>
  <c r="FY28" i="34"/>
  <c r="AU36" i="34"/>
  <c r="IQ36" i="34" s="1"/>
  <c r="AV35" i="34"/>
  <c r="Q19" i="34"/>
  <c r="FY22" i="34"/>
  <c r="Q24" i="34"/>
  <c r="FY27" i="34"/>
  <c r="Q29" i="34"/>
  <c r="FY32" i="34"/>
  <c r="FM27" i="31"/>
  <c r="FD27" i="31" s="1"/>
  <c r="FE27" i="31" s="1"/>
  <c r="FM30" i="31"/>
  <c r="FD30" i="31" s="1"/>
  <c r="FE30" i="31" s="1"/>
  <c r="FM41" i="31"/>
  <c r="FD41" i="31" s="1"/>
  <c r="FE41" i="31" s="1"/>
  <c r="FM37" i="31"/>
  <c r="FD37" i="31" s="1"/>
  <c r="FE37" i="31" s="1"/>
  <c r="FM31" i="31"/>
  <c r="FD31" i="31" s="1"/>
  <c r="FE31" i="31" s="1"/>
  <c r="FM24" i="31"/>
  <c r="FD24" i="31" s="1"/>
  <c r="FE24" i="31" s="1"/>
  <c r="FM29" i="31"/>
  <c r="FD29" i="31" s="1"/>
  <c r="FE29" i="31" s="1"/>
  <c r="FM39" i="31"/>
  <c r="FD39" i="31" s="1"/>
  <c r="FE39" i="31" s="1"/>
  <c r="FM26" i="31"/>
  <c r="FD26" i="31" s="1"/>
  <c r="FE26" i="31" s="1"/>
  <c r="FM38" i="31"/>
  <c r="FD38" i="31" s="1"/>
  <c r="FE38" i="31" s="1"/>
  <c r="FM28" i="31"/>
  <c r="FD28" i="31" s="1"/>
  <c r="FE28" i="31" s="1"/>
  <c r="FM35" i="31"/>
  <c r="FD35" i="31" s="1"/>
  <c r="FE35" i="31" s="1"/>
  <c r="FM32" i="31"/>
  <c r="FD32" i="31" s="1"/>
  <c r="FE32" i="31" s="1"/>
  <c r="FM33" i="31"/>
  <c r="FD33" i="31" s="1"/>
  <c r="FE33" i="31" s="1"/>
  <c r="FM23" i="31"/>
  <c r="FD23" i="31" s="1"/>
  <c r="FE23" i="31" s="1"/>
  <c r="FM25" i="31"/>
  <c r="FD25" i="31" s="1"/>
  <c r="FE25" i="31" s="1"/>
  <c r="FM34" i="31"/>
  <c r="FD34" i="31" s="1"/>
  <c r="FE34" i="31" s="1"/>
  <c r="FM36" i="31"/>
  <c r="FD36" i="31" s="1"/>
  <c r="FE36" i="31" s="1"/>
  <c r="FM40" i="31"/>
  <c r="FD40" i="31" s="1"/>
  <c r="FE40" i="31" s="1"/>
  <c r="O20" i="33"/>
  <c r="FE23" i="33"/>
  <c r="O24" i="33"/>
  <c r="FE27" i="33"/>
  <c r="O36" i="33"/>
  <c r="FE39" i="33"/>
  <c r="O25" i="33"/>
  <c r="FE28" i="33"/>
  <c r="O34" i="33"/>
  <c r="FE37" i="33"/>
  <c r="O37" i="33"/>
  <c r="FE40" i="33"/>
  <c r="O21" i="33"/>
  <c r="FE24" i="33"/>
  <c r="O23" i="33"/>
  <c r="FE26" i="33"/>
  <c r="O26" i="33"/>
  <c r="FE29" i="33"/>
  <c r="O29" i="33"/>
  <c r="FE32" i="33"/>
  <c r="O38" i="33"/>
  <c r="FE41" i="33"/>
  <c r="AV35" i="33"/>
  <c r="AU36" i="33"/>
  <c r="O19" i="33"/>
  <c r="FE22" i="33"/>
  <c r="O22" i="33"/>
  <c r="FE25" i="33"/>
  <c r="O30" i="33"/>
  <c r="FE33" i="33"/>
  <c r="O31" i="33"/>
  <c r="FE34" i="33"/>
  <c r="FW31" i="33"/>
  <c r="FN31" i="33" s="1"/>
  <c r="FW32" i="33"/>
  <c r="FN32" i="33" s="1"/>
  <c r="FW28" i="33"/>
  <c r="FN28" i="33" s="1"/>
  <c r="FW33" i="33"/>
  <c r="FN33" i="33" s="1"/>
  <c r="FW29" i="33"/>
  <c r="FN29" i="33" s="1"/>
  <c r="FW30" i="33"/>
  <c r="FN30" i="33" s="1"/>
  <c r="FW24" i="33"/>
  <c r="FN24" i="33" s="1"/>
  <c r="FW23" i="33"/>
  <c r="FN23" i="33" s="1"/>
  <c r="FW25" i="33"/>
  <c r="FN25" i="33" s="1"/>
  <c r="FW22" i="33"/>
  <c r="FN22" i="33" s="1"/>
  <c r="FW26" i="33"/>
  <c r="FN26" i="33" s="1"/>
  <c r="FX20" i="33"/>
  <c r="FO20" i="33"/>
  <c r="FW27" i="33"/>
  <c r="FN27" i="33" s="1"/>
  <c r="O28" i="33"/>
  <c r="FE31" i="33"/>
  <c r="O27" i="33"/>
  <c r="FE30" i="33"/>
  <c r="O32" i="33"/>
  <c r="FE35" i="33"/>
  <c r="O35" i="33"/>
  <c r="FE38" i="33"/>
  <c r="O33" i="33"/>
  <c r="FE36" i="33"/>
  <c r="AN50" i="31"/>
  <c r="AO57" i="31" s="1"/>
  <c r="N34" i="31"/>
  <c r="N37" i="31"/>
  <c r="N31" i="31"/>
  <c r="FM22" i="31"/>
  <c r="FD22" i="31" s="1"/>
  <c r="FN20" i="31"/>
  <c r="FE20" i="31"/>
  <c r="N19" i="31"/>
  <c r="EU22" i="31"/>
  <c r="N38" i="31"/>
  <c r="N32" i="31"/>
  <c r="N35" i="31"/>
  <c r="AN51" i="31"/>
  <c r="N36" i="31"/>
  <c r="AV33" i="31"/>
  <c r="AU34" i="31"/>
  <c r="N33" i="31"/>
  <c r="FE22" i="29"/>
  <c r="O19" i="29"/>
  <c r="AN51" i="29"/>
  <c r="N26" i="29"/>
  <c r="EU29" i="29"/>
  <c r="N29" i="29"/>
  <c r="EU32" i="29"/>
  <c r="FM41" i="29"/>
  <c r="FD41" i="29" s="1"/>
  <c r="FM37" i="29"/>
  <c r="FD37" i="29" s="1"/>
  <c r="O34" i="29" s="1"/>
  <c r="FM33" i="29"/>
  <c r="FD33" i="29" s="1"/>
  <c r="FM40" i="29"/>
  <c r="FD40" i="29" s="1"/>
  <c r="FM36" i="29"/>
  <c r="FD36" i="29" s="1"/>
  <c r="FM32" i="29"/>
  <c r="FD32" i="29" s="1"/>
  <c r="FM39" i="29"/>
  <c r="FD39" i="29" s="1"/>
  <c r="FM35" i="29"/>
  <c r="FD35" i="29" s="1"/>
  <c r="FM28" i="29"/>
  <c r="FD28" i="29" s="1"/>
  <c r="FM26" i="29"/>
  <c r="FD26" i="29" s="1"/>
  <c r="FN20" i="29"/>
  <c r="FW22" i="29" s="1"/>
  <c r="FN22" i="29" s="1"/>
  <c r="FM29" i="29"/>
  <c r="FD29" i="29" s="1"/>
  <c r="FM38" i="29"/>
  <c r="FD38" i="29" s="1"/>
  <c r="FM31" i="29"/>
  <c r="FD31" i="29" s="1"/>
  <c r="FM27" i="29"/>
  <c r="FD27" i="29" s="1"/>
  <c r="FM25" i="29"/>
  <c r="FD25" i="29" s="1"/>
  <c r="FM24" i="29"/>
  <c r="FD24" i="29" s="1"/>
  <c r="FE20" i="29"/>
  <c r="FM34" i="29"/>
  <c r="FD34" i="29" s="1"/>
  <c r="FM30" i="29"/>
  <c r="FD30" i="29" s="1"/>
  <c r="FM23" i="29"/>
  <c r="FD23" i="29" s="1"/>
  <c r="N23" i="29"/>
  <c r="EU26" i="29"/>
  <c r="N27" i="29"/>
  <c r="EU30" i="29"/>
  <c r="N30" i="29"/>
  <c r="EU33" i="29"/>
  <c r="N34" i="29"/>
  <c r="EU37" i="29"/>
  <c r="N38" i="29"/>
  <c r="EU41" i="29"/>
  <c r="AO50" i="29"/>
  <c r="AN50" i="29" s="1"/>
  <c r="AO57" i="29" s="1"/>
  <c r="AO58" i="29" s="1"/>
  <c r="N20" i="29"/>
  <c r="EU23" i="29"/>
  <c r="N28" i="29"/>
  <c r="EU31" i="29"/>
  <c r="N35" i="29"/>
  <c r="EU38" i="29"/>
  <c r="N24" i="29"/>
  <c r="EU27" i="29"/>
  <c r="N31" i="29"/>
  <c r="EU34" i="29"/>
  <c r="N21" i="29"/>
  <c r="EU24" i="29"/>
  <c r="N25" i="29"/>
  <c r="EU28" i="29"/>
  <c r="N32" i="29"/>
  <c r="EU35" i="29"/>
  <c r="N36" i="29"/>
  <c r="EU39" i="29"/>
  <c r="AU33" i="29"/>
  <c r="AV32" i="29"/>
  <c r="N22" i="29"/>
  <c r="EU25" i="29"/>
  <c r="N33" i="29"/>
  <c r="EU36" i="29"/>
  <c r="N37" i="29"/>
  <c r="EU40" i="29"/>
  <c r="EU22" i="28"/>
  <c r="N19" i="28"/>
  <c r="AU33" i="28"/>
  <c r="AV32" i="28"/>
  <c r="M25" i="28"/>
  <c r="EK28" i="28"/>
  <c r="M31" i="28"/>
  <c r="EK34" i="28"/>
  <c r="M22" i="28"/>
  <c r="EK25" i="28"/>
  <c r="M27" i="28"/>
  <c r="EK30" i="28"/>
  <c r="M28" i="28"/>
  <c r="EK31" i="28"/>
  <c r="M29" i="28"/>
  <c r="EK32" i="28"/>
  <c r="M35" i="28"/>
  <c r="EK38" i="28"/>
  <c r="M38" i="28"/>
  <c r="EK41" i="28"/>
  <c r="M26" i="28"/>
  <c r="EK29" i="28"/>
  <c r="M23" i="28"/>
  <c r="EK26" i="28"/>
  <c r="M34" i="28"/>
  <c r="EK37" i="28"/>
  <c r="M30" i="28"/>
  <c r="EK33" i="28"/>
  <c r="M33" i="28"/>
  <c r="EK36" i="28"/>
  <c r="M21" i="28"/>
  <c r="EK24" i="28"/>
  <c r="M36" i="28"/>
  <c r="EK39" i="28"/>
  <c r="FC41" i="28"/>
  <c r="ET41" i="28" s="1"/>
  <c r="FC40" i="28"/>
  <c r="ET40" i="28" s="1"/>
  <c r="FC39" i="28"/>
  <c r="ET39" i="28" s="1"/>
  <c r="FC38" i="28"/>
  <c r="ET38" i="28" s="1"/>
  <c r="FC37" i="28"/>
  <c r="ET37" i="28" s="1"/>
  <c r="FC36" i="28"/>
  <c r="ET36" i="28" s="1"/>
  <c r="FC35" i="28"/>
  <c r="ET35" i="28" s="1"/>
  <c r="FC34" i="28"/>
  <c r="ET34" i="28" s="1"/>
  <c r="FC33" i="28"/>
  <c r="ET33" i="28" s="1"/>
  <c r="FC32" i="28"/>
  <c r="ET32" i="28" s="1"/>
  <c r="FC31" i="28"/>
  <c r="ET31" i="28" s="1"/>
  <c r="FC27" i="28"/>
  <c r="ET27" i="28" s="1"/>
  <c r="FC26" i="28"/>
  <c r="ET26" i="28" s="1"/>
  <c r="FC25" i="28"/>
  <c r="ET25" i="28" s="1"/>
  <c r="FC30" i="28"/>
  <c r="ET30" i="28" s="1"/>
  <c r="FC28" i="28"/>
  <c r="ET28" i="28" s="1"/>
  <c r="N25" i="28" s="1"/>
  <c r="FD20" i="28"/>
  <c r="FM22" i="28" s="1"/>
  <c r="FD22" i="28" s="1"/>
  <c r="EU20" i="28"/>
  <c r="FC29" i="28"/>
  <c r="ET29" i="28" s="1"/>
  <c r="FC23" i="28"/>
  <c r="ET23" i="28" s="1"/>
  <c r="N20" i="28" s="1"/>
  <c r="FC24" i="28"/>
  <c r="ET24" i="28" s="1"/>
  <c r="M24" i="28"/>
  <c r="EK27" i="28"/>
  <c r="EK23" i="28"/>
  <c r="M32" i="28"/>
  <c r="EK35" i="28"/>
  <c r="M37" i="28"/>
  <c r="EK40" i="28"/>
  <c r="P12" i="28" l="1"/>
  <c r="AB79" i="28"/>
  <c r="P11" i="28" s="1"/>
  <c r="AB79" i="33"/>
  <c r="P11" i="33" s="1"/>
  <c r="D66" i="37"/>
  <c r="P6" i="37" s="1"/>
  <c r="D64" i="37"/>
  <c r="D68" i="37" s="1"/>
  <c r="D69" i="37" s="1"/>
  <c r="P5" i="36"/>
  <c r="D68" i="36"/>
  <c r="D69" i="36" s="1"/>
  <c r="M32" i="34"/>
  <c r="EK35" i="34"/>
  <c r="I32" i="34"/>
  <c r="CW35" i="34"/>
  <c r="D32" i="34"/>
  <c r="AY35" i="34"/>
  <c r="DF36" i="34"/>
  <c r="CV36" i="34"/>
  <c r="CL36" i="34"/>
  <c r="CB36" i="34"/>
  <c r="BR36" i="34"/>
  <c r="DP36" i="34"/>
  <c r="EJ36" i="34"/>
  <c r="BH36" i="34"/>
  <c r="FD36" i="34"/>
  <c r="DZ36" i="34"/>
  <c r="AX36" i="34"/>
  <c r="ET36" i="34"/>
  <c r="L32" i="34"/>
  <c r="EA35" i="34"/>
  <c r="F32" i="34"/>
  <c r="BS35" i="34"/>
  <c r="E32" i="34"/>
  <c r="BI35" i="34"/>
  <c r="FE35" i="34"/>
  <c r="O32" i="34"/>
  <c r="K32" i="34"/>
  <c r="DQ35" i="34"/>
  <c r="G32" i="34"/>
  <c r="CC35" i="34"/>
  <c r="N32" i="34"/>
  <c r="EU35" i="34"/>
  <c r="J32" i="34"/>
  <c r="DG35" i="34"/>
  <c r="H32" i="34"/>
  <c r="CM35" i="34"/>
  <c r="AV37" i="37"/>
  <c r="AU38" i="37"/>
  <c r="GI20" i="37"/>
  <c r="GR20" i="37"/>
  <c r="AV37" i="36"/>
  <c r="AU38" i="36"/>
  <c r="HB20" i="36"/>
  <c r="GS20" i="36"/>
  <c r="P9" i="35"/>
  <c r="P8" i="35"/>
  <c r="P7" i="35"/>
  <c r="GR20" i="35"/>
  <c r="GI20" i="35"/>
  <c r="AU36" i="35"/>
  <c r="AV35" i="35"/>
  <c r="AV36" i="34"/>
  <c r="AU37" i="34"/>
  <c r="IQ37" i="34" s="1"/>
  <c r="R19" i="34"/>
  <c r="GI22" i="34"/>
  <c r="R23" i="34"/>
  <c r="GI26" i="34"/>
  <c r="R30" i="34"/>
  <c r="GI33" i="34"/>
  <c r="R21" i="34"/>
  <c r="GI24" i="34"/>
  <c r="R27" i="34"/>
  <c r="GI30" i="34"/>
  <c r="R29" i="34"/>
  <c r="GI32" i="34"/>
  <c r="HA33" i="34"/>
  <c r="GR33" i="34" s="1"/>
  <c r="HA30" i="34"/>
  <c r="GR30" i="34" s="1"/>
  <c r="HA31" i="34"/>
  <c r="GR31" i="34" s="1"/>
  <c r="HA32" i="34"/>
  <c r="GR32" i="34" s="1"/>
  <c r="HA28" i="34"/>
  <c r="GR28" i="34" s="1"/>
  <c r="HA29" i="34"/>
  <c r="GR29" i="34" s="1"/>
  <c r="HA27" i="34"/>
  <c r="GR27" i="34" s="1"/>
  <c r="HA25" i="34"/>
  <c r="GR25" i="34" s="1"/>
  <c r="HA26" i="34"/>
  <c r="GR26" i="34" s="1"/>
  <c r="HA23" i="34"/>
  <c r="GR23" i="34" s="1"/>
  <c r="HA24" i="34"/>
  <c r="GR24" i="34" s="1"/>
  <c r="HA22" i="34"/>
  <c r="GR22" i="34" s="1"/>
  <c r="HB20" i="34"/>
  <c r="GS20" i="34"/>
  <c r="R20" i="34"/>
  <c r="GI23" i="34"/>
  <c r="R26" i="34"/>
  <c r="GI29" i="34"/>
  <c r="R28" i="34"/>
  <c r="GI31" i="34"/>
  <c r="R22" i="34"/>
  <c r="GI25" i="34"/>
  <c r="R25" i="34"/>
  <c r="GI28" i="34"/>
  <c r="R24" i="34"/>
  <c r="GI27" i="34"/>
  <c r="FW23" i="31"/>
  <c r="FN23" i="31" s="1"/>
  <c r="FO23" i="31" s="1"/>
  <c r="FW33" i="31"/>
  <c r="FN33" i="31" s="1"/>
  <c r="FO33" i="31" s="1"/>
  <c r="FW28" i="31"/>
  <c r="FN28" i="31" s="1"/>
  <c r="FO28" i="31" s="1"/>
  <c r="FW31" i="31"/>
  <c r="FN31" i="31" s="1"/>
  <c r="FO31" i="31" s="1"/>
  <c r="FW25" i="31"/>
  <c r="FN25" i="31" s="1"/>
  <c r="FO25" i="31" s="1"/>
  <c r="FW30" i="31"/>
  <c r="FN30" i="31" s="1"/>
  <c r="FO30" i="31" s="1"/>
  <c r="FW24" i="31"/>
  <c r="FN24" i="31" s="1"/>
  <c r="FO24" i="31" s="1"/>
  <c r="FW27" i="31"/>
  <c r="FN27" i="31" s="1"/>
  <c r="FO27" i="31" s="1"/>
  <c r="FW26" i="31"/>
  <c r="FN26" i="31" s="1"/>
  <c r="FO26" i="31" s="1"/>
  <c r="FW32" i="31"/>
  <c r="FN32" i="31" s="1"/>
  <c r="FO32" i="31" s="1"/>
  <c r="FW29" i="31"/>
  <c r="FN29" i="31" s="1"/>
  <c r="FO29" i="31" s="1"/>
  <c r="P23" i="33"/>
  <c r="FO26" i="33"/>
  <c r="P24" i="33"/>
  <c r="FO27" i="33"/>
  <c r="P19" i="33"/>
  <c r="FO22" i="33"/>
  <c r="P27" i="33"/>
  <c r="FO30" i="33"/>
  <c r="P29" i="33"/>
  <c r="FO32" i="33"/>
  <c r="AV36" i="33"/>
  <c r="AU37" i="33"/>
  <c r="P22" i="33"/>
  <c r="FO25" i="33"/>
  <c r="P28" i="33"/>
  <c r="FO31" i="33"/>
  <c r="P26" i="33"/>
  <c r="FO29" i="33"/>
  <c r="GG30" i="33"/>
  <c r="FX30" i="33" s="1"/>
  <c r="GG31" i="33"/>
  <c r="FX31" i="33" s="1"/>
  <c r="GG32" i="33"/>
  <c r="FX32" i="33" s="1"/>
  <c r="GG28" i="33"/>
  <c r="FX28" i="33" s="1"/>
  <c r="GG29" i="33"/>
  <c r="FX29" i="33" s="1"/>
  <c r="GG27" i="33"/>
  <c r="FX27" i="33" s="1"/>
  <c r="GG33" i="33"/>
  <c r="FX33" i="33" s="1"/>
  <c r="GG24" i="33"/>
  <c r="FX24" i="33" s="1"/>
  <c r="GG23" i="33"/>
  <c r="FX23" i="33" s="1"/>
  <c r="GG25" i="33"/>
  <c r="FX25" i="33" s="1"/>
  <c r="GG22" i="33"/>
  <c r="FX22" i="33" s="1"/>
  <c r="FY20" i="33"/>
  <c r="GG26" i="33"/>
  <c r="FX26" i="33" s="1"/>
  <c r="GH20" i="33"/>
  <c r="P20" i="33"/>
  <c r="FO23" i="33"/>
  <c r="P30" i="33"/>
  <c r="FO33" i="33"/>
  <c r="P21" i="33"/>
  <c r="FO24" i="33"/>
  <c r="P25" i="33"/>
  <c r="FO28" i="33"/>
  <c r="O37" i="31"/>
  <c r="O36" i="31"/>
  <c r="O34" i="31"/>
  <c r="O31" i="31"/>
  <c r="O38" i="31"/>
  <c r="FO20" i="31"/>
  <c r="FW22" i="31"/>
  <c r="FN22" i="31" s="1"/>
  <c r="FX20" i="31"/>
  <c r="O35" i="31"/>
  <c r="AU35" i="31"/>
  <c r="AV34" i="31"/>
  <c r="O19" i="31"/>
  <c r="FE22" i="31"/>
  <c r="O33" i="31"/>
  <c r="O32" i="31"/>
  <c r="AO58" i="31"/>
  <c r="AB74" i="31" s="1"/>
  <c r="AB78" i="31" s="1"/>
  <c r="FO22" i="29"/>
  <c r="P19" i="29"/>
  <c r="O20" i="29"/>
  <c r="FE23" i="29"/>
  <c r="O21" i="29"/>
  <c r="FE24" i="29"/>
  <c r="O35" i="29"/>
  <c r="FE38" i="29"/>
  <c r="O25" i="29"/>
  <c r="FE28" i="29"/>
  <c r="O33" i="29"/>
  <c r="FE36" i="29"/>
  <c r="O38" i="29"/>
  <c r="FE41" i="29"/>
  <c r="O27" i="29"/>
  <c r="FE30" i="29"/>
  <c r="O22" i="29"/>
  <c r="FE25" i="29"/>
  <c r="O26" i="29"/>
  <c r="FE29" i="29"/>
  <c r="O32" i="29"/>
  <c r="FE35" i="29"/>
  <c r="O37" i="29"/>
  <c r="FE40" i="29"/>
  <c r="O31" i="29"/>
  <c r="FE34" i="29"/>
  <c r="O24" i="29"/>
  <c r="FE27" i="29"/>
  <c r="FW33" i="29"/>
  <c r="FN33" i="29" s="1"/>
  <c r="FW32" i="29"/>
  <c r="FN32" i="29" s="1"/>
  <c r="FW31" i="29"/>
  <c r="FN31" i="29" s="1"/>
  <c r="FW30" i="29"/>
  <c r="FN30" i="29" s="1"/>
  <c r="FW29" i="29"/>
  <c r="FN29" i="29" s="1"/>
  <c r="FW28" i="29"/>
  <c r="FN28" i="29" s="1"/>
  <c r="FW27" i="29"/>
  <c r="FN27" i="29" s="1"/>
  <c r="FW26" i="29"/>
  <c r="FN26" i="29" s="1"/>
  <c r="FW25" i="29"/>
  <c r="FN25" i="29" s="1"/>
  <c r="FW24" i="29"/>
  <c r="FN24" i="29" s="1"/>
  <c r="FX20" i="29"/>
  <c r="GG22" i="29" s="1"/>
  <c r="FX22" i="29" s="1"/>
  <c r="FW23" i="29"/>
  <c r="FN23" i="29" s="1"/>
  <c r="FO20" i="29"/>
  <c r="O36" i="29"/>
  <c r="FE39" i="29"/>
  <c r="O30" i="29"/>
  <c r="FE33" i="29"/>
  <c r="AV33" i="29"/>
  <c r="AU34" i="29"/>
  <c r="O28" i="29"/>
  <c r="FE31" i="29"/>
  <c r="O23" i="29"/>
  <c r="FE26" i="29"/>
  <c r="O29" i="29"/>
  <c r="FE32" i="29"/>
  <c r="FE37" i="29"/>
  <c r="FE22" i="28"/>
  <c r="O19" i="28"/>
  <c r="N23" i="28"/>
  <c r="EU26" i="28"/>
  <c r="N34" i="28"/>
  <c r="EU37" i="28"/>
  <c r="N26" i="28"/>
  <c r="EU29" i="28"/>
  <c r="N27" i="28"/>
  <c r="EU30" i="28"/>
  <c r="N24" i="28"/>
  <c r="EU27" i="28"/>
  <c r="N31" i="28"/>
  <c r="EU34" i="28"/>
  <c r="N35" i="28"/>
  <c r="EU38" i="28"/>
  <c r="EU28" i="28"/>
  <c r="N38" i="28"/>
  <c r="EU41" i="28"/>
  <c r="N28" i="28"/>
  <c r="EU31" i="28"/>
  <c r="N32" i="28"/>
  <c r="EU35" i="28"/>
  <c r="N36" i="28"/>
  <c r="EU39" i="28"/>
  <c r="AU34" i="28"/>
  <c r="AV33" i="28"/>
  <c r="EU23" i="28"/>
  <c r="N30" i="28"/>
  <c r="EU33" i="28"/>
  <c r="N21" i="28"/>
  <c r="EU24" i="28"/>
  <c r="FM41" i="28"/>
  <c r="FD41" i="28" s="1"/>
  <c r="FM40" i="28"/>
  <c r="FD40" i="28" s="1"/>
  <c r="FM39" i="28"/>
  <c r="FD39" i="28" s="1"/>
  <c r="FM38" i="28"/>
  <c r="FD38" i="28" s="1"/>
  <c r="FM37" i="28"/>
  <c r="FD37" i="28" s="1"/>
  <c r="FM36" i="28"/>
  <c r="FD36" i="28" s="1"/>
  <c r="FM35" i="28"/>
  <c r="FD35" i="28" s="1"/>
  <c r="FM34" i="28"/>
  <c r="FD34" i="28" s="1"/>
  <c r="FM31" i="28"/>
  <c r="FD31" i="28" s="1"/>
  <c r="FM30" i="28"/>
  <c r="FD30" i="28" s="1"/>
  <c r="FM29" i="28"/>
  <c r="FD29" i="28" s="1"/>
  <c r="FM28" i="28"/>
  <c r="FD28" i="28" s="1"/>
  <c r="FM27" i="28"/>
  <c r="FD27" i="28" s="1"/>
  <c r="FM26" i="28"/>
  <c r="FD26" i="28" s="1"/>
  <c r="FM25" i="28"/>
  <c r="FD25" i="28" s="1"/>
  <c r="FM23" i="28"/>
  <c r="FD23" i="28" s="1"/>
  <c r="O20" i="28" s="1"/>
  <c r="FN20" i="28"/>
  <c r="FW22" i="28" s="1"/>
  <c r="FN22" i="28" s="1"/>
  <c r="FM24" i="28"/>
  <c r="FD24" i="28" s="1"/>
  <c r="FM33" i="28"/>
  <c r="FD33" i="28" s="1"/>
  <c r="FM32" i="28"/>
  <c r="FD32" i="28" s="1"/>
  <c r="FE20" i="28"/>
  <c r="N22" i="28"/>
  <c r="EU25" i="28"/>
  <c r="N29" i="28"/>
  <c r="EU32" i="28"/>
  <c r="N33" i="28"/>
  <c r="EU36" i="28"/>
  <c r="N37" i="28"/>
  <c r="EU40" i="28"/>
  <c r="AB79" i="31" l="1"/>
  <c r="P11" i="31" s="1"/>
  <c r="P12" i="31"/>
  <c r="AB74" i="29"/>
  <c r="AB78" i="29" s="1"/>
  <c r="AB79" i="29" s="1"/>
  <c r="P11" i="29" s="1"/>
  <c r="P5" i="37"/>
  <c r="D70" i="36"/>
  <c r="P9" i="36" s="1"/>
  <c r="P8" i="36"/>
  <c r="P7" i="36"/>
  <c r="O33" i="34"/>
  <c r="FE36" i="34"/>
  <c r="F33" i="34"/>
  <c r="BS36" i="34"/>
  <c r="J33" i="34"/>
  <c r="DG36" i="34"/>
  <c r="BH37" i="34"/>
  <c r="AX37" i="34"/>
  <c r="CB37" i="34"/>
  <c r="BR37" i="34"/>
  <c r="CL37" i="34"/>
  <c r="CV37" i="34"/>
  <c r="DF37" i="34"/>
  <c r="DP37" i="34"/>
  <c r="DZ37" i="34"/>
  <c r="EJ37" i="34"/>
  <c r="ET37" i="34"/>
  <c r="FD37" i="34"/>
  <c r="N33" i="34"/>
  <c r="EU36" i="34"/>
  <c r="BI36" i="34"/>
  <c r="E33" i="34"/>
  <c r="G33" i="34"/>
  <c r="CC36" i="34"/>
  <c r="D33" i="34"/>
  <c r="AY36" i="34"/>
  <c r="M33" i="34"/>
  <c r="EK36" i="34"/>
  <c r="H33" i="34"/>
  <c r="CM36" i="34"/>
  <c r="L33" i="34"/>
  <c r="EA36" i="34"/>
  <c r="DQ36" i="34"/>
  <c r="K33" i="34"/>
  <c r="CW36" i="34"/>
  <c r="I33" i="34"/>
  <c r="AU39" i="37"/>
  <c r="AV38" i="37"/>
  <c r="HB20" i="37"/>
  <c r="GS20" i="37"/>
  <c r="AU39" i="36"/>
  <c r="AV38" i="36"/>
  <c r="HL20" i="36"/>
  <c r="HC20" i="36"/>
  <c r="AV36" i="35"/>
  <c r="AU37" i="35"/>
  <c r="HB20" i="35"/>
  <c r="GS20" i="35"/>
  <c r="S21" i="34"/>
  <c r="GS24" i="34"/>
  <c r="S24" i="34"/>
  <c r="GS27" i="34"/>
  <c r="S28" i="34"/>
  <c r="GS31" i="34"/>
  <c r="S20" i="34"/>
  <c r="GS23" i="34"/>
  <c r="S26" i="34"/>
  <c r="GS29" i="34"/>
  <c r="S27" i="34"/>
  <c r="GS30" i="34"/>
  <c r="AV37" i="34"/>
  <c r="AU38" i="34"/>
  <c r="IQ38" i="34" s="1"/>
  <c r="HK32" i="34"/>
  <c r="HB32" i="34" s="1"/>
  <c r="HK33" i="34"/>
  <c r="HB33" i="34" s="1"/>
  <c r="HK30" i="34"/>
  <c r="HB30" i="34" s="1"/>
  <c r="HK29" i="34"/>
  <c r="HB29" i="34" s="1"/>
  <c r="HK31" i="34"/>
  <c r="HB31" i="34" s="1"/>
  <c r="HK28" i="34"/>
  <c r="HB28" i="34" s="1"/>
  <c r="HK27" i="34"/>
  <c r="HB27" i="34" s="1"/>
  <c r="HK24" i="34"/>
  <c r="HB24" i="34" s="1"/>
  <c r="HK22" i="34"/>
  <c r="HB22" i="34" s="1"/>
  <c r="HK25" i="34"/>
  <c r="HB25" i="34" s="1"/>
  <c r="HK26" i="34"/>
  <c r="HB26" i="34" s="1"/>
  <c r="HK23" i="34"/>
  <c r="HB23" i="34" s="1"/>
  <c r="HL20" i="34"/>
  <c r="HC20" i="34"/>
  <c r="S23" i="34"/>
  <c r="GS26" i="34"/>
  <c r="S25" i="34"/>
  <c r="GS28" i="34"/>
  <c r="S30" i="34"/>
  <c r="GS33" i="34"/>
  <c r="S19" i="34"/>
  <c r="GS22" i="34"/>
  <c r="S22" i="34"/>
  <c r="GS25" i="34"/>
  <c r="S29" i="34"/>
  <c r="GS32" i="34"/>
  <c r="GG24" i="31"/>
  <c r="FX24" i="31" s="1"/>
  <c r="FY24" i="31" s="1"/>
  <c r="GG29" i="31"/>
  <c r="FX29" i="31" s="1"/>
  <c r="FY29" i="31" s="1"/>
  <c r="GG30" i="31"/>
  <c r="FX30" i="31" s="1"/>
  <c r="FY30" i="31" s="1"/>
  <c r="GG32" i="31"/>
  <c r="FX32" i="31" s="1"/>
  <c r="FY32" i="31" s="1"/>
  <c r="GG28" i="31"/>
  <c r="FX28" i="31" s="1"/>
  <c r="FY28" i="31" s="1"/>
  <c r="GG23" i="31"/>
  <c r="FX23" i="31" s="1"/>
  <c r="FY23" i="31" s="1"/>
  <c r="GG31" i="31"/>
  <c r="FX31" i="31" s="1"/>
  <c r="FY31" i="31" s="1"/>
  <c r="GG33" i="31"/>
  <c r="FX33" i="31" s="1"/>
  <c r="FY33" i="31" s="1"/>
  <c r="GG25" i="31"/>
  <c r="FX25" i="31" s="1"/>
  <c r="FY25" i="31" s="1"/>
  <c r="GG26" i="31"/>
  <c r="FX26" i="31" s="1"/>
  <c r="FY26" i="31" s="1"/>
  <c r="GG27" i="31"/>
  <c r="FX27" i="31" s="1"/>
  <c r="FY27" i="31" s="1"/>
  <c r="GQ33" i="33"/>
  <c r="GH33" i="33" s="1"/>
  <c r="GQ29" i="33"/>
  <c r="GH29" i="33" s="1"/>
  <c r="GQ30" i="33"/>
  <c r="GH30" i="33" s="1"/>
  <c r="GQ31" i="33"/>
  <c r="GH31" i="33" s="1"/>
  <c r="GQ26" i="33"/>
  <c r="GH26" i="33" s="1"/>
  <c r="GQ28" i="33"/>
  <c r="GH28" i="33" s="1"/>
  <c r="GQ27" i="33"/>
  <c r="GH27" i="33" s="1"/>
  <c r="GQ32" i="33"/>
  <c r="GH32" i="33" s="1"/>
  <c r="GQ24" i="33"/>
  <c r="GH24" i="33" s="1"/>
  <c r="GR20" i="33"/>
  <c r="GQ25" i="33"/>
  <c r="GH25" i="33" s="1"/>
  <c r="GQ23" i="33"/>
  <c r="GH23" i="33" s="1"/>
  <c r="GI20" i="33"/>
  <c r="GQ22" i="33"/>
  <c r="GH22" i="33" s="1"/>
  <c r="Q22" i="33"/>
  <c r="FY25" i="33"/>
  <c r="Q28" i="33"/>
  <c r="FY31" i="33"/>
  <c r="AU38" i="33"/>
  <c r="AV37" i="33"/>
  <c r="Q23" i="33"/>
  <c r="FY26" i="33"/>
  <c r="Q20" i="33"/>
  <c r="FY23" i="33"/>
  <c r="Q26" i="33"/>
  <c r="FY29" i="33"/>
  <c r="Q25" i="33"/>
  <c r="FY28" i="33"/>
  <c r="Q21" i="33"/>
  <c r="FY24" i="33"/>
  <c r="Q27" i="33"/>
  <c r="FY30" i="33"/>
  <c r="Q19" i="33"/>
  <c r="FY22" i="33"/>
  <c r="Q30" i="33"/>
  <c r="FY33" i="33"/>
  <c r="Q29" i="33"/>
  <c r="FY32" i="33"/>
  <c r="Q24" i="33"/>
  <c r="FY27" i="33"/>
  <c r="GH20" i="31"/>
  <c r="GG22" i="31"/>
  <c r="FX22" i="31" s="1"/>
  <c r="FY20" i="31"/>
  <c r="P19" i="31"/>
  <c r="FO22" i="31"/>
  <c r="AU36" i="31"/>
  <c r="AV35" i="31"/>
  <c r="FY22" i="29"/>
  <c r="Q19" i="29"/>
  <c r="P22" i="29"/>
  <c r="FO25" i="29"/>
  <c r="P26" i="29"/>
  <c r="FO29" i="29"/>
  <c r="P29" i="29"/>
  <c r="FO32" i="29"/>
  <c r="P20" i="29"/>
  <c r="FO23" i="29"/>
  <c r="P23" i="29"/>
  <c r="FO26" i="29"/>
  <c r="P27" i="29"/>
  <c r="FO30" i="29"/>
  <c r="P30" i="29"/>
  <c r="FO33" i="29"/>
  <c r="P28" i="29"/>
  <c r="FO31" i="29"/>
  <c r="GG33" i="29"/>
  <c r="FX33" i="29" s="1"/>
  <c r="GG32" i="29"/>
  <c r="FX32" i="29" s="1"/>
  <c r="GG31" i="29"/>
  <c r="FX31" i="29" s="1"/>
  <c r="GG30" i="29"/>
  <c r="FX30" i="29" s="1"/>
  <c r="GG29" i="29"/>
  <c r="FX29" i="29" s="1"/>
  <c r="GG28" i="29"/>
  <c r="FX28" i="29" s="1"/>
  <c r="GG27" i="29"/>
  <c r="FX27" i="29" s="1"/>
  <c r="GG26" i="29"/>
  <c r="FX26" i="29" s="1"/>
  <c r="GG23" i="29"/>
  <c r="FX23" i="29" s="1"/>
  <c r="GH20" i="29"/>
  <c r="GQ22" i="29" s="1"/>
  <c r="GH22" i="29" s="1"/>
  <c r="GG25" i="29"/>
  <c r="FX25" i="29" s="1"/>
  <c r="FY20" i="29"/>
  <c r="GG24" i="29"/>
  <c r="FX24" i="29" s="1"/>
  <c r="P24" i="29"/>
  <c r="E57" i="29" s="1"/>
  <c r="FO27" i="29"/>
  <c r="AV34" i="29"/>
  <c r="AU35" i="29"/>
  <c r="P21" i="29"/>
  <c r="FO24" i="29"/>
  <c r="P25" i="29"/>
  <c r="E59" i="29" s="1"/>
  <c r="FO28" i="29"/>
  <c r="FO22" i="28"/>
  <c r="P19" i="28"/>
  <c r="O22" i="28"/>
  <c r="FE25" i="28"/>
  <c r="O30" i="28"/>
  <c r="FE33" i="28"/>
  <c r="O32" i="28"/>
  <c r="FE35" i="28"/>
  <c r="O21" i="28"/>
  <c r="FE24" i="28"/>
  <c r="O23" i="28"/>
  <c r="FE26" i="28"/>
  <c r="O27" i="28"/>
  <c r="FE30" i="28"/>
  <c r="O33" i="28"/>
  <c r="FE36" i="28"/>
  <c r="O37" i="28"/>
  <c r="FE40" i="28"/>
  <c r="O26" i="28"/>
  <c r="FE29" i="28"/>
  <c r="O36" i="28"/>
  <c r="FE39" i="28"/>
  <c r="FW33" i="28"/>
  <c r="FN33" i="28" s="1"/>
  <c r="FW32" i="28"/>
  <c r="FN32" i="28" s="1"/>
  <c r="FW31" i="28"/>
  <c r="FN31" i="28" s="1"/>
  <c r="FW30" i="28"/>
  <c r="FN30" i="28" s="1"/>
  <c r="FW29" i="28"/>
  <c r="FN29" i="28" s="1"/>
  <c r="FW28" i="28"/>
  <c r="FN28" i="28" s="1"/>
  <c r="FW24" i="28"/>
  <c r="FN24" i="28" s="1"/>
  <c r="FX20" i="28"/>
  <c r="GG22" i="28" s="1"/>
  <c r="FX22" i="28" s="1"/>
  <c r="FO20" i="28"/>
  <c r="FW27" i="28"/>
  <c r="FN27" i="28" s="1"/>
  <c r="FW26" i="28"/>
  <c r="FN26" i="28" s="1"/>
  <c r="FW25" i="28"/>
  <c r="FN25" i="28" s="1"/>
  <c r="FW23" i="28"/>
  <c r="FN23" i="28" s="1"/>
  <c r="P20" i="28" s="1"/>
  <c r="O24" i="28"/>
  <c r="FE27" i="28"/>
  <c r="O28" i="28"/>
  <c r="FE31" i="28"/>
  <c r="O34" i="28"/>
  <c r="FE37" i="28"/>
  <c r="O38" i="28"/>
  <c r="FE41" i="28"/>
  <c r="O29" i="28"/>
  <c r="FE32" i="28"/>
  <c r="FE23" i="28"/>
  <c r="O25" i="28"/>
  <c r="FE28" i="28"/>
  <c r="O31" i="28"/>
  <c r="FE34" i="28"/>
  <c r="O35" i="28"/>
  <c r="FE38" i="28"/>
  <c r="AU35" i="28"/>
  <c r="AV34" i="28"/>
  <c r="P12" i="29" l="1"/>
  <c r="P8" i="37"/>
  <c r="P7" i="37"/>
  <c r="D70" i="37"/>
  <c r="P9" i="37" s="1"/>
  <c r="M34" i="34"/>
  <c r="EK37" i="34"/>
  <c r="CW37" i="34"/>
  <c r="I34" i="34"/>
  <c r="AY37" i="34"/>
  <c r="D34" i="34"/>
  <c r="BH38" i="34"/>
  <c r="BR38" i="34"/>
  <c r="CB38" i="34"/>
  <c r="CL38" i="34"/>
  <c r="AX38" i="34"/>
  <c r="CV38" i="34"/>
  <c r="DF38" i="34"/>
  <c r="DP38" i="34"/>
  <c r="DZ38" i="34"/>
  <c r="EJ38" i="34"/>
  <c r="ET38" i="34"/>
  <c r="FD38" i="34"/>
  <c r="EA37" i="34"/>
  <c r="L34" i="34"/>
  <c r="H34" i="34"/>
  <c r="CM37" i="34"/>
  <c r="BI37" i="34"/>
  <c r="E34" i="34"/>
  <c r="O34" i="34"/>
  <c r="FE37" i="34"/>
  <c r="K34" i="34"/>
  <c r="DQ37" i="34"/>
  <c r="F34" i="34"/>
  <c r="BS37" i="34"/>
  <c r="N34" i="34"/>
  <c r="EU37" i="34"/>
  <c r="DG37" i="34"/>
  <c r="J34" i="34"/>
  <c r="G34" i="34"/>
  <c r="CC37" i="34"/>
  <c r="E58" i="29"/>
  <c r="HC20" i="37"/>
  <c r="HL20" i="37"/>
  <c r="AU40" i="37"/>
  <c r="AV39" i="37"/>
  <c r="HV20" i="36"/>
  <c r="HM20" i="36"/>
  <c r="AU40" i="36"/>
  <c r="AV39" i="36"/>
  <c r="AV37" i="35"/>
  <c r="AU38" i="35"/>
  <c r="HC20" i="35"/>
  <c r="HL20" i="35"/>
  <c r="T19" i="34"/>
  <c r="HC22" i="34"/>
  <c r="T29" i="34"/>
  <c r="HC32" i="34"/>
  <c r="T22" i="34"/>
  <c r="HC25" i="34"/>
  <c r="T25" i="34"/>
  <c r="HC28" i="34"/>
  <c r="T30" i="34"/>
  <c r="HC33" i="34"/>
  <c r="T20" i="34"/>
  <c r="HC23" i="34"/>
  <c r="T21" i="34"/>
  <c r="HC24" i="34"/>
  <c r="T26" i="34"/>
  <c r="HC29" i="34"/>
  <c r="HU31" i="34"/>
  <c r="HL31" i="34" s="1"/>
  <c r="HU32" i="34"/>
  <c r="HL32" i="34" s="1"/>
  <c r="HU33" i="34"/>
  <c r="HL33" i="34" s="1"/>
  <c r="HU28" i="34"/>
  <c r="HL28" i="34" s="1"/>
  <c r="HU29" i="34"/>
  <c r="HL29" i="34" s="1"/>
  <c r="HU30" i="34"/>
  <c r="HL30" i="34" s="1"/>
  <c r="HU27" i="34"/>
  <c r="HL27" i="34" s="1"/>
  <c r="HU23" i="34"/>
  <c r="HL23" i="34" s="1"/>
  <c r="HU24" i="34"/>
  <c r="HL24" i="34" s="1"/>
  <c r="HU22" i="34"/>
  <c r="HL22" i="34" s="1"/>
  <c r="HU25" i="34"/>
  <c r="HL25" i="34" s="1"/>
  <c r="HU26" i="34"/>
  <c r="HL26" i="34" s="1"/>
  <c r="HV20" i="34"/>
  <c r="HM20" i="34"/>
  <c r="T28" i="34"/>
  <c r="HC31" i="34"/>
  <c r="T23" i="34"/>
  <c r="HC26" i="34"/>
  <c r="T24" i="34"/>
  <c r="HC27" i="34"/>
  <c r="T27" i="34"/>
  <c r="HC30" i="34"/>
  <c r="AU39" i="34"/>
  <c r="IQ39" i="34" s="1"/>
  <c r="AV38" i="34"/>
  <c r="GQ31" i="31"/>
  <c r="GH31" i="31" s="1"/>
  <c r="GI31" i="31" s="1"/>
  <c r="GQ26" i="31"/>
  <c r="GH26" i="31" s="1"/>
  <c r="GI26" i="31" s="1"/>
  <c r="GQ32" i="31"/>
  <c r="GH32" i="31" s="1"/>
  <c r="GI32" i="31" s="1"/>
  <c r="GQ23" i="31"/>
  <c r="GH23" i="31" s="1"/>
  <c r="GI23" i="31" s="1"/>
  <c r="GQ25" i="31"/>
  <c r="GH25" i="31" s="1"/>
  <c r="GI25" i="31" s="1"/>
  <c r="GQ33" i="31"/>
  <c r="GH33" i="31" s="1"/>
  <c r="GI33" i="31" s="1"/>
  <c r="GQ28" i="31"/>
  <c r="GH28" i="31" s="1"/>
  <c r="GI28" i="31" s="1"/>
  <c r="GQ27" i="31"/>
  <c r="GH27" i="31" s="1"/>
  <c r="GI27" i="31" s="1"/>
  <c r="GQ29" i="31"/>
  <c r="GH29" i="31" s="1"/>
  <c r="GI29" i="31" s="1"/>
  <c r="GQ24" i="31"/>
  <c r="GH24" i="31" s="1"/>
  <c r="GI24" i="31" s="1"/>
  <c r="GQ30" i="31"/>
  <c r="GH30" i="31" s="1"/>
  <c r="GI30" i="31" s="1"/>
  <c r="R22" i="33"/>
  <c r="GI25" i="33"/>
  <c r="R24" i="33"/>
  <c r="GI27" i="33"/>
  <c r="R27" i="33"/>
  <c r="GI30" i="33"/>
  <c r="AU39" i="33"/>
  <c r="AV38" i="33"/>
  <c r="R19" i="33"/>
  <c r="GI22" i="33"/>
  <c r="HA32" i="33"/>
  <c r="GR32" i="33" s="1"/>
  <c r="HA28" i="33"/>
  <c r="GR28" i="33" s="1"/>
  <c r="HA33" i="33"/>
  <c r="GR33" i="33" s="1"/>
  <c r="HA29" i="33"/>
  <c r="GR29" i="33" s="1"/>
  <c r="HA30" i="33"/>
  <c r="GR30" i="33" s="1"/>
  <c r="HA25" i="33"/>
  <c r="GR25" i="33" s="1"/>
  <c r="HA22" i="33"/>
  <c r="GR22" i="33" s="1"/>
  <c r="HA26" i="33"/>
  <c r="GR26" i="33" s="1"/>
  <c r="HA27" i="33"/>
  <c r="GR27" i="33" s="1"/>
  <c r="HA31" i="33"/>
  <c r="GR31" i="33" s="1"/>
  <c r="GS20" i="33"/>
  <c r="HA24" i="33"/>
  <c r="GR24" i="33" s="1"/>
  <c r="HA23" i="33"/>
  <c r="GR23" i="33" s="1"/>
  <c r="HB20" i="33"/>
  <c r="R25" i="33"/>
  <c r="GI28" i="33"/>
  <c r="R26" i="33"/>
  <c r="GI29" i="33"/>
  <c r="R21" i="33"/>
  <c r="GI24" i="33"/>
  <c r="R23" i="33"/>
  <c r="GI26" i="33"/>
  <c r="R30" i="33"/>
  <c r="GI33" i="33"/>
  <c r="R20" i="33"/>
  <c r="GI23" i="33"/>
  <c r="R29" i="33"/>
  <c r="GI32" i="33"/>
  <c r="R28" i="33"/>
  <c r="GI31" i="33"/>
  <c r="Q19" i="31"/>
  <c r="FY22" i="31"/>
  <c r="AV36" i="31"/>
  <c r="AU37" i="31"/>
  <c r="GQ22" i="31"/>
  <c r="GH22" i="31" s="1"/>
  <c r="GI20" i="31"/>
  <c r="GR20" i="31"/>
  <c r="GI22" i="29"/>
  <c r="R19" i="29"/>
  <c r="Q20" i="29"/>
  <c r="FY23" i="29"/>
  <c r="Q26" i="29"/>
  <c r="FY29" i="29"/>
  <c r="Q30" i="29"/>
  <c r="FY33" i="29"/>
  <c r="Q21" i="29"/>
  <c r="FY24" i="29"/>
  <c r="Q23" i="29"/>
  <c r="FY26" i="29"/>
  <c r="Q27" i="29"/>
  <c r="FY30" i="29"/>
  <c r="AV35" i="29"/>
  <c r="AU36" i="29"/>
  <c r="Q22" i="29"/>
  <c r="FY25" i="29"/>
  <c r="Q28" i="29"/>
  <c r="FY31" i="29"/>
  <c r="Q24" i="29"/>
  <c r="G57" i="29" s="1"/>
  <c r="F57" i="29" s="1"/>
  <c r="FY27" i="29"/>
  <c r="GQ33" i="29"/>
  <c r="GH33" i="29" s="1"/>
  <c r="GQ32" i="29"/>
  <c r="GH32" i="29" s="1"/>
  <c r="GQ31" i="29"/>
  <c r="GH31" i="29" s="1"/>
  <c r="GQ30" i="29"/>
  <c r="GH30" i="29" s="1"/>
  <c r="GQ29" i="29"/>
  <c r="GH29" i="29" s="1"/>
  <c r="GQ28" i="29"/>
  <c r="GH28" i="29" s="1"/>
  <c r="GQ27" i="29"/>
  <c r="GH27" i="29" s="1"/>
  <c r="GQ26" i="29"/>
  <c r="GH26" i="29" s="1"/>
  <c r="GQ25" i="29"/>
  <c r="GH25" i="29" s="1"/>
  <c r="GQ24" i="29"/>
  <c r="GH24" i="29" s="1"/>
  <c r="GQ23" i="29"/>
  <c r="GH23" i="29" s="1"/>
  <c r="GR20" i="29"/>
  <c r="HA22" i="29" s="1"/>
  <c r="GR22" i="29" s="1"/>
  <c r="GI20" i="29"/>
  <c r="Q25" i="29"/>
  <c r="G59" i="29" s="1"/>
  <c r="FY28" i="29"/>
  <c r="Q29" i="29"/>
  <c r="FY32" i="29"/>
  <c r="FY22" i="28"/>
  <c r="Q19" i="28"/>
  <c r="FO23" i="28"/>
  <c r="P26" i="28"/>
  <c r="FO29" i="28"/>
  <c r="P30" i="28"/>
  <c r="FO33" i="28"/>
  <c r="AU36" i="28"/>
  <c r="AV35" i="28"/>
  <c r="P22" i="28"/>
  <c r="FO25" i="28"/>
  <c r="GG31" i="28"/>
  <c r="FX31" i="28" s="1"/>
  <c r="GG23" i="28"/>
  <c r="FX23" i="28" s="1"/>
  <c r="Q20" i="28" s="1"/>
  <c r="GG30" i="28"/>
  <c r="FX30" i="28" s="1"/>
  <c r="GG28" i="28"/>
  <c r="FX28" i="28" s="1"/>
  <c r="GG33" i="28"/>
  <c r="FX33" i="28" s="1"/>
  <c r="GG29" i="28"/>
  <c r="FX29" i="28" s="1"/>
  <c r="GG27" i="28"/>
  <c r="FX27" i="28" s="1"/>
  <c r="GG26" i="28"/>
  <c r="FX26" i="28" s="1"/>
  <c r="GG25" i="28"/>
  <c r="FX25" i="28" s="1"/>
  <c r="GG24" i="28"/>
  <c r="FX24" i="28" s="1"/>
  <c r="GH20" i="28"/>
  <c r="GQ22" i="28" s="1"/>
  <c r="GH22" i="28" s="1"/>
  <c r="GG32" i="28"/>
  <c r="FX32" i="28" s="1"/>
  <c r="FY20" i="28"/>
  <c r="P27" i="28"/>
  <c r="FO30" i="28"/>
  <c r="P23" i="28"/>
  <c r="FO26" i="28"/>
  <c r="P21" i="28"/>
  <c r="FO24" i="28"/>
  <c r="P28" i="28"/>
  <c r="FO31" i="28"/>
  <c r="P24" i="28"/>
  <c r="E57" i="28" s="1"/>
  <c r="FO27" i="28"/>
  <c r="P25" i="28"/>
  <c r="E59" i="28" s="1"/>
  <c r="FO28" i="28"/>
  <c r="P29" i="28"/>
  <c r="FO32" i="28"/>
  <c r="L35" i="34" l="1"/>
  <c r="EA38" i="34"/>
  <c r="D35" i="34"/>
  <c r="AY38" i="34"/>
  <c r="E35" i="34"/>
  <c r="BI38" i="34"/>
  <c r="BH39" i="34"/>
  <c r="AX39" i="34"/>
  <c r="CB39" i="34"/>
  <c r="BR39" i="34"/>
  <c r="CL39" i="34"/>
  <c r="CV39" i="34"/>
  <c r="DF39" i="34"/>
  <c r="DP39" i="34"/>
  <c r="DZ39" i="34"/>
  <c r="EJ39" i="34"/>
  <c r="ET39" i="34"/>
  <c r="FD39" i="34"/>
  <c r="FE38" i="34"/>
  <c r="O35" i="34"/>
  <c r="K35" i="34"/>
  <c r="DQ38" i="34"/>
  <c r="H35" i="34"/>
  <c r="CM38" i="34"/>
  <c r="N35" i="34"/>
  <c r="EU38" i="34"/>
  <c r="DG38" i="34"/>
  <c r="J35" i="34"/>
  <c r="G35" i="34"/>
  <c r="CC38" i="34"/>
  <c r="M35" i="34"/>
  <c r="EK38" i="34"/>
  <c r="CW38" i="34"/>
  <c r="I35" i="34"/>
  <c r="F35" i="34"/>
  <c r="BS38" i="34"/>
  <c r="E58" i="28"/>
  <c r="G58" i="29"/>
  <c r="F58" i="29" s="1"/>
  <c r="F59" i="29"/>
  <c r="HV20" i="37"/>
  <c r="HM20" i="37"/>
  <c r="AV40" i="37"/>
  <c r="AU41" i="37"/>
  <c r="AU41" i="36"/>
  <c r="AV40" i="36"/>
  <c r="IF20" i="36"/>
  <c r="HW20" i="36"/>
  <c r="AU39" i="35"/>
  <c r="AV38" i="35"/>
  <c r="HV20" i="35"/>
  <c r="HM20" i="35"/>
  <c r="AU40" i="34"/>
  <c r="IQ40" i="34" s="1"/>
  <c r="AV39" i="34"/>
  <c r="U23" i="34"/>
  <c r="HM26" i="34"/>
  <c r="U20" i="34"/>
  <c r="HM23" i="34"/>
  <c r="U25" i="34"/>
  <c r="HM28" i="34"/>
  <c r="U22" i="34"/>
  <c r="HM25" i="34"/>
  <c r="U24" i="34"/>
  <c r="HM27" i="34"/>
  <c r="U30" i="34"/>
  <c r="HM33" i="34"/>
  <c r="U19" i="34"/>
  <c r="HM22" i="34"/>
  <c r="U27" i="34"/>
  <c r="HM30" i="34"/>
  <c r="U29" i="34"/>
  <c r="HM32" i="34"/>
  <c r="IE30" i="34"/>
  <c r="HV30" i="34" s="1"/>
  <c r="IE31" i="34"/>
  <c r="HV31" i="34" s="1"/>
  <c r="IE32" i="34"/>
  <c r="HV32" i="34" s="1"/>
  <c r="IE33" i="34"/>
  <c r="HV33" i="34" s="1"/>
  <c r="IE27" i="34"/>
  <c r="HV27" i="34" s="1"/>
  <c r="IE29" i="34"/>
  <c r="HV29" i="34" s="1"/>
  <c r="IE26" i="34"/>
  <c r="HV26" i="34" s="1"/>
  <c r="IE28" i="34"/>
  <c r="HV28" i="34" s="1"/>
  <c r="IE23" i="34"/>
  <c r="HV23" i="34" s="1"/>
  <c r="IE24" i="34"/>
  <c r="HV24" i="34" s="1"/>
  <c r="IE22" i="34"/>
  <c r="HV22" i="34" s="1"/>
  <c r="IE25" i="34"/>
  <c r="HV25" i="34" s="1"/>
  <c r="IF20" i="34"/>
  <c r="HW20" i="34"/>
  <c r="U21" i="34"/>
  <c r="HM24" i="34"/>
  <c r="U26" i="34"/>
  <c r="HM29" i="34"/>
  <c r="U28" i="34"/>
  <c r="HM31" i="34"/>
  <c r="HA27" i="31"/>
  <c r="GR27" i="31" s="1"/>
  <c r="GS27" i="31" s="1"/>
  <c r="HA26" i="31"/>
  <c r="GR26" i="31" s="1"/>
  <c r="GS26" i="31" s="1"/>
  <c r="HA30" i="31"/>
  <c r="GR30" i="31" s="1"/>
  <c r="GS30" i="31" s="1"/>
  <c r="HA32" i="31"/>
  <c r="GR32" i="31" s="1"/>
  <c r="GS32" i="31" s="1"/>
  <c r="HA28" i="31"/>
  <c r="GR28" i="31" s="1"/>
  <c r="GS28" i="31" s="1"/>
  <c r="HA25" i="31"/>
  <c r="GR25" i="31" s="1"/>
  <c r="GS25" i="31" s="1"/>
  <c r="HA23" i="31"/>
  <c r="GR23" i="31" s="1"/>
  <c r="GS23" i="31" s="1"/>
  <c r="HA24" i="31"/>
  <c r="GR24" i="31" s="1"/>
  <c r="GS24" i="31" s="1"/>
  <c r="HA31" i="31"/>
  <c r="GR31" i="31" s="1"/>
  <c r="GS31" i="31" s="1"/>
  <c r="HA33" i="31"/>
  <c r="GR33" i="31" s="1"/>
  <c r="GS33" i="31" s="1"/>
  <c r="HA29" i="31"/>
  <c r="GR29" i="31" s="1"/>
  <c r="GS29" i="31" s="1"/>
  <c r="S20" i="33"/>
  <c r="GS23" i="33"/>
  <c r="S24" i="33"/>
  <c r="GS27" i="33"/>
  <c r="S27" i="33"/>
  <c r="GS30" i="33"/>
  <c r="S29" i="33"/>
  <c r="GS32" i="33"/>
  <c r="S21" i="33"/>
  <c r="GS24" i="33"/>
  <c r="S23" i="33"/>
  <c r="GS26" i="33"/>
  <c r="S26" i="33"/>
  <c r="GS29" i="33"/>
  <c r="AV39" i="33"/>
  <c r="AU40" i="33"/>
  <c r="S19" i="33"/>
  <c r="GS22" i="33"/>
  <c r="S30" i="33"/>
  <c r="GS33" i="33"/>
  <c r="HK31" i="33"/>
  <c r="HB31" i="33" s="1"/>
  <c r="HK32" i="33"/>
  <c r="HB32" i="33" s="1"/>
  <c r="HK28" i="33"/>
  <c r="HB28" i="33" s="1"/>
  <c r="HK33" i="33"/>
  <c r="HB33" i="33" s="1"/>
  <c r="HK29" i="33"/>
  <c r="HB29" i="33" s="1"/>
  <c r="HK30" i="33"/>
  <c r="HB30" i="33" s="1"/>
  <c r="HK24" i="33"/>
  <c r="HB24" i="33" s="1"/>
  <c r="HK23" i="33"/>
  <c r="HB23" i="33" s="1"/>
  <c r="HK25" i="33"/>
  <c r="HB25" i="33" s="1"/>
  <c r="HK22" i="33"/>
  <c r="HB22" i="33" s="1"/>
  <c r="HK26" i="33"/>
  <c r="HB26" i="33" s="1"/>
  <c r="HL20" i="33"/>
  <c r="HC20" i="33"/>
  <c r="HK27" i="33"/>
  <c r="HB27" i="33" s="1"/>
  <c r="S28" i="33"/>
  <c r="GS31" i="33"/>
  <c r="S22" i="33"/>
  <c r="GS25" i="33"/>
  <c r="S25" i="33"/>
  <c r="GS28" i="33"/>
  <c r="AV37" i="31"/>
  <c r="AU38" i="31"/>
  <c r="HA22" i="31"/>
  <c r="GR22" i="31" s="1"/>
  <c r="HB20" i="31"/>
  <c r="GS20" i="31"/>
  <c r="R19" i="31"/>
  <c r="GI22" i="31"/>
  <c r="GS22" i="29"/>
  <c r="S19" i="29"/>
  <c r="R20" i="29"/>
  <c r="GI23" i="29"/>
  <c r="R24" i="29"/>
  <c r="GI27" i="29"/>
  <c r="R28" i="29"/>
  <c r="GI31" i="29"/>
  <c r="R21" i="29"/>
  <c r="GI24" i="29"/>
  <c r="R25" i="29"/>
  <c r="GI28" i="29"/>
  <c r="R29" i="29"/>
  <c r="GI32" i="29"/>
  <c r="AV36" i="29"/>
  <c r="AU37" i="29"/>
  <c r="R22" i="29"/>
  <c r="GI25" i="29"/>
  <c r="R26" i="29"/>
  <c r="GI29" i="29"/>
  <c r="R30" i="29"/>
  <c r="GI33" i="29"/>
  <c r="HA33" i="29"/>
  <c r="GR33" i="29" s="1"/>
  <c r="HA32" i="29"/>
  <c r="GR32" i="29" s="1"/>
  <c r="HA31" i="29"/>
  <c r="GR31" i="29" s="1"/>
  <c r="HA28" i="29"/>
  <c r="GR28" i="29" s="1"/>
  <c r="HA26" i="29"/>
  <c r="GR26" i="29" s="1"/>
  <c r="HB20" i="29"/>
  <c r="HK22" i="29" s="1"/>
  <c r="HB22" i="29" s="1"/>
  <c r="HA29" i="29"/>
  <c r="GR29" i="29" s="1"/>
  <c r="HA27" i="29"/>
  <c r="GR27" i="29" s="1"/>
  <c r="HA25" i="29"/>
  <c r="GR25" i="29" s="1"/>
  <c r="HA24" i="29"/>
  <c r="GR24" i="29" s="1"/>
  <c r="GS20" i="29"/>
  <c r="HA30" i="29"/>
  <c r="GR30" i="29" s="1"/>
  <c r="HA23" i="29"/>
  <c r="GR23" i="29" s="1"/>
  <c r="R23" i="29"/>
  <c r="GI26" i="29"/>
  <c r="R27" i="29"/>
  <c r="GI30" i="29"/>
  <c r="GI22" i="28"/>
  <c r="R19" i="28"/>
  <c r="Q23" i="28"/>
  <c r="FY26" i="28"/>
  <c r="Q25" i="28"/>
  <c r="G59" i="28" s="1"/>
  <c r="FY28" i="28"/>
  <c r="GQ33" i="28"/>
  <c r="GH33" i="28" s="1"/>
  <c r="GQ32" i="28"/>
  <c r="GH32" i="28" s="1"/>
  <c r="GQ31" i="28"/>
  <c r="GH31" i="28" s="1"/>
  <c r="GQ26" i="28"/>
  <c r="GH26" i="28" s="1"/>
  <c r="GQ25" i="28"/>
  <c r="GH25" i="28" s="1"/>
  <c r="GQ29" i="28"/>
  <c r="GH29" i="28" s="1"/>
  <c r="GQ27" i="28"/>
  <c r="GH27" i="28" s="1"/>
  <c r="GR20" i="28"/>
  <c r="HA22" i="28" s="1"/>
  <c r="GR22" i="28" s="1"/>
  <c r="GI20" i="28"/>
  <c r="GQ28" i="28"/>
  <c r="GH28" i="28" s="1"/>
  <c r="GQ30" i="28"/>
  <c r="GH30" i="28" s="1"/>
  <c r="GQ24" i="28"/>
  <c r="GH24" i="28" s="1"/>
  <c r="GQ23" i="28"/>
  <c r="GH23" i="28" s="1"/>
  <c r="R20" i="28" s="1"/>
  <c r="Q27" i="28"/>
  <c r="FY30" i="28"/>
  <c r="Q21" i="28"/>
  <c r="FY24" i="28"/>
  <c r="Q26" i="28"/>
  <c r="FY29" i="28"/>
  <c r="FY23" i="28"/>
  <c r="AU37" i="28"/>
  <c r="AV36" i="28"/>
  <c r="Q29" i="28"/>
  <c r="FY32" i="28"/>
  <c r="Q24" i="28"/>
  <c r="G57" i="28" s="1"/>
  <c r="F57" i="28" s="1"/>
  <c r="FY27" i="28"/>
  <c r="Q22" i="28"/>
  <c r="FY25" i="28"/>
  <c r="Q30" i="28"/>
  <c r="FY33" i="28"/>
  <c r="Q28" i="28"/>
  <c r="FY31" i="28"/>
  <c r="K36" i="34" l="1"/>
  <c r="DQ39" i="34"/>
  <c r="M36" i="34"/>
  <c r="EK39" i="34"/>
  <c r="CW39" i="34"/>
  <c r="I36" i="34"/>
  <c r="AY39" i="34"/>
  <c r="D36" i="34"/>
  <c r="L36" i="34"/>
  <c r="EA39" i="34"/>
  <c r="CM39" i="34"/>
  <c r="H36" i="34"/>
  <c r="BI39" i="34"/>
  <c r="E36" i="34"/>
  <c r="FE39" i="34"/>
  <c r="O36" i="34"/>
  <c r="BS39" i="34"/>
  <c r="F36" i="34"/>
  <c r="BH40" i="34"/>
  <c r="CB40" i="34"/>
  <c r="BR40" i="34"/>
  <c r="CL40" i="34"/>
  <c r="AX40" i="34"/>
  <c r="CV40" i="34"/>
  <c r="DF40" i="34"/>
  <c r="DP40" i="34"/>
  <c r="DZ40" i="34"/>
  <c r="EJ40" i="34"/>
  <c r="ET40" i="34"/>
  <c r="FD40" i="34"/>
  <c r="N36" i="34"/>
  <c r="EU39" i="34"/>
  <c r="DG39" i="34"/>
  <c r="J36" i="34"/>
  <c r="G36" i="34"/>
  <c r="CC39" i="34"/>
  <c r="G58" i="28"/>
  <c r="F58" i="28" s="1"/>
  <c r="F59" i="28"/>
  <c r="D64" i="29"/>
  <c r="D68" i="29" s="1"/>
  <c r="D66" i="29"/>
  <c r="P6" i="29" s="1"/>
  <c r="AV41" i="37"/>
  <c r="HW20" i="37"/>
  <c r="IF20" i="37"/>
  <c r="IG20" i="36"/>
  <c r="AV41" i="36"/>
  <c r="IF20" i="35"/>
  <c r="HW20" i="35"/>
  <c r="AU40" i="35"/>
  <c r="AV39" i="35"/>
  <c r="V21" i="34"/>
  <c r="HW24" i="34"/>
  <c r="V26" i="34"/>
  <c r="HW29" i="34"/>
  <c r="V28" i="34"/>
  <c r="HW31" i="34"/>
  <c r="IO33" i="34"/>
  <c r="IF33" i="34" s="1"/>
  <c r="IO30" i="34"/>
  <c r="IF30" i="34" s="1"/>
  <c r="IO31" i="34"/>
  <c r="IF31" i="34" s="1"/>
  <c r="IO32" i="34"/>
  <c r="IF32" i="34" s="1"/>
  <c r="IO28" i="34"/>
  <c r="IF28" i="34" s="1"/>
  <c r="IO29" i="34"/>
  <c r="IF29" i="34" s="1"/>
  <c r="IO27" i="34"/>
  <c r="IF27" i="34" s="1"/>
  <c r="IO25" i="34"/>
  <c r="IF25" i="34" s="1"/>
  <c r="IO26" i="34"/>
  <c r="IF26" i="34" s="1"/>
  <c r="IO23" i="34"/>
  <c r="IF23" i="34" s="1"/>
  <c r="IO24" i="34"/>
  <c r="IF24" i="34" s="1"/>
  <c r="IO22" i="34"/>
  <c r="IF22" i="34" s="1"/>
  <c r="IG20" i="34"/>
  <c r="V20" i="34"/>
  <c r="HW23" i="34"/>
  <c r="V24" i="34"/>
  <c r="HW27" i="34"/>
  <c r="V27" i="34"/>
  <c r="HW30" i="34"/>
  <c r="V22" i="34"/>
  <c r="HW25" i="34"/>
  <c r="V25" i="34"/>
  <c r="HW28" i="34"/>
  <c r="V30" i="34"/>
  <c r="HW33" i="34"/>
  <c r="V19" i="34"/>
  <c r="HW22" i="34"/>
  <c r="V23" i="34"/>
  <c r="HW26" i="34"/>
  <c r="V29" i="34"/>
  <c r="HW32" i="34"/>
  <c r="AU41" i="34"/>
  <c r="IQ41" i="34" s="1"/>
  <c r="AV40" i="34"/>
  <c r="HK23" i="31"/>
  <c r="HB23" i="31" s="1"/>
  <c r="HC23" i="31" s="1"/>
  <c r="HK28" i="31"/>
  <c r="HB28" i="31" s="1"/>
  <c r="HC28" i="31" s="1"/>
  <c r="HK31" i="31"/>
  <c r="HB31" i="31" s="1"/>
  <c r="HC31" i="31" s="1"/>
  <c r="HK33" i="31"/>
  <c r="HB33" i="31" s="1"/>
  <c r="HC33" i="31" s="1"/>
  <c r="HK30" i="31"/>
  <c r="HB30" i="31" s="1"/>
  <c r="HC30" i="31" s="1"/>
  <c r="HK24" i="31"/>
  <c r="HB24" i="31" s="1"/>
  <c r="HC24" i="31" s="1"/>
  <c r="HK29" i="31"/>
  <c r="HB29" i="31" s="1"/>
  <c r="HC29" i="31" s="1"/>
  <c r="HK26" i="31"/>
  <c r="HB26" i="31" s="1"/>
  <c r="HC26" i="31" s="1"/>
  <c r="HK32" i="31"/>
  <c r="HB32" i="31" s="1"/>
  <c r="HC32" i="31" s="1"/>
  <c r="HK27" i="31"/>
  <c r="HB27" i="31" s="1"/>
  <c r="HC27" i="31" s="1"/>
  <c r="HK25" i="31"/>
  <c r="HB25" i="31" s="1"/>
  <c r="HC25" i="31" s="1"/>
  <c r="T23" i="33"/>
  <c r="HC26" i="33"/>
  <c r="T21" i="33"/>
  <c r="HC24" i="33"/>
  <c r="T24" i="33"/>
  <c r="HC27" i="33"/>
  <c r="T19" i="33"/>
  <c r="HC22" i="33"/>
  <c r="T27" i="33"/>
  <c r="HC30" i="33"/>
  <c r="T29" i="33"/>
  <c r="HC32" i="33"/>
  <c r="AV40" i="33"/>
  <c r="AU41" i="33"/>
  <c r="T28" i="33"/>
  <c r="HC31" i="33"/>
  <c r="T22" i="33"/>
  <c r="HC25" i="33"/>
  <c r="T26" i="33"/>
  <c r="HC29" i="33"/>
  <c r="HU33" i="33"/>
  <c r="HL33" i="33" s="1"/>
  <c r="HU30" i="33"/>
  <c r="HL30" i="33" s="1"/>
  <c r="HU31" i="33"/>
  <c r="HL31" i="33" s="1"/>
  <c r="HU32" i="33"/>
  <c r="HL32" i="33" s="1"/>
  <c r="HU28" i="33"/>
  <c r="HL28" i="33" s="1"/>
  <c r="HU29" i="33"/>
  <c r="HL29" i="33" s="1"/>
  <c r="HU27" i="33"/>
  <c r="HL27" i="33" s="1"/>
  <c r="HU24" i="33"/>
  <c r="HL24" i="33" s="1"/>
  <c r="HU23" i="33"/>
  <c r="HL23" i="33" s="1"/>
  <c r="HU25" i="33"/>
  <c r="HL25" i="33" s="1"/>
  <c r="HU26" i="33"/>
  <c r="HL26" i="33" s="1"/>
  <c r="HU22" i="33"/>
  <c r="HL22" i="33" s="1"/>
  <c r="HV20" i="33"/>
  <c r="HM20" i="33"/>
  <c r="T20" i="33"/>
  <c r="HC23" i="33"/>
  <c r="T30" i="33"/>
  <c r="HC33" i="33"/>
  <c r="T25" i="33"/>
  <c r="HC28" i="33"/>
  <c r="HC20" i="31"/>
  <c r="HK22" i="31"/>
  <c r="HB22" i="31" s="1"/>
  <c r="HL20" i="31"/>
  <c r="S19" i="31"/>
  <c r="GS22" i="31"/>
  <c r="AU39" i="31"/>
  <c r="AV38" i="31"/>
  <c r="HC22" i="29"/>
  <c r="T19" i="29"/>
  <c r="S21" i="29"/>
  <c r="GS24" i="29"/>
  <c r="HK33" i="29"/>
  <c r="HB33" i="29" s="1"/>
  <c r="HK32" i="29"/>
  <c r="HB32" i="29" s="1"/>
  <c r="HK31" i="29"/>
  <c r="HB31" i="29" s="1"/>
  <c r="HK30" i="29"/>
  <c r="HB30" i="29" s="1"/>
  <c r="HK29" i="29"/>
  <c r="HB29" i="29" s="1"/>
  <c r="HK28" i="29"/>
  <c r="HB28" i="29" s="1"/>
  <c r="HK27" i="29"/>
  <c r="HB27" i="29" s="1"/>
  <c r="HK26" i="29"/>
  <c r="HB26" i="29" s="1"/>
  <c r="HK25" i="29"/>
  <c r="HB25" i="29" s="1"/>
  <c r="HK24" i="29"/>
  <c r="HB24" i="29" s="1"/>
  <c r="HL20" i="29"/>
  <c r="HU22" i="29" s="1"/>
  <c r="HL22" i="29" s="1"/>
  <c r="HK23" i="29"/>
  <c r="HB23" i="29" s="1"/>
  <c r="HC20" i="29"/>
  <c r="S20" i="29"/>
  <c r="GS23" i="29"/>
  <c r="S22" i="29"/>
  <c r="GS25" i="29"/>
  <c r="S23" i="29"/>
  <c r="GS26" i="29"/>
  <c r="S30" i="29"/>
  <c r="GS33" i="29"/>
  <c r="S25" i="29"/>
  <c r="GS28" i="29"/>
  <c r="S27" i="29"/>
  <c r="GS30" i="29"/>
  <c r="S24" i="29"/>
  <c r="GS27" i="29"/>
  <c r="S26" i="29"/>
  <c r="GS29" i="29"/>
  <c r="S28" i="29"/>
  <c r="GS31" i="29"/>
  <c r="S29" i="29"/>
  <c r="GS32" i="29"/>
  <c r="AV37" i="29"/>
  <c r="AU38" i="29"/>
  <c r="GS22" i="28"/>
  <c r="S19" i="28"/>
  <c r="HA33" i="28"/>
  <c r="GR33" i="28" s="1"/>
  <c r="HA30" i="28"/>
  <c r="GR30" i="28" s="1"/>
  <c r="HA29" i="28"/>
  <c r="GR29" i="28" s="1"/>
  <c r="HA28" i="28"/>
  <c r="GR28" i="28" s="1"/>
  <c r="HA27" i="28"/>
  <c r="GR27" i="28" s="1"/>
  <c r="HA32" i="28"/>
  <c r="GR32" i="28" s="1"/>
  <c r="HA26" i="28"/>
  <c r="GR26" i="28" s="1"/>
  <c r="HA25" i="28"/>
  <c r="GR25" i="28" s="1"/>
  <c r="HA23" i="28"/>
  <c r="GR23" i="28" s="1"/>
  <c r="S20" i="28" s="1"/>
  <c r="HA31" i="28"/>
  <c r="GR31" i="28" s="1"/>
  <c r="HB20" i="28"/>
  <c r="HK22" i="28" s="1"/>
  <c r="HB22" i="28" s="1"/>
  <c r="HA24" i="28"/>
  <c r="GR24" i="28" s="1"/>
  <c r="GS20" i="28"/>
  <c r="R30" i="28"/>
  <c r="GI33" i="28"/>
  <c r="R23" i="28"/>
  <c r="GI26" i="28"/>
  <c r="AU38" i="28"/>
  <c r="AV37" i="28"/>
  <c r="R27" i="28"/>
  <c r="GI30" i="28"/>
  <c r="R24" i="28"/>
  <c r="GI27" i="28"/>
  <c r="R28" i="28"/>
  <c r="GI31" i="28"/>
  <c r="GI23" i="28"/>
  <c r="R22" i="28"/>
  <c r="GI25" i="28"/>
  <c r="R21" i="28"/>
  <c r="GI24" i="28"/>
  <c r="R25" i="28"/>
  <c r="GI28" i="28"/>
  <c r="R26" i="28"/>
  <c r="GI29" i="28"/>
  <c r="R29" i="28"/>
  <c r="GI32" i="28"/>
  <c r="AX41" i="34" l="1"/>
  <c r="FD41" i="34"/>
  <c r="ET41" i="34"/>
  <c r="EJ41" i="34"/>
  <c r="DZ41" i="34"/>
  <c r="DP41" i="34"/>
  <c r="BH41" i="34"/>
  <c r="CV41" i="34"/>
  <c r="CB41" i="34"/>
  <c r="DF41" i="34"/>
  <c r="CL41" i="34"/>
  <c r="BR41" i="34"/>
  <c r="M37" i="34"/>
  <c r="EK40" i="34"/>
  <c r="G37" i="34"/>
  <c r="CC40" i="34"/>
  <c r="D37" i="34"/>
  <c r="AY40" i="34"/>
  <c r="BI40" i="34"/>
  <c r="E37" i="34"/>
  <c r="FE40" i="34"/>
  <c r="O37" i="34"/>
  <c r="K37" i="34"/>
  <c r="DQ40" i="34"/>
  <c r="CM40" i="34"/>
  <c r="H37" i="34"/>
  <c r="CW40" i="34"/>
  <c r="I37" i="34"/>
  <c r="EA40" i="34"/>
  <c r="L37" i="34"/>
  <c r="EU40" i="34"/>
  <c r="N37" i="34"/>
  <c r="DG40" i="34"/>
  <c r="J37" i="34"/>
  <c r="F37" i="34"/>
  <c r="BS40" i="34"/>
  <c r="D64" i="28"/>
  <c r="D68" i="28" s="1"/>
  <c r="D66" i="28"/>
  <c r="P6" i="28" s="1"/>
  <c r="P5" i="29"/>
  <c r="IG20" i="37"/>
  <c r="AV40" i="35"/>
  <c r="AU41" i="35"/>
  <c r="IG20" i="35"/>
  <c r="W20" i="34"/>
  <c r="IG23" i="34"/>
  <c r="W26" i="34"/>
  <c r="IG29" i="34"/>
  <c r="W27" i="34"/>
  <c r="IG30" i="34"/>
  <c r="AV41" i="34"/>
  <c r="W23" i="34"/>
  <c r="IG26" i="34"/>
  <c r="W25" i="34"/>
  <c r="IG28" i="34"/>
  <c r="W30" i="34"/>
  <c r="IG33" i="34"/>
  <c r="W19" i="34"/>
  <c r="IG22" i="34"/>
  <c r="W22" i="34"/>
  <c r="IG25" i="34"/>
  <c r="W29" i="34"/>
  <c r="IG32" i="34"/>
  <c r="W21" i="34"/>
  <c r="IG24" i="34"/>
  <c r="W24" i="34"/>
  <c r="IG27" i="34"/>
  <c r="W28" i="34"/>
  <c r="IG31" i="34"/>
  <c r="HU24" i="31"/>
  <c r="HL24" i="31" s="1"/>
  <c r="HM24" i="31" s="1"/>
  <c r="HU29" i="31"/>
  <c r="HL29" i="31" s="1"/>
  <c r="HM29" i="31" s="1"/>
  <c r="HU30" i="31"/>
  <c r="HL30" i="31" s="1"/>
  <c r="HM30" i="31" s="1"/>
  <c r="HU27" i="31"/>
  <c r="HL27" i="31" s="1"/>
  <c r="HM27" i="31" s="1"/>
  <c r="HU33" i="31"/>
  <c r="HL33" i="31" s="1"/>
  <c r="HM33" i="31" s="1"/>
  <c r="HU32" i="31"/>
  <c r="HL32" i="31" s="1"/>
  <c r="HM32" i="31" s="1"/>
  <c r="HU26" i="31"/>
  <c r="HL26" i="31" s="1"/>
  <c r="HM26" i="31" s="1"/>
  <c r="HU31" i="31"/>
  <c r="HL31" i="31" s="1"/>
  <c r="HM31" i="31" s="1"/>
  <c r="HU23" i="31"/>
  <c r="HL23" i="31" s="1"/>
  <c r="HM23" i="31" s="1"/>
  <c r="HU28" i="31"/>
  <c r="HL28" i="31" s="1"/>
  <c r="HM28" i="31" s="1"/>
  <c r="HU25" i="31"/>
  <c r="HL25" i="31" s="1"/>
  <c r="HM25" i="31" s="1"/>
  <c r="U23" i="33"/>
  <c r="HM26" i="33"/>
  <c r="U24" i="33"/>
  <c r="HM27" i="33"/>
  <c r="U28" i="33"/>
  <c r="HM31" i="33"/>
  <c r="U22" i="33"/>
  <c r="HM25" i="33"/>
  <c r="U26" i="33"/>
  <c r="HM29" i="33"/>
  <c r="U27" i="33"/>
  <c r="HM30" i="33"/>
  <c r="AV41" i="33"/>
  <c r="IE29" i="33"/>
  <c r="HV29" i="33" s="1"/>
  <c r="IE30" i="33"/>
  <c r="HV30" i="33" s="1"/>
  <c r="IE31" i="33"/>
  <c r="HV31" i="33" s="1"/>
  <c r="IE26" i="33"/>
  <c r="HV26" i="33" s="1"/>
  <c r="IE33" i="33"/>
  <c r="HV33" i="33" s="1"/>
  <c r="IE28" i="33"/>
  <c r="HV28" i="33" s="1"/>
  <c r="IE27" i="33"/>
  <c r="HV27" i="33" s="1"/>
  <c r="IE32" i="33"/>
  <c r="HV32" i="33" s="1"/>
  <c r="IE24" i="33"/>
  <c r="HV24" i="33" s="1"/>
  <c r="IF20" i="33"/>
  <c r="IE23" i="33"/>
  <c r="HV23" i="33" s="1"/>
  <c r="HW20" i="33"/>
  <c r="IE22" i="33"/>
  <c r="HV22" i="33" s="1"/>
  <c r="IE25" i="33"/>
  <c r="HV25" i="33" s="1"/>
  <c r="U20" i="33"/>
  <c r="HM23" i="33"/>
  <c r="U25" i="33"/>
  <c r="HM28" i="33"/>
  <c r="U30" i="33"/>
  <c r="HM33" i="33"/>
  <c r="U19" i="33"/>
  <c r="HM22" i="33"/>
  <c r="U21" i="33"/>
  <c r="HM24" i="33"/>
  <c r="U29" i="33"/>
  <c r="HM32" i="33"/>
  <c r="AU40" i="31"/>
  <c r="AV39" i="31"/>
  <c r="HV20" i="31"/>
  <c r="HU22" i="31"/>
  <c r="HL22" i="31" s="1"/>
  <c r="HM20" i="31"/>
  <c r="T19" i="31"/>
  <c r="HC22" i="31"/>
  <c r="HM22" i="29"/>
  <c r="U19" i="29"/>
  <c r="T22" i="29"/>
  <c r="HC25" i="29"/>
  <c r="T26" i="29"/>
  <c r="HC29" i="29"/>
  <c r="T20" i="29"/>
  <c r="HC23" i="29"/>
  <c r="T23" i="29"/>
  <c r="HC26" i="29"/>
  <c r="T27" i="29"/>
  <c r="HC30" i="29"/>
  <c r="HU33" i="29"/>
  <c r="HL33" i="29" s="1"/>
  <c r="HU32" i="29"/>
  <c r="HL32" i="29" s="1"/>
  <c r="HU31" i="29"/>
  <c r="HL31" i="29" s="1"/>
  <c r="HU30" i="29"/>
  <c r="HL30" i="29" s="1"/>
  <c r="HU29" i="29"/>
  <c r="HL29" i="29" s="1"/>
  <c r="HU28" i="29"/>
  <c r="HL28" i="29" s="1"/>
  <c r="HU27" i="29"/>
  <c r="HL27" i="29" s="1"/>
  <c r="HU26" i="29"/>
  <c r="HL26" i="29" s="1"/>
  <c r="HU25" i="29"/>
  <c r="HL25" i="29" s="1"/>
  <c r="HU23" i="29"/>
  <c r="HL23" i="29" s="1"/>
  <c r="HV20" i="29"/>
  <c r="IE22" i="29" s="1"/>
  <c r="HV22" i="29" s="1"/>
  <c r="HM20" i="29"/>
  <c r="HU24" i="29"/>
  <c r="HL24" i="29" s="1"/>
  <c r="T24" i="29"/>
  <c r="HC27" i="29"/>
  <c r="T28" i="29"/>
  <c r="HC31" i="29"/>
  <c r="AV38" i="29"/>
  <c r="AU39" i="29"/>
  <c r="T21" i="29"/>
  <c r="HC24" i="29"/>
  <c r="T25" i="29"/>
  <c r="HC28" i="29"/>
  <c r="T29" i="29"/>
  <c r="HC32" i="29"/>
  <c r="T30" i="29"/>
  <c r="HC33" i="29"/>
  <c r="HC22" i="28"/>
  <c r="T19" i="28"/>
  <c r="S26" i="28"/>
  <c r="GS29" i="28"/>
  <c r="S28" i="28"/>
  <c r="GS31" i="28"/>
  <c r="S29" i="28"/>
  <c r="GS32" i="28"/>
  <c r="S27" i="28"/>
  <c r="GS30" i="28"/>
  <c r="HK33" i="28"/>
  <c r="HB33" i="28" s="1"/>
  <c r="HK32" i="28"/>
  <c r="HB32" i="28" s="1"/>
  <c r="HK31" i="28"/>
  <c r="HB31" i="28" s="1"/>
  <c r="HK30" i="28"/>
  <c r="HB30" i="28" s="1"/>
  <c r="HK29" i="28"/>
  <c r="HB29" i="28" s="1"/>
  <c r="HK28" i="28"/>
  <c r="HB28" i="28" s="1"/>
  <c r="HK27" i="28"/>
  <c r="HB27" i="28" s="1"/>
  <c r="HK24" i="28"/>
  <c r="HB24" i="28" s="1"/>
  <c r="HL20" i="28"/>
  <c r="HU22" i="28" s="1"/>
  <c r="HL22" i="28" s="1"/>
  <c r="HC20" i="28"/>
  <c r="HK26" i="28"/>
  <c r="HB26" i="28" s="1"/>
  <c r="HK25" i="28"/>
  <c r="HB25" i="28" s="1"/>
  <c r="HK23" i="28"/>
  <c r="HB23" i="28" s="1"/>
  <c r="T20" i="28" s="1"/>
  <c r="S23" i="28"/>
  <c r="GS26" i="28"/>
  <c r="AU39" i="28"/>
  <c r="AV38" i="28"/>
  <c r="GS23" i="28"/>
  <c r="S24" i="28"/>
  <c r="GS27" i="28"/>
  <c r="S30" i="28"/>
  <c r="GS33" i="28"/>
  <c r="S21" i="28"/>
  <c r="GS24" i="28"/>
  <c r="S22" i="28"/>
  <c r="GS25" i="28"/>
  <c r="S25" i="28"/>
  <c r="GS28" i="28"/>
  <c r="F38" i="34" l="1"/>
  <c r="BS41" i="34"/>
  <c r="I38" i="34"/>
  <c r="CW41" i="34"/>
  <c r="M38" i="34"/>
  <c r="EK41" i="34"/>
  <c r="E57" i="34"/>
  <c r="G57" i="34"/>
  <c r="H38" i="34"/>
  <c r="CM41" i="34"/>
  <c r="BI41" i="34"/>
  <c r="E38" i="34"/>
  <c r="N38" i="34"/>
  <c r="EU41" i="34"/>
  <c r="DG41" i="34"/>
  <c r="J38" i="34"/>
  <c r="K38" i="34"/>
  <c r="DQ41" i="34"/>
  <c r="FE41" i="34"/>
  <c r="O38" i="34"/>
  <c r="G59" i="34"/>
  <c r="E59" i="34"/>
  <c r="CC41" i="34"/>
  <c r="G38" i="34"/>
  <c r="L38" i="34"/>
  <c r="EA41" i="34"/>
  <c r="D38" i="34"/>
  <c r="AY41" i="34"/>
  <c r="P5" i="28"/>
  <c r="D70" i="29"/>
  <c r="P9" i="29" s="1"/>
  <c r="D69" i="29"/>
  <c r="P8" i="29" s="1"/>
  <c r="P7" i="29"/>
  <c r="AV41" i="35"/>
  <c r="IE31" i="31"/>
  <c r="HV31" i="31" s="1"/>
  <c r="HW31" i="31" s="1"/>
  <c r="IE32" i="31"/>
  <c r="HV32" i="31" s="1"/>
  <c r="HW32" i="31" s="1"/>
  <c r="IE26" i="31"/>
  <c r="HV26" i="31" s="1"/>
  <c r="HW26" i="31" s="1"/>
  <c r="IE27" i="31"/>
  <c r="HV27" i="31" s="1"/>
  <c r="HW27" i="31" s="1"/>
  <c r="IE24" i="31"/>
  <c r="HV24" i="31" s="1"/>
  <c r="HW24" i="31" s="1"/>
  <c r="IE23" i="31"/>
  <c r="HV23" i="31" s="1"/>
  <c r="HW23" i="31" s="1"/>
  <c r="IE30" i="31"/>
  <c r="HV30" i="31" s="1"/>
  <c r="HW30" i="31" s="1"/>
  <c r="IE29" i="31"/>
  <c r="HV29" i="31" s="1"/>
  <c r="HW29" i="31" s="1"/>
  <c r="IE33" i="31"/>
  <c r="HV33" i="31" s="1"/>
  <c r="HW33" i="31" s="1"/>
  <c r="IE28" i="31"/>
  <c r="HV28" i="31" s="1"/>
  <c r="HW28" i="31" s="1"/>
  <c r="IE25" i="31"/>
  <c r="HV25" i="31" s="1"/>
  <c r="HW25" i="31" s="1"/>
  <c r="V24" i="33"/>
  <c r="HW27" i="33"/>
  <c r="V28" i="33"/>
  <c r="HW31" i="33"/>
  <c r="V20" i="33"/>
  <c r="HW23" i="33"/>
  <c r="V22" i="33"/>
  <c r="HW25" i="33"/>
  <c r="IO33" i="33"/>
  <c r="IF33" i="33" s="1"/>
  <c r="IO32" i="33"/>
  <c r="IF32" i="33" s="1"/>
  <c r="IO28" i="33"/>
  <c r="IF28" i="33" s="1"/>
  <c r="IO29" i="33"/>
  <c r="IF29" i="33" s="1"/>
  <c r="IO30" i="33"/>
  <c r="IF30" i="33" s="1"/>
  <c r="IO25" i="33"/>
  <c r="IF25" i="33" s="1"/>
  <c r="IO22" i="33"/>
  <c r="IF22" i="33" s="1"/>
  <c r="IO26" i="33"/>
  <c r="IF26" i="33" s="1"/>
  <c r="IO27" i="33"/>
  <c r="IF27" i="33" s="1"/>
  <c r="IO31" i="33"/>
  <c r="IF31" i="33" s="1"/>
  <c r="IO24" i="33"/>
  <c r="IF24" i="33" s="1"/>
  <c r="IO23" i="33"/>
  <c r="IF23" i="33" s="1"/>
  <c r="IG20" i="33"/>
  <c r="V25" i="33"/>
  <c r="HW28" i="33"/>
  <c r="V27" i="33"/>
  <c r="HW30" i="33"/>
  <c r="V19" i="33"/>
  <c r="HW22" i="33"/>
  <c r="V30" i="33"/>
  <c r="HW33" i="33"/>
  <c r="V26" i="33"/>
  <c r="HW29" i="33"/>
  <c r="V21" i="33"/>
  <c r="HW24" i="33"/>
  <c r="V29" i="33"/>
  <c r="HW32" i="33"/>
  <c r="V23" i="33"/>
  <c r="HW26" i="33"/>
  <c r="U19" i="31"/>
  <c r="HM22" i="31"/>
  <c r="IE22" i="31"/>
  <c r="HV22" i="31" s="1"/>
  <c r="HW20" i="31"/>
  <c r="IF20" i="31"/>
  <c r="AV40" i="31"/>
  <c r="AU41" i="31"/>
  <c r="HW22" i="29"/>
  <c r="V19" i="29"/>
  <c r="U23" i="29"/>
  <c r="HM26" i="29"/>
  <c r="U27" i="29"/>
  <c r="HM30" i="29"/>
  <c r="IE33" i="29"/>
  <c r="HV33" i="29" s="1"/>
  <c r="IE32" i="29"/>
  <c r="HV32" i="29" s="1"/>
  <c r="IE31" i="29"/>
  <c r="HV31" i="29" s="1"/>
  <c r="IE30" i="29"/>
  <c r="HV30" i="29" s="1"/>
  <c r="IE29" i="29"/>
  <c r="HV29" i="29" s="1"/>
  <c r="IE28" i="29"/>
  <c r="HV28" i="29" s="1"/>
  <c r="IE27" i="29"/>
  <c r="HV27" i="29" s="1"/>
  <c r="IE26" i="29"/>
  <c r="HV26" i="29" s="1"/>
  <c r="IE24" i="29"/>
  <c r="HV24" i="29" s="1"/>
  <c r="IE25" i="29"/>
  <c r="HV25" i="29" s="1"/>
  <c r="IE23" i="29"/>
  <c r="HV23" i="29" s="1"/>
  <c r="IF20" i="29"/>
  <c r="IO22" i="29" s="1"/>
  <c r="IF22" i="29" s="1"/>
  <c r="HW20" i="29"/>
  <c r="U24" i="29"/>
  <c r="HM27" i="29"/>
  <c r="U28" i="29"/>
  <c r="HM31" i="29"/>
  <c r="HM28" i="29"/>
  <c r="U25" i="29"/>
  <c r="U29" i="29"/>
  <c r="HM32" i="29"/>
  <c r="AV39" i="29"/>
  <c r="AU40" i="29"/>
  <c r="U20" i="29"/>
  <c r="HM23" i="29"/>
  <c r="U21" i="29"/>
  <c r="HM24" i="29"/>
  <c r="U22" i="29"/>
  <c r="HM25" i="29"/>
  <c r="U26" i="29"/>
  <c r="HM29" i="29"/>
  <c r="U30" i="29"/>
  <c r="HM33" i="29"/>
  <c r="HM22" i="28"/>
  <c r="U19" i="28"/>
  <c r="T23" i="28"/>
  <c r="HC26" i="28"/>
  <c r="AU40" i="28"/>
  <c r="AV39" i="28"/>
  <c r="T25" i="28"/>
  <c r="HC28" i="28"/>
  <c r="T29" i="28"/>
  <c r="HC32" i="28"/>
  <c r="T28" i="28"/>
  <c r="HC31" i="28"/>
  <c r="HU32" i="28"/>
  <c r="HL32" i="28" s="1"/>
  <c r="HV20" i="28"/>
  <c r="IE22" i="28" s="1"/>
  <c r="HV22" i="28" s="1"/>
  <c r="HU29" i="28"/>
  <c r="HL29" i="28" s="1"/>
  <c r="HU27" i="28"/>
  <c r="HL27" i="28" s="1"/>
  <c r="HM20" i="28"/>
  <c r="HU33" i="28"/>
  <c r="HL33" i="28" s="1"/>
  <c r="HU30" i="28"/>
  <c r="HL30" i="28" s="1"/>
  <c r="HU28" i="28"/>
  <c r="HL28" i="28" s="1"/>
  <c r="HU26" i="28"/>
  <c r="HL26" i="28" s="1"/>
  <c r="HU25" i="28"/>
  <c r="HL25" i="28" s="1"/>
  <c r="HU24" i="28"/>
  <c r="HL24" i="28" s="1"/>
  <c r="HU23" i="28"/>
  <c r="HL23" i="28" s="1"/>
  <c r="U20" i="28" s="1"/>
  <c r="HU31" i="28"/>
  <c r="HL31" i="28" s="1"/>
  <c r="T24" i="28"/>
  <c r="HC27" i="28"/>
  <c r="HC23" i="28"/>
  <c r="T26" i="28"/>
  <c r="HC29" i="28"/>
  <c r="T22" i="28"/>
  <c r="HC25" i="28"/>
  <c r="T21" i="28"/>
  <c r="HC24" i="28"/>
  <c r="T27" i="28"/>
  <c r="HC30" i="28"/>
  <c r="T30" i="28"/>
  <c r="HC33" i="28"/>
  <c r="F57" i="34" l="1"/>
  <c r="E58" i="34"/>
  <c r="G58" i="34"/>
  <c r="F59" i="34"/>
  <c r="P7" i="28"/>
  <c r="D70" i="28"/>
  <c r="P9" i="28" s="1"/>
  <c r="D69" i="28"/>
  <c r="P8" i="28" s="1"/>
  <c r="IO26" i="31"/>
  <c r="IF26" i="31" s="1"/>
  <c r="IG26" i="31" s="1"/>
  <c r="IO27" i="31"/>
  <c r="IF27" i="31" s="1"/>
  <c r="IG27" i="31" s="1"/>
  <c r="IO32" i="31"/>
  <c r="IF32" i="31" s="1"/>
  <c r="IG32" i="31" s="1"/>
  <c r="IO29" i="31"/>
  <c r="IF29" i="31" s="1"/>
  <c r="IG29" i="31" s="1"/>
  <c r="IO30" i="31"/>
  <c r="IF30" i="31" s="1"/>
  <c r="IG30" i="31" s="1"/>
  <c r="IO25" i="31"/>
  <c r="IF25" i="31" s="1"/>
  <c r="IG25" i="31" s="1"/>
  <c r="IO24" i="31"/>
  <c r="IF24" i="31" s="1"/>
  <c r="IG24" i="31" s="1"/>
  <c r="IO28" i="31"/>
  <c r="IF28" i="31" s="1"/>
  <c r="IG28" i="31" s="1"/>
  <c r="IO33" i="31"/>
  <c r="IF33" i="31" s="1"/>
  <c r="IG33" i="31" s="1"/>
  <c r="IO31" i="31"/>
  <c r="IF31" i="31" s="1"/>
  <c r="IG31" i="31" s="1"/>
  <c r="IO23" i="31"/>
  <c r="IF23" i="31" s="1"/>
  <c r="IG23" i="31" s="1"/>
  <c r="W20" i="33"/>
  <c r="IG23" i="33"/>
  <c r="W26" i="33"/>
  <c r="IG29" i="33"/>
  <c r="W21" i="33"/>
  <c r="IG24" i="33"/>
  <c r="W19" i="33"/>
  <c r="IG22" i="33"/>
  <c r="W25" i="33"/>
  <c r="IG28" i="33"/>
  <c r="W28" i="33"/>
  <c r="IG31" i="33"/>
  <c r="W22" i="33"/>
  <c r="IG25" i="33"/>
  <c r="W29" i="33"/>
  <c r="IG32" i="33"/>
  <c r="W24" i="33"/>
  <c r="IG27" i="33"/>
  <c r="W27" i="33"/>
  <c r="IG30" i="33"/>
  <c r="W30" i="33"/>
  <c r="IG33" i="33"/>
  <c r="W23" i="33"/>
  <c r="IG26" i="33"/>
  <c r="IO22" i="31"/>
  <c r="IF22" i="31" s="1"/>
  <c r="IG20" i="31"/>
  <c r="AV41" i="31"/>
  <c r="V19" i="31"/>
  <c r="HW22" i="31"/>
  <c r="IG22" i="29"/>
  <c r="W19" i="29"/>
  <c r="V22" i="29"/>
  <c r="HW25" i="29"/>
  <c r="V21" i="29"/>
  <c r="HW24" i="29"/>
  <c r="V26" i="29"/>
  <c r="HW29" i="29"/>
  <c r="V29" i="29"/>
  <c r="HW32" i="29"/>
  <c r="AV40" i="29"/>
  <c r="AU41" i="29"/>
  <c r="IO33" i="29"/>
  <c r="IF33" i="29" s="1"/>
  <c r="IO32" i="29"/>
  <c r="IF32" i="29" s="1"/>
  <c r="IO31" i="29"/>
  <c r="IF31" i="29" s="1"/>
  <c r="IO28" i="29"/>
  <c r="IF28" i="29" s="1"/>
  <c r="IO26" i="29"/>
  <c r="IF26" i="29" s="1"/>
  <c r="IO27" i="29"/>
  <c r="IF27" i="29" s="1"/>
  <c r="IO25" i="29"/>
  <c r="IF25" i="29" s="1"/>
  <c r="IO24" i="29"/>
  <c r="IF24" i="29" s="1"/>
  <c r="IG20" i="29"/>
  <c r="IO30" i="29"/>
  <c r="IF30" i="29" s="1"/>
  <c r="IO23" i="29"/>
  <c r="IF23" i="29" s="1"/>
  <c r="IO29" i="29"/>
  <c r="IF29" i="29" s="1"/>
  <c r="V27" i="29"/>
  <c r="HW30" i="29"/>
  <c r="V30" i="29"/>
  <c r="HW33" i="29"/>
  <c r="V23" i="29"/>
  <c r="HW26" i="29"/>
  <c r="V20" i="29"/>
  <c r="HW23" i="29"/>
  <c r="V24" i="29"/>
  <c r="HW27" i="29"/>
  <c r="V25" i="29"/>
  <c r="HW28" i="29"/>
  <c r="V28" i="29"/>
  <c r="HW31" i="29"/>
  <c r="HW22" i="28"/>
  <c r="V19" i="28"/>
  <c r="U21" i="28"/>
  <c r="HM24" i="28"/>
  <c r="U27" i="28"/>
  <c r="HM30" i="28"/>
  <c r="U26" i="28"/>
  <c r="HM29" i="28"/>
  <c r="HM23" i="28"/>
  <c r="U24" i="28"/>
  <c r="HM27" i="28"/>
  <c r="U22" i="28"/>
  <c r="HM25" i="28"/>
  <c r="U30" i="28"/>
  <c r="HM33" i="28"/>
  <c r="IE33" i="28"/>
  <c r="HV33" i="28" s="1"/>
  <c r="IE32" i="28"/>
  <c r="HV32" i="28" s="1"/>
  <c r="IE31" i="28"/>
  <c r="HV31" i="28" s="1"/>
  <c r="IE26" i="28"/>
  <c r="HV26" i="28" s="1"/>
  <c r="IE25" i="28"/>
  <c r="HV25" i="28" s="1"/>
  <c r="IE30" i="28"/>
  <c r="HV30" i="28" s="1"/>
  <c r="IE28" i="28"/>
  <c r="HV28" i="28" s="1"/>
  <c r="IF20" i="28"/>
  <c r="IO22" i="28" s="1"/>
  <c r="IF22" i="28" s="1"/>
  <c r="HW20" i="28"/>
  <c r="IE29" i="28"/>
  <c r="HV29" i="28" s="1"/>
  <c r="IE27" i="28"/>
  <c r="HV27" i="28" s="1"/>
  <c r="IE24" i="28"/>
  <c r="HV24" i="28" s="1"/>
  <c r="IE23" i="28"/>
  <c r="HV23" i="28" s="1"/>
  <c r="V20" i="28" s="1"/>
  <c r="U25" i="28"/>
  <c r="HM28" i="28"/>
  <c r="U28" i="28"/>
  <c r="HM31" i="28"/>
  <c r="U23" i="28"/>
  <c r="HM26" i="28"/>
  <c r="U29" i="28"/>
  <c r="HM32" i="28"/>
  <c r="AU41" i="28"/>
  <c r="AV40" i="28"/>
  <c r="F58" i="34" l="1"/>
  <c r="D66" i="34" s="1"/>
  <c r="P6" i="34" s="1"/>
  <c r="E59" i="33"/>
  <c r="G59" i="33"/>
  <c r="E57" i="33"/>
  <c r="G57" i="33"/>
  <c r="W19" i="31"/>
  <c r="IG22" i="31"/>
  <c r="W23" i="29"/>
  <c r="IG26" i="29"/>
  <c r="W26" i="29"/>
  <c r="IG29" i="29"/>
  <c r="W21" i="29"/>
  <c r="IG24" i="29"/>
  <c r="W25" i="29"/>
  <c r="IG28" i="29"/>
  <c r="W22" i="29"/>
  <c r="IG25" i="29"/>
  <c r="W28" i="29"/>
  <c r="IG31" i="29"/>
  <c r="AV41" i="29"/>
  <c r="W20" i="29"/>
  <c r="IG23" i="29"/>
  <c r="W27" i="29"/>
  <c r="IG30" i="29"/>
  <c r="W24" i="29"/>
  <c r="IG27" i="29"/>
  <c r="W29" i="29"/>
  <c r="IG32" i="29"/>
  <c r="W30" i="29"/>
  <c r="IG33" i="29"/>
  <c r="IG22" i="28"/>
  <c r="W19" i="28"/>
  <c r="V26" i="28"/>
  <c r="HW29" i="28"/>
  <c r="V27" i="28"/>
  <c r="HW30" i="28"/>
  <c r="V29" i="28"/>
  <c r="HW32" i="28"/>
  <c r="HW23" i="28"/>
  <c r="V22" i="28"/>
  <c r="HW25" i="28"/>
  <c r="V30" i="28"/>
  <c r="HW33" i="28"/>
  <c r="V21" i="28"/>
  <c r="HW24" i="28"/>
  <c r="IO33" i="28"/>
  <c r="IF33" i="28" s="1"/>
  <c r="IO30" i="28"/>
  <c r="IF30" i="28" s="1"/>
  <c r="IO29" i="28"/>
  <c r="IF29" i="28" s="1"/>
  <c r="IO28" i="28"/>
  <c r="IF28" i="28" s="1"/>
  <c r="IO27" i="28"/>
  <c r="IF27" i="28" s="1"/>
  <c r="IO31" i="28"/>
  <c r="IF31" i="28" s="1"/>
  <c r="IO26" i="28"/>
  <c r="IF26" i="28" s="1"/>
  <c r="IO25" i="28"/>
  <c r="IF25" i="28" s="1"/>
  <c r="IO23" i="28"/>
  <c r="IF23" i="28" s="1"/>
  <c r="W20" i="28" s="1"/>
  <c r="IO32" i="28"/>
  <c r="IF32" i="28" s="1"/>
  <c r="IO24" i="28"/>
  <c r="IF24" i="28" s="1"/>
  <c r="IG20" i="28"/>
  <c r="V23" i="28"/>
  <c r="HW26" i="28"/>
  <c r="AV41" i="28"/>
  <c r="V24" i="28"/>
  <c r="HW27" i="28"/>
  <c r="V25" i="28"/>
  <c r="HW28" i="28"/>
  <c r="V28" i="28"/>
  <c r="HW31" i="28"/>
  <c r="D64" i="34" l="1"/>
  <c r="F57" i="33"/>
  <c r="F59" i="33"/>
  <c r="G58" i="33"/>
  <c r="E58" i="33"/>
  <c r="W29" i="28"/>
  <c r="IG32" i="28"/>
  <c r="W28" i="28"/>
  <c r="IG31" i="28"/>
  <c r="W27" i="28"/>
  <c r="IG30" i="28"/>
  <c r="IG23" i="28"/>
  <c r="W24" i="28"/>
  <c r="IG27" i="28"/>
  <c r="W30" i="28"/>
  <c r="IG33" i="28"/>
  <c r="W22" i="28"/>
  <c r="IG25" i="28"/>
  <c r="W25" i="28"/>
  <c r="IG28" i="28"/>
  <c r="W21" i="28"/>
  <c r="IG24" i="28"/>
  <c r="W23" i="28"/>
  <c r="IG26" i="28"/>
  <c r="W26" i="28"/>
  <c r="IG29" i="28"/>
  <c r="P5" i="34" l="1"/>
  <c r="D68" i="34"/>
  <c r="D70" i="34" s="1"/>
  <c r="P9" i="34" s="1"/>
  <c r="F58" i="33"/>
  <c r="V8" i="26"/>
  <c r="V7" i="26"/>
  <c r="V6" i="26"/>
  <c r="V5" i="26"/>
  <c r="V8" i="25"/>
  <c r="V7" i="25"/>
  <c r="V6" i="25"/>
  <c r="V5" i="25"/>
  <c r="V8" i="24"/>
  <c r="V7" i="24"/>
  <c r="V6" i="24"/>
  <c r="V5" i="24"/>
  <c r="V8" i="23"/>
  <c r="V7" i="23"/>
  <c r="V6" i="23"/>
  <c r="V5" i="23"/>
  <c r="V8" i="22"/>
  <c r="V7" i="22"/>
  <c r="V6" i="22"/>
  <c r="V5" i="22"/>
  <c r="D69" i="34" l="1"/>
  <c r="P8" i="34" s="1"/>
  <c r="P7" i="34"/>
  <c r="D64" i="33"/>
  <c r="D68" i="33" s="1"/>
  <c r="D66" i="33"/>
  <c r="P6" i="33" s="1"/>
  <c r="O5" i="2"/>
  <c r="P5" i="33" l="1"/>
  <c r="D69" i="33" l="1"/>
  <c r="P8" i="33" s="1"/>
  <c r="D70" i="33"/>
  <c r="P9" i="33" s="1"/>
  <c r="P7" i="33"/>
  <c r="C4" i="26"/>
  <c r="D4" i="26" s="1"/>
  <c r="D4" i="25"/>
  <c r="C4" i="24"/>
  <c r="D4" i="24" s="1"/>
  <c r="C4" i="23"/>
  <c r="D4" i="23" s="1"/>
  <c r="C4" i="22"/>
  <c r="D4" i="22" s="1"/>
  <c r="S49" i="25"/>
  <c r="T49" i="25" s="1"/>
  <c r="U49" i="25" s="1"/>
  <c r="V49" i="25" s="1"/>
  <c r="W49" i="25" s="1"/>
  <c r="X49" i="25" s="1"/>
  <c r="Y49" i="25" s="1"/>
  <c r="Z49" i="25" s="1"/>
  <c r="AA49" i="25" s="1"/>
  <c r="S50" i="25"/>
  <c r="T50" i="25" s="1"/>
  <c r="U50" i="25" s="1"/>
  <c r="V50" i="25" s="1"/>
  <c r="W50" i="25" s="1"/>
  <c r="X50" i="25" s="1"/>
  <c r="Y50" i="25" s="1"/>
  <c r="Z50" i="25" s="1"/>
  <c r="AA50" i="25" s="1"/>
  <c r="S51" i="25"/>
  <c r="T51" i="25" s="1"/>
  <c r="U51" i="25" s="1"/>
  <c r="V51" i="25" s="1"/>
  <c r="W51" i="25" s="1"/>
  <c r="X51" i="25" s="1"/>
  <c r="Y51" i="25" s="1"/>
  <c r="Z51" i="25" s="1"/>
  <c r="AA51" i="25" s="1"/>
  <c r="S52" i="25"/>
  <c r="T52" i="25" s="1"/>
  <c r="U52" i="25" s="1"/>
  <c r="V52" i="25" s="1"/>
  <c r="W52" i="25" s="1"/>
  <c r="X52" i="25" s="1"/>
  <c r="Y52" i="25" s="1"/>
  <c r="Z52" i="25" s="1"/>
  <c r="AA52" i="25" s="1"/>
  <c r="S53" i="25"/>
  <c r="T53" i="25" s="1"/>
  <c r="U53" i="25" s="1"/>
  <c r="V53" i="25" s="1"/>
  <c r="W53" i="25" s="1"/>
  <c r="X53" i="25" s="1"/>
  <c r="Y53" i="25" s="1"/>
  <c r="Z53" i="25" s="1"/>
  <c r="AA53" i="25" s="1"/>
  <c r="S54" i="25"/>
  <c r="T54" i="25" s="1"/>
  <c r="U54" i="25" s="1"/>
  <c r="V54" i="25" s="1"/>
  <c r="W54" i="25" s="1"/>
  <c r="X54" i="25" s="1"/>
  <c r="Y54" i="25" s="1"/>
  <c r="Z54" i="25" s="1"/>
  <c r="AA54" i="25" s="1"/>
  <c r="S55" i="25"/>
  <c r="T55" i="25" s="1"/>
  <c r="U55" i="25" s="1"/>
  <c r="V55" i="25" s="1"/>
  <c r="W55" i="25" s="1"/>
  <c r="X55" i="25" s="1"/>
  <c r="Y55" i="25" s="1"/>
  <c r="Z55" i="25" s="1"/>
  <c r="AA55" i="25" s="1"/>
  <c r="S56" i="25"/>
  <c r="T56" i="25" s="1"/>
  <c r="U56" i="25" s="1"/>
  <c r="V56" i="25" s="1"/>
  <c r="W56" i="25" s="1"/>
  <c r="X56" i="25" s="1"/>
  <c r="Y56" i="25" s="1"/>
  <c r="Z56" i="25" s="1"/>
  <c r="AA56" i="25" s="1"/>
  <c r="S57" i="25"/>
  <c r="T57" i="25" s="1"/>
  <c r="U57" i="25" s="1"/>
  <c r="V57" i="25" s="1"/>
  <c r="W57" i="25" s="1"/>
  <c r="X57" i="25" s="1"/>
  <c r="Y57" i="25" s="1"/>
  <c r="Z57" i="25" s="1"/>
  <c r="AA57" i="25" s="1"/>
  <c r="S58" i="25"/>
  <c r="T58" i="25" s="1"/>
  <c r="U58" i="25" s="1"/>
  <c r="V58" i="25" s="1"/>
  <c r="W58" i="25" s="1"/>
  <c r="X58" i="25" s="1"/>
  <c r="Y58" i="25" s="1"/>
  <c r="Z58" i="25" s="1"/>
  <c r="AA58" i="25" s="1"/>
  <c r="S59" i="25"/>
  <c r="T59" i="25" s="1"/>
  <c r="U59" i="25" s="1"/>
  <c r="V59" i="25" s="1"/>
  <c r="W59" i="25" s="1"/>
  <c r="X59" i="25" s="1"/>
  <c r="Y59" i="25" s="1"/>
  <c r="Z59" i="25" s="1"/>
  <c r="AA59" i="25" s="1"/>
  <c r="S60" i="25"/>
  <c r="T60" i="25" s="1"/>
  <c r="U60" i="25" s="1"/>
  <c r="V60" i="25" s="1"/>
  <c r="W60" i="25" s="1"/>
  <c r="X60" i="25" s="1"/>
  <c r="Y60" i="25" s="1"/>
  <c r="Z60" i="25" s="1"/>
  <c r="AA60" i="25" s="1"/>
  <c r="S61" i="25"/>
  <c r="T61" i="25" s="1"/>
  <c r="U61" i="25" s="1"/>
  <c r="V61" i="25" s="1"/>
  <c r="W61" i="25" s="1"/>
  <c r="X61" i="25" s="1"/>
  <c r="Y61" i="25" s="1"/>
  <c r="Z61" i="25" s="1"/>
  <c r="AA61" i="25" s="1"/>
  <c r="S48" i="25"/>
  <c r="T48" i="25" s="1"/>
  <c r="U48" i="25" s="1"/>
  <c r="V48" i="25" s="1"/>
  <c r="W48" i="25" s="1"/>
  <c r="X48" i="25" s="1"/>
  <c r="Y48" i="25" s="1"/>
  <c r="Z48" i="25" s="1"/>
  <c r="AA48" i="25" s="1"/>
  <c r="S50" i="26"/>
  <c r="T50" i="26" s="1"/>
  <c r="U50" i="26" s="1"/>
  <c r="V50" i="26" s="1"/>
  <c r="W50" i="26" s="1"/>
  <c r="X50" i="26" s="1"/>
  <c r="Y50" i="26" s="1"/>
  <c r="Z50" i="26" s="1"/>
  <c r="AA50" i="26" s="1"/>
  <c r="S51" i="26"/>
  <c r="T51" i="26" s="1"/>
  <c r="U51" i="26" s="1"/>
  <c r="V51" i="26" s="1"/>
  <c r="W51" i="26" s="1"/>
  <c r="X51" i="26" s="1"/>
  <c r="Y51" i="26" s="1"/>
  <c r="Z51" i="26" s="1"/>
  <c r="AA51" i="26" s="1"/>
  <c r="S52" i="26"/>
  <c r="T52" i="26" s="1"/>
  <c r="U52" i="26" s="1"/>
  <c r="V52" i="26" s="1"/>
  <c r="W52" i="26" s="1"/>
  <c r="X52" i="26" s="1"/>
  <c r="Y52" i="26" s="1"/>
  <c r="Z52" i="26" s="1"/>
  <c r="AA52" i="26" s="1"/>
  <c r="S53" i="26"/>
  <c r="T53" i="26" s="1"/>
  <c r="U53" i="26" s="1"/>
  <c r="V53" i="26" s="1"/>
  <c r="W53" i="26" s="1"/>
  <c r="X53" i="26" s="1"/>
  <c r="Y53" i="26" s="1"/>
  <c r="Z53" i="26" s="1"/>
  <c r="AA53" i="26" s="1"/>
  <c r="S54" i="26"/>
  <c r="T54" i="26" s="1"/>
  <c r="U54" i="26" s="1"/>
  <c r="V54" i="26" s="1"/>
  <c r="W54" i="26" s="1"/>
  <c r="X54" i="26" s="1"/>
  <c r="Y54" i="26" s="1"/>
  <c r="Z54" i="26" s="1"/>
  <c r="AA54" i="26" s="1"/>
  <c r="S55" i="26"/>
  <c r="T55" i="26" s="1"/>
  <c r="U55" i="26" s="1"/>
  <c r="V55" i="26" s="1"/>
  <c r="W55" i="26" s="1"/>
  <c r="X55" i="26" s="1"/>
  <c r="Y55" i="26" s="1"/>
  <c r="Z55" i="26" s="1"/>
  <c r="AA55" i="26" s="1"/>
  <c r="S56" i="26"/>
  <c r="T56" i="26" s="1"/>
  <c r="U56" i="26" s="1"/>
  <c r="V56" i="26" s="1"/>
  <c r="W56" i="26" s="1"/>
  <c r="X56" i="26" s="1"/>
  <c r="Y56" i="26" s="1"/>
  <c r="Z56" i="26" s="1"/>
  <c r="AA56" i="26" s="1"/>
  <c r="S57" i="26"/>
  <c r="T57" i="26" s="1"/>
  <c r="U57" i="26" s="1"/>
  <c r="V57" i="26" s="1"/>
  <c r="W57" i="26" s="1"/>
  <c r="X57" i="26" s="1"/>
  <c r="Y57" i="26" s="1"/>
  <c r="Z57" i="26" s="1"/>
  <c r="AA57" i="26" s="1"/>
  <c r="S58" i="26"/>
  <c r="T58" i="26" s="1"/>
  <c r="U58" i="26" s="1"/>
  <c r="V58" i="26" s="1"/>
  <c r="W58" i="26" s="1"/>
  <c r="X58" i="26" s="1"/>
  <c r="Y58" i="26" s="1"/>
  <c r="Z58" i="26" s="1"/>
  <c r="AA58" i="26" s="1"/>
  <c r="S59" i="26"/>
  <c r="T59" i="26" s="1"/>
  <c r="U59" i="26" s="1"/>
  <c r="V59" i="26" s="1"/>
  <c r="W59" i="26" s="1"/>
  <c r="X59" i="26" s="1"/>
  <c r="Y59" i="26" s="1"/>
  <c r="Z59" i="26" s="1"/>
  <c r="AA59" i="26" s="1"/>
  <c r="S60" i="26"/>
  <c r="T60" i="26" s="1"/>
  <c r="U60" i="26" s="1"/>
  <c r="V60" i="26" s="1"/>
  <c r="W60" i="26" s="1"/>
  <c r="X60" i="26" s="1"/>
  <c r="Y60" i="26" s="1"/>
  <c r="Z60" i="26" s="1"/>
  <c r="AA60" i="26" s="1"/>
  <c r="S61" i="26"/>
  <c r="T61" i="26" s="1"/>
  <c r="U61" i="26" s="1"/>
  <c r="V61" i="26" s="1"/>
  <c r="W61" i="26" s="1"/>
  <c r="X61" i="26" s="1"/>
  <c r="Y61" i="26" s="1"/>
  <c r="Z61" i="26" s="1"/>
  <c r="AA61" i="26" s="1"/>
  <c r="S49" i="26"/>
  <c r="T49" i="26" s="1"/>
  <c r="U49" i="26" s="1"/>
  <c r="V49" i="26" s="1"/>
  <c r="W49" i="26" s="1"/>
  <c r="X49" i="26" s="1"/>
  <c r="Y49" i="26" s="1"/>
  <c r="S50" i="24"/>
  <c r="T50" i="24" s="1"/>
  <c r="U50" i="24" s="1"/>
  <c r="V50" i="24" s="1"/>
  <c r="W50" i="24" s="1"/>
  <c r="X50" i="24" s="1"/>
  <c r="Y50" i="24" s="1"/>
  <c r="Z50" i="24" s="1"/>
  <c r="AA50" i="24" s="1"/>
  <c r="S51" i="24"/>
  <c r="T51" i="24" s="1"/>
  <c r="U51" i="24" s="1"/>
  <c r="V51" i="24" s="1"/>
  <c r="W51" i="24" s="1"/>
  <c r="X51" i="24" s="1"/>
  <c r="Y51" i="24" s="1"/>
  <c r="Z51" i="24" s="1"/>
  <c r="AA51" i="24" s="1"/>
  <c r="S52" i="24"/>
  <c r="T52" i="24" s="1"/>
  <c r="U52" i="24" s="1"/>
  <c r="V52" i="24" s="1"/>
  <c r="W52" i="24" s="1"/>
  <c r="X52" i="24" s="1"/>
  <c r="Y52" i="24" s="1"/>
  <c r="Z52" i="24" s="1"/>
  <c r="AA52" i="24" s="1"/>
  <c r="S53" i="24"/>
  <c r="T53" i="24" s="1"/>
  <c r="U53" i="24" s="1"/>
  <c r="V53" i="24" s="1"/>
  <c r="W53" i="24" s="1"/>
  <c r="X53" i="24" s="1"/>
  <c r="Y53" i="24" s="1"/>
  <c r="Z53" i="24" s="1"/>
  <c r="AA53" i="24" s="1"/>
  <c r="S54" i="24"/>
  <c r="T54" i="24" s="1"/>
  <c r="U54" i="24" s="1"/>
  <c r="V54" i="24" s="1"/>
  <c r="W54" i="24" s="1"/>
  <c r="X54" i="24" s="1"/>
  <c r="Y54" i="24" s="1"/>
  <c r="Z54" i="24" s="1"/>
  <c r="AA54" i="24" s="1"/>
  <c r="S55" i="24"/>
  <c r="T55" i="24" s="1"/>
  <c r="U55" i="24" s="1"/>
  <c r="V55" i="24" s="1"/>
  <c r="W55" i="24" s="1"/>
  <c r="X55" i="24" s="1"/>
  <c r="Y55" i="24" s="1"/>
  <c r="Z55" i="24" s="1"/>
  <c r="AA55" i="24" s="1"/>
  <c r="S56" i="24"/>
  <c r="T56" i="24" s="1"/>
  <c r="U56" i="24" s="1"/>
  <c r="V56" i="24" s="1"/>
  <c r="W56" i="24" s="1"/>
  <c r="X56" i="24" s="1"/>
  <c r="Y56" i="24" s="1"/>
  <c r="Z56" i="24" s="1"/>
  <c r="AA56" i="24" s="1"/>
  <c r="S57" i="24"/>
  <c r="T57" i="24" s="1"/>
  <c r="U57" i="24" s="1"/>
  <c r="V57" i="24" s="1"/>
  <c r="W57" i="24" s="1"/>
  <c r="X57" i="24" s="1"/>
  <c r="Y57" i="24" s="1"/>
  <c r="Z57" i="24" s="1"/>
  <c r="AA57" i="24" s="1"/>
  <c r="S58" i="24"/>
  <c r="T58" i="24" s="1"/>
  <c r="U58" i="24" s="1"/>
  <c r="V58" i="24" s="1"/>
  <c r="W58" i="24" s="1"/>
  <c r="X58" i="24" s="1"/>
  <c r="Y58" i="24" s="1"/>
  <c r="Z58" i="24" s="1"/>
  <c r="AA58" i="24" s="1"/>
  <c r="S59" i="24"/>
  <c r="T59" i="24" s="1"/>
  <c r="U59" i="24" s="1"/>
  <c r="V59" i="24" s="1"/>
  <c r="W59" i="24" s="1"/>
  <c r="X59" i="24" s="1"/>
  <c r="Y59" i="24" s="1"/>
  <c r="Z59" i="24" s="1"/>
  <c r="AA59" i="24" s="1"/>
  <c r="S60" i="24"/>
  <c r="T60" i="24" s="1"/>
  <c r="U60" i="24" s="1"/>
  <c r="V60" i="24" s="1"/>
  <c r="W60" i="24" s="1"/>
  <c r="X60" i="24" s="1"/>
  <c r="Y60" i="24" s="1"/>
  <c r="Z60" i="24" s="1"/>
  <c r="S61" i="24"/>
  <c r="T61" i="24" s="1"/>
  <c r="U61" i="24" s="1"/>
  <c r="V61" i="24" s="1"/>
  <c r="W61" i="24" s="1"/>
  <c r="X61" i="24" s="1"/>
  <c r="Y61" i="24" s="1"/>
  <c r="Z61" i="24" s="1"/>
  <c r="AA61" i="24" s="1"/>
  <c r="S49" i="24"/>
  <c r="T49" i="24" s="1"/>
  <c r="U49" i="24" s="1"/>
  <c r="V49" i="24" s="1"/>
  <c r="W49" i="24" s="1"/>
  <c r="X49" i="24" s="1"/>
  <c r="Y49" i="24" s="1"/>
  <c r="Z49" i="24" s="1"/>
  <c r="AA49" i="24" s="1"/>
  <c r="T49" i="23"/>
  <c r="U49" i="23" s="1"/>
  <c r="V49" i="23" s="1"/>
  <c r="W49" i="23" s="1"/>
  <c r="X49" i="23" s="1"/>
  <c r="Y49" i="23" s="1"/>
  <c r="Z49" i="23" s="1"/>
  <c r="AA49" i="23" s="1"/>
  <c r="T50" i="23"/>
  <c r="U50" i="23" s="1"/>
  <c r="V50" i="23" s="1"/>
  <c r="W50" i="23" s="1"/>
  <c r="X50" i="23" s="1"/>
  <c r="Y50" i="23" s="1"/>
  <c r="Z50" i="23" s="1"/>
  <c r="AA50" i="23" s="1"/>
  <c r="T51" i="23"/>
  <c r="U51" i="23" s="1"/>
  <c r="V51" i="23" s="1"/>
  <c r="W51" i="23" s="1"/>
  <c r="X51" i="23" s="1"/>
  <c r="Y51" i="23" s="1"/>
  <c r="Z51" i="23" s="1"/>
  <c r="AA51" i="23" s="1"/>
  <c r="T52" i="23"/>
  <c r="U52" i="23" s="1"/>
  <c r="V52" i="23" s="1"/>
  <c r="W52" i="23" s="1"/>
  <c r="X52" i="23" s="1"/>
  <c r="Y52" i="23" s="1"/>
  <c r="Z52" i="23" s="1"/>
  <c r="AA52" i="23" s="1"/>
  <c r="T53" i="23"/>
  <c r="U53" i="23" s="1"/>
  <c r="V53" i="23" s="1"/>
  <c r="W53" i="23" s="1"/>
  <c r="X53" i="23" s="1"/>
  <c r="Y53" i="23" s="1"/>
  <c r="Z53" i="23" s="1"/>
  <c r="AA53" i="23" s="1"/>
  <c r="T54" i="23"/>
  <c r="U54" i="23" s="1"/>
  <c r="V54" i="23" s="1"/>
  <c r="W54" i="23" s="1"/>
  <c r="X54" i="23" s="1"/>
  <c r="Y54" i="23" s="1"/>
  <c r="Z54" i="23" s="1"/>
  <c r="AA54" i="23" s="1"/>
  <c r="T55" i="23"/>
  <c r="U55" i="23" s="1"/>
  <c r="V55" i="23" s="1"/>
  <c r="W55" i="23" s="1"/>
  <c r="X55" i="23" s="1"/>
  <c r="Y55" i="23" s="1"/>
  <c r="Z55" i="23" s="1"/>
  <c r="AA55" i="23" s="1"/>
  <c r="T56" i="23"/>
  <c r="U56" i="23" s="1"/>
  <c r="V56" i="23" s="1"/>
  <c r="W56" i="23" s="1"/>
  <c r="X56" i="23" s="1"/>
  <c r="Y56" i="23" s="1"/>
  <c r="Z56" i="23" s="1"/>
  <c r="AA56" i="23" s="1"/>
  <c r="T57" i="23"/>
  <c r="U57" i="23" s="1"/>
  <c r="V57" i="23" s="1"/>
  <c r="W57" i="23" s="1"/>
  <c r="X57" i="23" s="1"/>
  <c r="Y57" i="23" s="1"/>
  <c r="Z57" i="23" s="1"/>
  <c r="AA57" i="23" s="1"/>
  <c r="T58" i="23"/>
  <c r="U58" i="23" s="1"/>
  <c r="V58" i="23" s="1"/>
  <c r="W58" i="23" s="1"/>
  <c r="X58" i="23" s="1"/>
  <c r="Y58" i="23" s="1"/>
  <c r="Z58" i="23" s="1"/>
  <c r="AA58" i="23" s="1"/>
  <c r="T59" i="23"/>
  <c r="U59" i="23" s="1"/>
  <c r="V59" i="23" s="1"/>
  <c r="W59" i="23" s="1"/>
  <c r="X59" i="23" s="1"/>
  <c r="Y59" i="23" s="1"/>
  <c r="Z59" i="23" s="1"/>
  <c r="AA59" i="23" s="1"/>
  <c r="T60" i="23"/>
  <c r="U60" i="23" s="1"/>
  <c r="V60" i="23" s="1"/>
  <c r="W60" i="23" s="1"/>
  <c r="X60" i="23" s="1"/>
  <c r="Y60" i="23" s="1"/>
  <c r="Z60" i="23" s="1"/>
  <c r="AA60" i="23" s="1"/>
  <c r="T61" i="23"/>
  <c r="U61" i="23" s="1"/>
  <c r="V61" i="23" s="1"/>
  <c r="W61" i="23" s="1"/>
  <c r="X61" i="23" s="1"/>
  <c r="Y61" i="23" s="1"/>
  <c r="Z61" i="23" s="1"/>
  <c r="AA61" i="23" s="1"/>
  <c r="T48" i="23"/>
  <c r="U48" i="23" s="1"/>
  <c r="V48" i="23" s="1"/>
  <c r="W48" i="23" s="1"/>
  <c r="X48" i="23" s="1"/>
  <c r="Y48" i="23" s="1"/>
  <c r="Z48" i="23" s="1"/>
  <c r="AA48" i="23" s="1"/>
  <c r="O50" i="26"/>
  <c r="O51" i="26" s="1"/>
  <c r="O52" i="26" s="1"/>
  <c r="O53" i="26" s="1"/>
  <c r="O54" i="26" s="1"/>
  <c r="O55" i="26" s="1"/>
  <c r="O56" i="26" s="1"/>
  <c r="O57" i="26" s="1"/>
  <c r="O58" i="26" s="1"/>
  <c r="O59" i="26" s="1"/>
  <c r="O60" i="26" s="1"/>
  <c r="O61" i="26" s="1"/>
  <c r="O62" i="26" s="1"/>
  <c r="O63" i="26" s="1"/>
  <c r="O64" i="26" s="1"/>
  <c r="O65" i="26" s="1"/>
  <c r="R45" i="26"/>
  <c r="S45" i="26" s="1"/>
  <c r="T45" i="26" s="1"/>
  <c r="U45" i="26" s="1"/>
  <c r="V45" i="26" s="1"/>
  <c r="W45" i="26" s="1"/>
  <c r="X45" i="26" s="1"/>
  <c r="Y45" i="26" s="1"/>
  <c r="Z45" i="26" s="1"/>
  <c r="AA45" i="26" s="1"/>
  <c r="AB45" i="26" s="1"/>
  <c r="AC45" i="26" s="1"/>
  <c r="AD45" i="26" s="1"/>
  <c r="AE45" i="26" s="1"/>
  <c r="AF45" i="26" s="1"/>
  <c r="AG45" i="26" s="1"/>
  <c r="AH45" i="26" s="1"/>
  <c r="AI45" i="26" s="1"/>
  <c r="E17" i="26"/>
  <c r="F17" i="26" s="1"/>
  <c r="G17" i="26" s="1"/>
  <c r="FA36" i="26"/>
  <c r="EY36" i="26"/>
  <c r="EW36" i="26"/>
  <c r="EQ36" i="26"/>
  <c r="EE36" i="26"/>
  <c r="EF36" i="26" s="1"/>
  <c r="EG36" i="26" s="1"/>
  <c r="EC36" i="26"/>
  <c r="DU36" i="26"/>
  <c r="DV36" i="26" s="1"/>
  <c r="DW36" i="26" s="1"/>
  <c r="DS36" i="26"/>
  <c r="DM36" i="26"/>
  <c r="DK36" i="26"/>
  <c r="DI36" i="26"/>
  <c r="DC36" i="26"/>
  <c r="DA36" i="26"/>
  <c r="CY36" i="26"/>
  <c r="CS36" i="26"/>
  <c r="CQ36" i="26"/>
  <c r="CO36" i="26"/>
  <c r="CI36" i="26"/>
  <c r="CG36" i="26"/>
  <c r="CE36" i="26"/>
  <c r="BY36" i="26"/>
  <c r="BW36" i="26"/>
  <c r="BU36" i="26"/>
  <c r="BO36" i="26"/>
  <c r="BM36" i="26"/>
  <c r="BK36" i="26"/>
  <c r="BE36" i="26"/>
  <c r="BC36" i="26"/>
  <c r="BA36" i="26"/>
  <c r="FA35" i="26"/>
  <c r="EY35" i="26"/>
  <c r="EW35" i="26"/>
  <c r="EQ35" i="26"/>
  <c r="EE35" i="26"/>
  <c r="EF35" i="26" s="1"/>
  <c r="EG35" i="26" s="1"/>
  <c r="EC35" i="26"/>
  <c r="DU35" i="26"/>
  <c r="DV35" i="26" s="1"/>
  <c r="DW35" i="26" s="1"/>
  <c r="DS35" i="26"/>
  <c r="DM35" i="26"/>
  <c r="DK35" i="26"/>
  <c r="DI35" i="26"/>
  <c r="DC35" i="26"/>
  <c r="DA35" i="26"/>
  <c r="CY35" i="26"/>
  <c r="CS35" i="26"/>
  <c r="CQ35" i="26"/>
  <c r="CO35" i="26"/>
  <c r="CI35" i="26"/>
  <c r="CG35" i="26"/>
  <c r="CE35" i="26"/>
  <c r="BY35" i="26"/>
  <c r="BW35" i="26"/>
  <c r="BU35" i="26"/>
  <c r="BO35" i="26"/>
  <c r="BM35" i="26"/>
  <c r="BK35" i="26"/>
  <c r="BE35" i="26"/>
  <c r="BC35" i="26"/>
  <c r="BA35" i="26"/>
  <c r="FA34" i="26"/>
  <c r="EY34" i="26"/>
  <c r="EW34" i="26"/>
  <c r="EQ34" i="26"/>
  <c r="EE34" i="26"/>
  <c r="EF34" i="26" s="1"/>
  <c r="EG34" i="26" s="1"/>
  <c r="EC34" i="26"/>
  <c r="DU34" i="26"/>
  <c r="DV34" i="26" s="1"/>
  <c r="DW34" i="26" s="1"/>
  <c r="DS34" i="26"/>
  <c r="DM34" i="26"/>
  <c r="DK34" i="26"/>
  <c r="DI34" i="26"/>
  <c r="DC34" i="26"/>
  <c r="DA34" i="26"/>
  <c r="CY34" i="26"/>
  <c r="CS34" i="26"/>
  <c r="CQ34" i="26"/>
  <c r="CO34" i="26"/>
  <c r="CI34" i="26"/>
  <c r="CG34" i="26"/>
  <c r="CE34" i="26"/>
  <c r="BY34" i="26"/>
  <c r="BW34" i="26"/>
  <c r="BU34" i="26"/>
  <c r="BO34" i="26"/>
  <c r="BM34" i="26"/>
  <c r="BK34" i="26"/>
  <c r="BE34" i="26"/>
  <c r="BC34" i="26"/>
  <c r="BA34" i="26"/>
  <c r="FA33" i="26"/>
  <c r="EY33" i="26"/>
  <c r="EW33" i="26"/>
  <c r="EQ33" i="26"/>
  <c r="EE33" i="26"/>
  <c r="EF33" i="26" s="1"/>
  <c r="EG33" i="26" s="1"/>
  <c r="EC33" i="26"/>
  <c r="DU33" i="26"/>
  <c r="DV33" i="26" s="1"/>
  <c r="DW33" i="26" s="1"/>
  <c r="DS33" i="26"/>
  <c r="DM33" i="26"/>
  <c r="DK33" i="26"/>
  <c r="DI33" i="26"/>
  <c r="DC33" i="26"/>
  <c r="DA33" i="26"/>
  <c r="CY33" i="26"/>
  <c r="CS33" i="26"/>
  <c r="CQ33" i="26"/>
  <c r="CO33" i="26"/>
  <c r="CI33" i="26"/>
  <c r="CG33" i="26"/>
  <c r="CE33" i="26"/>
  <c r="BY33" i="26"/>
  <c r="BW33" i="26"/>
  <c r="BU33" i="26"/>
  <c r="BO33" i="26"/>
  <c r="BM33" i="26"/>
  <c r="BK33" i="26"/>
  <c r="BE33" i="26"/>
  <c r="BC33" i="26"/>
  <c r="BA33" i="26"/>
  <c r="FA32" i="26"/>
  <c r="EY32" i="26"/>
  <c r="EW32" i="26"/>
  <c r="EE32" i="26"/>
  <c r="EF32" i="26" s="1"/>
  <c r="EG32" i="26" s="1"/>
  <c r="EC32" i="26"/>
  <c r="DU32" i="26"/>
  <c r="DV32" i="26" s="1"/>
  <c r="DW32" i="26" s="1"/>
  <c r="DS32" i="26"/>
  <c r="DM32" i="26"/>
  <c r="DK32" i="26"/>
  <c r="DI32" i="26"/>
  <c r="DC32" i="26"/>
  <c r="DA32" i="26"/>
  <c r="CY32" i="26"/>
  <c r="CS32" i="26"/>
  <c r="CQ32" i="26"/>
  <c r="CO32" i="26"/>
  <c r="CI32" i="26"/>
  <c r="CG32" i="26"/>
  <c r="CE32" i="26"/>
  <c r="BY32" i="26"/>
  <c r="BW32" i="26"/>
  <c r="BU32" i="26"/>
  <c r="BO32" i="26"/>
  <c r="BM32" i="26"/>
  <c r="BK32" i="26"/>
  <c r="BE32" i="26"/>
  <c r="BC32" i="26"/>
  <c r="BA32" i="26"/>
  <c r="FA31" i="26"/>
  <c r="EY31" i="26"/>
  <c r="EW31" i="26"/>
  <c r="EQ31" i="26"/>
  <c r="EE31" i="26"/>
  <c r="EF31" i="26" s="1"/>
  <c r="EG31" i="26" s="1"/>
  <c r="EC31" i="26"/>
  <c r="DU31" i="26"/>
  <c r="DV31" i="26" s="1"/>
  <c r="DW31" i="26" s="1"/>
  <c r="DS31" i="26"/>
  <c r="DM31" i="26"/>
  <c r="DK31" i="26"/>
  <c r="DI31" i="26"/>
  <c r="DC31" i="26"/>
  <c r="DA31" i="26"/>
  <c r="CY31" i="26"/>
  <c r="CS31" i="26"/>
  <c r="CQ31" i="26"/>
  <c r="CO31" i="26"/>
  <c r="CI31" i="26"/>
  <c r="CG31" i="26"/>
  <c r="CE31" i="26"/>
  <c r="BY31" i="26"/>
  <c r="BW31" i="26"/>
  <c r="BU31" i="26"/>
  <c r="BO31" i="26"/>
  <c r="BM31" i="26"/>
  <c r="BK31" i="26"/>
  <c r="BE31" i="26"/>
  <c r="BC31" i="26"/>
  <c r="BA31" i="26"/>
  <c r="FA30" i="26"/>
  <c r="EY30" i="26"/>
  <c r="EW30" i="26"/>
  <c r="EQ30" i="26"/>
  <c r="EE30" i="26"/>
  <c r="EF30" i="26" s="1"/>
  <c r="EG30" i="26" s="1"/>
  <c r="EC30" i="26"/>
  <c r="DU30" i="26"/>
  <c r="DV30" i="26" s="1"/>
  <c r="DW30" i="26" s="1"/>
  <c r="DS30" i="26"/>
  <c r="DM30" i="26"/>
  <c r="DK30" i="26"/>
  <c r="DI30" i="26"/>
  <c r="DC30" i="26"/>
  <c r="DA30" i="26"/>
  <c r="CY30" i="26"/>
  <c r="CS30" i="26"/>
  <c r="CQ30" i="26"/>
  <c r="CO30" i="26"/>
  <c r="CI30" i="26"/>
  <c r="CG30" i="26"/>
  <c r="CE30" i="26"/>
  <c r="BY30" i="26"/>
  <c r="BW30" i="26"/>
  <c r="BU30" i="26"/>
  <c r="BO30" i="26"/>
  <c r="BM30" i="26"/>
  <c r="BK30" i="26"/>
  <c r="BE30" i="26"/>
  <c r="BC30" i="26"/>
  <c r="BA30" i="26"/>
  <c r="FA29" i="26"/>
  <c r="EY29" i="26"/>
  <c r="EW29" i="26"/>
  <c r="EQ29" i="26"/>
  <c r="EE29" i="26"/>
  <c r="EF29" i="26" s="1"/>
  <c r="EG29" i="26" s="1"/>
  <c r="EC29" i="26"/>
  <c r="DU29" i="26"/>
  <c r="DV29" i="26" s="1"/>
  <c r="DW29" i="26" s="1"/>
  <c r="DS29" i="26"/>
  <c r="DM29" i="26"/>
  <c r="DK29" i="26"/>
  <c r="DI29" i="26"/>
  <c r="DC29" i="26"/>
  <c r="DA29" i="26"/>
  <c r="CY29" i="26"/>
  <c r="CS29" i="26"/>
  <c r="CQ29" i="26"/>
  <c r="CO29" i="26"/>
  <c r="CI29" i="26"/>
  <c r="CG29" i="26"/>
  <c r="CE29" i="26"/>
  <c r="BY29" i="26"/>
  <c r="BW29" i="26"/>
  <c r="BU29" i="26"/>
  <c r="BO29" i="26"/>
  <c r="BM29" i="26"/>
  <c r="BK29" i="26"/>
  <c r="BE29" i="26"/>
  <c r="BC29" i="26"/>
  <c r="BA29" i="26"/>
  <c r="FA28" i="26"/>
  <c r="EY28" i="26"/>
  <c r="EW28" i="26"/>
  <c r="EQ28" i="26"/>
  <c r="EE28" i="26"/>
  <c r="EF28" i="26" s="1"/>
  <c r="EG28" i="26" s="1"/>
  <c r="EC28" i="26"/>
  <c r="DU28" i="26"/>
  <c r="DV28" i="26" s="1"/>
  <c r="DW28" i="26" s="1"/>
  <c r="DS28" i="26"/>
  <c r="DM28" i="26"/>
  <c r="DK28" i="26"/>
  <c r="DI28" i="26"/>
  <c r="DC28" i="26"/>
  <c r="DA28" i="26"/>
  <c r="CY28" i="26"/>
  <c r="CS28" i="26"/>
  <c r="CQ28" i="26"/>
  <c r="CO28" i="26"/>
  <c r="CI28" i="26"/>
  <c r="CG28" i="26"/>
  <c r="CE28" i="26"/>
  <c r="BY28" i="26"/>
  <c r="BW28" i="26"/>
  <c r="BU28" i="26"/>
  <c r="BO28" i="26"/>
  <c r="BM28" i="26"/>
  <c r="BK28" i="26"/>
  <c r="BE28" i="26"/>
  <c r="BC28" i="26"/>
  <c r="BA28" i="26"/>
  <c r="FA27" i="26"/>
  <c r="EY27" i="26"/>
  <c r="EW27" i="26"/>
  <c r="EQ27" i="26"/>
  <c r="EE27" i="26"/>
  <c r="EF27" i="26" s="1"/>
  <c r="EG27" i="26" s="1"/>
  <c r="EC27" i="26"/>
  <c r="DU27" i="26"/>
  <c r="DV27" i="26" s="1"/>
  <c r="DW27" i="26" s="1"/>
  <c r="DS27" i="26"/>
  <c r="DM27" i="26"/>
  <c r="DK27" i="26"/>
  <c r="DI27" i="26"/>
  <c r="DC27" i="26"/>
  <c r="DA27" i="26"/>
  <c r="CY27" i="26"/>
  <c r="CS27" i="26"/>
  <c r="CQ27" i="26"/>
  <c r="CO27" i="26"/>
  <c r="CI27" i="26"/>
  <c r="CG27" i="26"/>
  <c r="CE27" i="26"/>
  <c r="BY27" i="26"/>
  <c r="BW27" i="26"/>
  <c r="BU27" i="26"/>
  <c r="BO27" i="26"/>
  <c r="BM27" i="26"/>
  <c r="BK27" i="26"/>
  <c r="BE27" i="26"/>
  <c r="BC27" i="26"/>
  <c r="BA27" i="26"/>
  <c r="FA26" i="26"/>
  <c r="EY26" i="26"/>
  <c r="EW26" i="26"/>
  <c r="EQ26" i="26"/>
  <c r="EE26" i="26"/>
  <c r="EF26" i="26" s="1"/>
  <c r="EG26" i="26" s="1"/>
  <c r="EC26" i="26"/>
  <c r="DU26" i="26"/>
  <c r="DV26" i="26" s="1"/>
  <c r="DW26" i="26" s="1"/>
  <c r="DS26" i="26"/>
  <c r="DM26" i="26"/>
  <c r="DK26" i="26"/>
  <c r="DI26" i="26"/>
  <c r="DC26" i="26"/>
  <c r="DA26" i="26"/>
  <c r="CY26" i="26"/>
  <c r="CS26" i="26"/>
  <c r="CQ26" i="26"/>
  <c r="CO26" i="26"/>
  <c r="CI26" i="26"/>
  <c r="CG26" i="26"/>
  <c r="CE26" i="26"/>
  <c r="BY26" i="26"/>
  <c r="BW26" i="26"/>
  <c r="BU26" i="26"/>
  <c r="BO26" i="26"/>
  <c r="BM26" i="26"/>
  <c r="BK26" i="26"/>
  <c r="BE26" i="26"/>
  <c r="BC26" i="26"/>
  <c r="BA26" i="26"/>
  <c r="FA25" i="26"/>
  <c r="EY25" i="26"/>
  <c r="EW25" i="26"/>
  <c r="EQ25" i="26"/>
  <c r="ER25" i="26" s="1"/>
  <c r="EE25" i="26"/>
  <c r="EF25" i="26" s="1"/>
  <c r="EG25" i="26" s="1"/>
  <c r="EC25" i="26"/>
  <c r="DU25" i="26"/>
  <c r="DV25" i="26" s="1"/>
  <c r="DW25" i="26" s="1"/>
  <c r="DS25" i="26"/>
  <c r="DM25" i="26"/>
  <c r="DK25" i="26"/>
  <c r="DI25" i="26"/>
  <c r="DC25" i="26"/>
  <c r="DA25" i="26"/>
  <c r="CY25" i="26"/>
  <c r="CS25" i="26"/>
  <c r="CQ25" i="26"/>
  <c r="CO25" i="26"/>
  <c r="CI25" i="26"/>
  <c r="CG25" i="26"/>
  <c r="CE25" i="26"/>
  <c r="BY25" i="26"/>
  <c r="BW25" i="26"/>
  <c r="BU25" i="26"/>
  <c r="BO25" i="26"/>
  <c r="BM25" i="26"/>
  <c r="BK25" i="26"/>
  <c r="BE25" i="26"/>
  <c r="BC25" i="26"/>
  <c r="BA25" i="26"/>
  <c r="FA24" i="26"/>
  <c r="EY24" i="26"/>
  <c r="EW24" i="26"/>
  <c r="EQ24" i="26"/>
  <c r="EE24" i="26"/>
  <c r="EF24" i="26" s="1"/>
  <c r="EG24" i="26" s="1"/>
  <c r="EC24" i="26"/>
  <c r="DU24" i="26"/>
  <c r="DV24" i="26" s="1"/>
  <c r="DW24" i="26" s="1"/>
  <c r="DS24" i="26"/>
  <c r="DM24" i="26"/>
  <c r="DK24" i="26"/>
  <c r="DI24" i="26"/>
  <c r="DC24" i="26"/>
  <c r="DA24" i="26"/>
  <c r="CY24" i="26"/>
  <c r="CS24" i="26"/>
  <c r="CQ24" i="26"/>
  <c r="CO24" i="26"/>
  <c r="CI24" i="26"/>
  <c r="CG24" i="26"/>
  <c r="CE24" i="26"/>
  <c r="BY24" i="26"/>
  <c r="BW24" i="26"/>
  <c r="BU24" i="26"/>
  <c r="BO24" i="26"/>
  <c r="BM24" i="26"/>
  <c r="BK24" i="26"/>
  <c r="BE24" i="26"/>
  <c r="BC24" i="26"/>
  <c r="BA24" i="26"/>
  <c r="FA23" i="26"/>
  <c r="EY23" i="26"/>
  <c r="EW23" i="26"/>
  <c r="ER23" i="26"/>
  <c r="EE23" i="26"/>
  <c r="EF23" i="26" s="1"/>
  <c r="EG23" i="26" s="1"/>
  <c r="EC23" i="26"/>
  <c r="DU23" i="26"/>
  <c r="DV23" i="26" s="1"/>
  <c r="DW23" i="26" s="1"/>
  <c r="DS23" i="26"/>
  <c r="DM23" i="26"/>
  <c r="DK23" i="26"/>
  <c r="DI23" i="26"/>
  <c r="DC23" i="26"/>
  <c r="DA23" i="26"/>
  <c r="CY23" i="26"/>
  <c r="CS23" i="26"/>
  <c r="CQ23" i="26"/>
  <c r="CO23" i="26"/>
  <c r="CI23" i="26"/>
  <c r="CG23" i="26"/>
  <c r="CE23" i="26"/>
  <c r="BY23" i="26"/>
  <c r="BW23" i="26"/>
  <c r="BU23" i="26"/>
  <c r="BO23" i="26"/>
  <c r="BM23" i="26"/>
  <c r="BK23" i="26"/>
  <c r="BE23" i="26"/>
  <c r="BC23" i="26"/>
  <c r="BA23" i="26"/>
  <c r="AW23" i="26"/>
  <c r="AW24" i="26" s="1"/>
  <c r="AW25" i="26" s="1"/>
  <c r="AW26" i="26" s="1"/>
  <c r="AW27" i="26" s="1"/>
  <c r="AW28" i="26" s="1"/>
  <c r="AW29" i="26" s="1"/>
  <c r="AW30" i="26" s="1"/>
  <c r="AW31" i="26" s="1"/>
  <c r="AW32" i="26" s="1"/>
  <c r="AW33" i="26" s="1"/>
  <c r="AW34" i="26" s="1"/>
  <c r="AW35" i="26" s="1"/>
  <c r="AW36" i="26" s="1"/>
  <c r="AW37" i="26" s="1"/>
  <c r="AW38" i="26" s="1"/>
  <c r="AW39" i="26" s="1"/>
  <c r="AW40" i="26" s="1"/>
  <c r="AV23" i="26"/>
  <c r="AY21" i="26"/>
  <c r="AZ21" i="26" s="1"/>
  <c r="BA21" i="26" s="1"/>
  <c r="BB21" i="26" s="1"/>
  <c r="BC21" i="26" s="1"/>
  <c r="BD21" i="26" s="1"/>
  <c r="BE21" i="26" s="1"/>
  <c r="BF21" i="26" s="1"/>
  <c r="BG21" i="26" s="1"/>
  <c r="BH21" i="26" s="1"/>
  <c r="BI21" i="26" s="1"/>
  <c r="BJ21" i="26" s="1"/>
  <c r="BK21" i="26" s="1"/>
  <c r="BL21" i="26" s="1"/>
  <c r="BM21" i="26" s="1"/>
  <c r="BN21" i="26" s="1"/>
  <c r="BO21" i="26" s="1"/>
  <c r="BP21" i="26" s="1"/>
  <c r="BQ21" i="26" s="1"/>
  <c r="BR21" i="26" s="1"/>
  <c r="BS21" i="26" s="1"/>
  <c r="BT21" i="26" s="1"/>
  <c r="BU21" i="26" s="1"/>
  <c r="BV21" i="26" s="1"/>
  <c r="BW21" i="26" s="1"/>
  <c r="BX21" i="26" s="1"/>
  <c r="BY21" i="26" s="1"/>
  <c r="BZ21" i="26" s="1"/>
  <c r="CA21" i="26" s="1"/>
  <c r="CB21" i="26" s="1"/>
  <c r="CC21" i="26" s="1"/>
  <c r="CD21" i="26" s="1"/>
  <c r="CE21" i="26" s="1"/>
  <c r="CF21" i="26" s="1"/>
  <c r="CG21" i="26" s="1"/>
  <c r="CH21" i="26" s="1"/>
  <c r="CI21" i="26" s="1"/>
  <c r="CJ21" i="26" s="1"/>
  <c r="CK21" i="26" s="1"/>
  <c r="CL21" i="26" s="1"/>
  <c r="CM21" i="26" s="1"/>
  <c r="CN21" i="26" s="1"/>
  <c r="CO21" i="26" s="1"/>
  <c r="CP21" i="26" s="1"/>
  <c r="CQ21" i="26" s="1"/>
  <c r="CR21" i="26" s="1"/>
  <c r="CS21" i="26" s="1"/>
  <c r="CT21" i="26" s="1"/>
  <c r="CU21" i="26" s="1"/>
  <c r="CV21" i="26" s="1"/>
  <c r="CW21" i="26" s="1"/>
  <c r="CX21" i="26" s="1"/>
  <c r="CY21" i="26" s="1"/>
  <c r="CZ21" i="26" s="1"/>
  <c r="DA21" i="26" s="1"/>
  <c r="DB21" i="26" s="1"/>
  <c r="DC21" i="26" s="1"/>
  <c r="DD21" i="26" s="1"/>
  <c r="DE21" i="26" s="1"/>
  <c r="DF21" i="26" s="1"/>
  <c r="DG21" i="26" s="1"/>
  <c r="DH21" i="26" s="1"/>
  <c r="DI21" i="26" s="1"/>
  <c r="DJ21" i="26" s="1"/>
  <c r="DK21" i="26" s="1"/>
  <c r="DL21" i="26" s="1"/>
  <c r="DM21" i="26" s="1"/>
  <c r="DN21" i="26" s="1"/>
  <c r="DO21" i="26" s="1"/>
  <c r="DP21" i="26" s="1"/>
  <c r="DQ21" i="26" s="1"/>
  <c r="DR21" i="26" s="1"/>
  <c r="DS21" i="26" s="1"/>
  <c r="DT21" i="26" s="1"/>
  <c r="DU21" i="26" s="1"/>
  <c r="DV21" i="26" s="1"/>
  <c r="DW21" i="26" s="1"/>
  <c r="DX21" i="26" s="1"/>
  <c r="DY21" i="26" s="1"/>
  <c r="DZ21" i="26" s="1"/>
  <c r="EA21" i="26" s="1"/>
  <c r="EB21" i="26" s="1"/>
  <c r="EC21" i="26" s="1"/>
  <c r="ED21" i="26" s="1"/>
  <c r="EE21" i="26" s="1"/>
  <c r="EF21" i="26" s="1"/>
  <c r="EG21" i="26" s="1"/>
  <c r="EH21" i="26" s="1"/>
  <c r="EI21" i="26" s="1"/>
  <c r="EJ21" i="26" s="1"/>
  <c r="EK21" i="26" s="1"/>
  <c r="EL21" i="26" s="1"/>
  <c r="EM21" i="26" s="1"/>
  <c r="EN21" i="26" s="1"/>
  <c r="EO21" i="26" s="1"/>
  <c r="EP21" i="26" s="1"/>
  <c r="EQ21" i="26" s="1"/>
  <c r="ER21" i="26" s="1"/>
  <c r="ES21" i="26" s="1"/>
  <c r="ET21" i="26" s="1"/>
  <c r="EU21" i="26" s="1"/>
  <c r="EV21" i="26" s="1"/>
  <c r="EW21" i="26" s="1"/>
  <c r="EX21" i="26" s="1"/>
  <c r="EY21" i="26" s="1"/>
  <c r="EZ21" i="26" s="1"/>
  <c r="FA21" i="26" s="1"/>
  <c r="FB21" i="26" s="1"/>
  <c r="FC21" i="26" s="1"/>
  <c r="FD21" i="26" s="1"/>
  <c r="FE21" i="26" s="1"/>
  <c r="FF21" i="26" s="1"/>
  <c r="FG21" i="26" s="1"/>
  <c r="FH21" i="26" s="1"/>
  <c r="FI21" i="26" s="1"/>
  <c r="FJ21" i="26" s="1"/>
  <c r="FK21" i="26" s="1"/>
  <c r="FL21" i="26" s="1"/>
  <c r="FM21" i="26" s="1"/>
  <c r="FN21" i="26" s="1"/>
  <c r="FO21" i="26" s="1"/>
  <c r="FP21" i="26" s="1"/>
  <c r="FQ21" i="26" s="1"/>
  <c r="FR21" i="26" s="1"/>
  <c r="FS21" i="26" s="1"/>
  <c r="FT21" i="26" s="1"/>
  <c r="FU21" i="26" s="1"/>
  <c r="FV21" i="26" s="1"/>
  <c r="FW21" i="26" s="1"/>
  <c r="FX21" i="26" s="1"/>
  <c r="FY21" i="26" s="1"/>
  <c r="FZ21" i="26" s="1"/>
  <c r="GA21" i="26" s="1"/>
  <c r="GB21" i="26" s="1"/>
  <c r="GC21" i="26" s="1"/>
  <c r="GD21" i="26" s="1"/>
  <c r="GE21" i="26" s="1"/>
  <c r="GF21" i="26" s="1"/>
  <c r="GG21" i="26" s="1"/>
  <c r="GH21" i="26" s="1"/>
  <c r="GI21" i="26" s="1"/>
  <c r="GJ21" i="26" s="1"/>
  <c r="GK21" i="26" s="1"/>
  <c r="GL21" i="26" s="1"/>
  <c r="GM21" i="26" s="1"/>
  <c r="GN21" i="26" s="1"/>
  <c r="GO21" i="26" s="1"/>
  <c r="GP21" i="26" s="1"/>
  <c r="GQ21" i="26" s="1"/>
  <c r="GR21" i="26" s="1"/>
  <c r="GS21" i="26" s="1"/>
  <c r="GT21" i="26" s="1"/>
  <c r="GU21" i="26" s="1"/>
  <c r="GV21" i="26" s="1"/>
  <c r="GW21" i="26" s="1"/>
  <c r="GX21" i="26" s="1"/>
  <c r="GY21" i="26" s="1"/>
  <c r="GZ21" i="26" s="1"/>
  <c r="HA21" i="26" s="1"/>
  <c r="HB21" i="26" s="1"/>
  <c r="HC21" i="26" s="1"/>
  <c r="HD21" i="26" s="1"/>
  <c r="HE21" i="26" s="1"/>
  <c r="HF21" i="26" s="1"/>
  <c r="HG21" i="26" s="1"/>
  <c r="HH21" i="26" s="1"/>
  <c r="HI21" i="26" s="1"/>
  <c r="HJ21" i="26" s="1"/>
  <c r="HK21" i="26" s="1"/>
  <c r="HL21" i="26" s="1"/>
  <c r="HM21" i="26" s="1"/>
  <c r="HN21" i="26" s="1"/>
  <c r="HO21" i="26" s="1"/>
  <c r="HP21" i="26" s="1"/>
  <c r="HQ21" i="26" s="1"/>
  <c r="HR21" i="26" s="1"/>
  <c r="HS21" i="26" s="1"/>
  <c r="HT21" i="26" s="1"/>
  <c r="HU21" i="26" s="1"/>
  <c r="HV21" i="26" s="1"/>
  <c r="HW21" i="26" s="1"/>
  <c r="BH20" i="26"/>
  <c r="BR20" i="26" s="1"/>
  <c r="AY20" i="26"/>
  <c r="O11" i="26"/>
  <c r="O10" i="26"/>
  <c r="O9" i="26"/>
  <c r="O8" i="26"/>
  <c r="O7" i="26"/>
  <c r="O6" i="26"/>
  <c r="C6" i="26"/>
  <c r="O5" i="26"/>
  <c r="O4" i="26"/>
  <c r="C3" i="26"/>
  <c r="D3" i="26" s="1"/>
  <c r="O49" i="25"/>
  <c r="O50" i="25" s="1"/>
  <c r="O51" i="25" s="1"/>
  <c r="O52" i="25" s="1"/>
  <c r="O53" i="25" s="1"/>
  <c r="O54" i="25" s="1"/>
  <c r="O55" i="25" s="1"/>
  <c r="O56" i="25" s="1"/>
  <c r="O57" i="25" s="1"/>
  <c r="O58" i="25" s="1"/>
  <c r="O59" i="25" s="1"/>
  <c r="O60" i="25" s="1"/>
  <c r="O61" i="25" s="1"/>
  <c r="O62" i="25" s="1"/>
  <c r="O63" i="25" s="1"/>
  <c r="O64" i="25" s="1"/>
  <c r="O65" i="25" s="1"/>
  <c r="N19" i="25"/>
  <c r="M19" i="25"/>
  <c r="L19" i="25"/>
  <c r="K19" i="25"/>
  <c r="J19" i="25"/>
  <c r="I19" i="25"/>
  <c r="D19" i="25"/>
  <c r="R45" i="25"/>
  <c r="S45" i="25" s="1"/>
  <c r="T45" i="25" s="1"/>
  <c r="U45" i="25" s="1"/>
  <c r="V45" i="25" s="1"/>
  <c r="W45" i="25" s="1"/>
  <c r="X45" i="25" s="1"/>
  <c r="Y45" i="25" s="1"/>
  <c r="Z45" i="25" s="1"/>
  <c r="AA45" i="25" s="1"/>
  <c r="AB45" i="25" s="1"/>
  <c r="AC45" i="25" s="1"/>
  <c r="AD45" i="25" s="1"/>
  <c r="AE45" i="25" s="1"/>
  <c r="AF45" i="25" s="1"/>
  <c r="AG45" i="25" s="1"/>
  <c r="AH45" i="25" s="1"/>
  <c r="AI45" i="25" s="1"/>
  <c r="E17" i="25"/>
  <c r="E19" i="25" s="1"/>
  <c r="FA36" i="25"/>
  <c r="EY36" i="25"/>
  <c r="EW36" i="25"/>
  <c r="EQ36" i="25"/>
  <c r="EO36" i="25"/>
  <c r="EM36" i="25"/>
  <c r="EG36" i="25"/>
  <c r="EE36" i="25"/>
  <c r="EC36" i="25"/>
  <c r="DW36" i="25"/>
  <c r="DU36" i="25"/>
  <c r="DS36" i="25"/>
  <c r="DM36" i="25"/>
  <c r="DK36" i="25"/>
  <c r="DI36" i="25"/>
  <c r="DC36" i="25"/>
  <c r="DA36" i="25"/>
  <c r="CY36" i="25"/>
  <c r="CS36" i="25"/>
  <c r="CQ36" i="25"/>
  <c r="CO36" i="25"/>
  <c r="CI36" i="25"/>
  <c r="CG36" i="25"/>
  <c r="CE36" i="25"/>
  <c r="BY36" i="25"/>
  <c r="BW36" i="25"/>
  <c r="BU36" i="25"/>
  <c r="BO36" i="25"/>
  <c r="BM36" i="25"/>
  <c r="BK36" i="25"/>
  <c r="BE36" i="25"/>
  <c r="BC36" i="25"/>
  <c r="BA36" i="25"/>
  <c r="FA35" i="25"/>
  <c r="EY35" i="25"/>
  <c r="EW35" i="25"/>
  <c r="EQ35" i="25"/>
  <c r="EO35" i="25"/>
  <c r="EM35" i="25"/>
  <c r="EG35" i="25"/>
  <c r="EE35" i="25"/>
  <c r="EC35" i="25"/>
  <c r="DW35" i="25"/>
  <c r="DU35" i="25"/>
  <c r="DS35" i="25"/>
  <c r="DM35" i="25"/>
  <c r="DK35" i="25"/>
  <c r="DI35" i="25"/>
  <c r="DC35" i="25"/>
  <c r="DA35" i="25"/>
  <c r="CY35" i="25"/>
  <c r="CS35" i="25"/>
  <c r="CQ35" i="25"/>
  <c r="CO35" i="25"/>
  <c r="CI35" i="25"/>
  <c r="CG35" i="25"/>
  <c r="CE35" i="25"/>
  <c r="BY35" i="25"/>
  <c r="BW35" i="25"/>
  <c r="BU35" i="25"/>
  <c r="BO35" i="25"/>
  <c r="BM35" i="25"/>
  <c r="BK35" i="25"/>
  <c r="BE35" i="25"/>
  <c r="BC35" i="25"/>
  <c r="BA35" i="25"/>
  <c r="FA34" i="25"/>
  <c r="EY34" i="25"/>
  <c r="EW34" i="25"/>
  <c r="EQ34" i="25"/>
  <c r="EO34" i="25"/>
  <c r="EM34" i="25"/>
  <c r="EG34" i="25"/>
  <c r="EE34" i="25"/>
  <c r="EC34" i="25"/>
  <c r="DW34" i="25"/>
  <c r="DU34" i="25"/>
  <c r="DS34" i="25"/>
  <c r="DM34" i="25"/>
  <c r="DK34" i="25"/>
  <c r="DI34" i="25"/>
  <c r="DC34" i="25"/>
  <c r="DA34" i="25"/>
  <c r="CY34" i="25"/>
  <c r="CS34" i="25"/>
  <c r="CQ34" i="25"/>
  <c r="CO34" i="25"/>
  <c r="CI34" i="25"/>
  <c r="CG34" i="25"/>
  <c r="CE34" i="25"/>
  <c r="BY34" i="25"/>
  <c r="BW34" i="25"/>
  <c r="BU34" i="25"/>
  <c r="BO34" i="25"/>
  <c r="BM34" i="25"/>
  <c r="BK34" i="25"/>
  <c r="BE34" i="25"/>
  <c r="BC34" i="25"/>
  <c r="BA34" i="25"/>
  <c r="FA33" i="25"/>
  <c r="EY33" i="25"/>
  <c r="EW33" i="25"/>
  <c r="EQ33" i="25"/>
  <c r="EO33" i="25"/>
  <c r="EM33" i="25"/>
  <c r="EG33" i="25"/>
  <c r="EE33" i="25"/>
  <c r="EC33" i="25"/>
  <c r="DW33" i="25"/>
  <c r="DU33" i="25"/>
  <c r="DS33" i="25"/>
  <c r="DM33" i="25"/>
  <c r="DK33" i="25"/>
  <c r="DI33" i="25"/>
  <c r="DC33" i="25"/>
  <c r="DA33" i="25"/>
  <c r="CY33" i="25"/>
  <c r="CS33" i="25"/>
  <c r="CQ33" i="25"/>
  <c r="CO33" i="25"/>
  <c r="CI33" i="25"/>
  <c r="CG33" i="25"/>
  <c r="CE33" i="25"/>
  <c r="BY33" i="25"/>
  <c r="BW33" i="25"/>
  <c r="BU33" i="25"/>
  <c r="BO33" i="25"/>
  <c r="BM33" i="25"/>
  <c r="BK33" i="25"/>
  <c r="BE33" i="25"/>
  <c r="BC33" i="25"/>
  <c r="BA33" i="25"/>
  <c r="FA32" i="25"/>
  <c r="EY32" i="25"/>
  <c r="EW32" i="25"/>
  <c r="EQ32" i="25"/>
  <c r="EO32" i="25"/>
  <c r="EM32" i="25"/>
  <c r="EG32" i="25"/>
  <c r="EE32" i="25"/>
  <c r="EC32" i="25"/>
  <c r="DW32" i="25"/>
  <c r="DU32" i="25"/>
  <c r="DS32" i="25"/>
  <c r="DM32" i="25"/>
  <c r="DK32" i="25"/>
  <c r="DI32" i="25"/>
  <c r="DC32" i="25"/>
  <c r="DA32" i="25"/>
  <c r="CY32" i="25"/>
  <c r="CS32" i="25"/>
  <c r="CQ32" i="25"/>
  <c r="CO32" i="25"/>
  <c r="CI32" i="25"/>
  <c r="CG32" i="25"/>
  <c r="CE32" i="25"/>
  <c r="BY32" i="25"/>
  <c r="BW32" i="25"/>
  <c r="BU32" i="25"/>
  <c r="BO32" i="25"/>
  <c r="BM32" i="25"/>
  <c r="BK32" i="25"/>
  <c r="BE32" i="25"/>
  <c r="BC32" i="25"/>
  <c r="BA32" i="25"/>
  <c r="FA31" i="25"/>
  <c r="EY31" i="25"/>
  <c r="EW31" i="25"/>
  <c r="EQ31" i="25"/>
  <c r="EO31" i="25"/>
  <c r="EM31" i="25"/>
  <c r="EG31" i="25"/>
  <c r="EE31" i="25"/>
  <c r="EC31" i="25"/>
  <c r="DW31" i="25"/>
  <c r="DU31" i="25"/>
  <c r="DS31" i="25"/>
  <c r="DM31" i="25"/>
  <c r="DK31" i="25"/>
  <c r="DI31" i="25"/>
  <c r="DC31" i="25"/>
  <c r="DA31" i="25"/>
  <c r="CY31" i="25"/>
  <c r="CS31" i="25"/>
  <c r="CQ31" i="25"/>
  <c r="CO31" i="25"/>
  <c r="CI31" i="25"/>
  <c r="CG31" i="25"/>
  <c r="CE31" i="25"/>
  <c r="BY31" i="25"/>
  <c r="BW31" i="25"/>
  <c r="BU31" i="25"/>
  <c r="BO31" i="25"/>
  <c r="BM31" i="25"/>
  <c r="BK31" i="25"/>
  <c r="BE31" i="25"/>
  <c r="BC31" i="25"/>
  <c r="BA31" i="25"/>
  <c r="FA30" i="25"/>
  <c r="EY30" i="25"/>
  <c r="EW30" i="25"/>
  <c r="EQ30" i="25"/>
  <c r="EO30" i="25"/>
  <c r="EM30" i="25"/>
  <c r="EG30" i="25"/>
  <c r="EE30" i="25"/>
  <c r="EC30" i="25"/>
  <c r="DW30" i="25"/>
  <c r="DU30" i="25"/>
  <c r="DS30" i="25"/>
  <c r="DM30" i="25"/>
  <c r="DK30" i="25"/>
  <c r="DI30" i="25"/>
  <c r="DC30" i="25"/>
  <c r="DA30" i="25"/>
  <c r="CY30" i="25"/>
  <c r="CS30" i="25"/>
  <c r="CQ30" i="25"/>
  <c r="CO30" i="25"/>
  <c r="CI30" i="25"/>
  <c r="CG30" i="25"/>
  <c r="CE30" i="25"/>
  <c r="BY30" i="25"/>
  <c r="BW30" i="25"/>
  <c r="BU30" i="25"/>
  <c r="BO30" i="25"/>
  <c r="BM30" i="25"/>
  <c r="BK30" i="25"/>
  <c r="BE30" i="25"/>
  <c r="BC30" i="25"/>
  <c r="BA30" i="25"/>
  <c r="FA29" i="25"/>
  <c r="EY29" i="25"/>
  <c r="EW29" i="25"/>
  <c r="EQ29" i="25"/>
  <c r="EO29" i="25"/>
  <c r="EM29" i="25"/>
  <c r="EG29" i="25"/>
  <c r="EE29" i="25"/>
  <c r="EC29" i="25"/>
  <c r="DW29" i="25"/>
  <c r="DU29" i="25"/>
  <c r="DS29" i="25"/>
  <c r="DM29" i="25"/>
  <c r="DK29" i="25"/>
  <c r="DI29" i="25"/>
  <c r="DC29" i="25"/>
  <c r="DA29" i="25"/>
  <c r="CY29" i="25"/>
  <c r="CS29" i="25"/>
  <c r="CQ29" i="25"/>
  <c r="CO29" i="25"/>
  <c r="CI29" i="25"/>
  <c r="CG29" i="25"/>
  <c r="CE29" i="25"/>
  <c r="BY29" i="25"/>
  <c r="BW29" i="25"/>
  <c r="BU29" i="25"/>
  <c r="BO29" i="25"/>
  <c r="BM29" i="25"/>
  <c r="BK29" i="25"/>
  <c r="BE29" i="25"/>
  <c r="BC29" i="25"/>
  <c r="BA29" i="25"/>
  <c r="FA28" i="25"/>
  <c r="EY28" i="25"/>
  <c r="EW28" i="25"/>
  <c r="EQ28" i="25"/>
  <c r="EO28" i="25"/>
  <c r="EM28" i="25"/>
  <c r="EG28" i="25"/>
  <c r="EE28" i="25"/>
  <c r="EC28" i="25"/>
  <c r="DW28" i="25"/>
  <c r="DU28" i="25"/>
  <c r="DS28" i="25"/>
  <c r="DM28" i="25"/>
  <c r="DK28" i="25"/>
  <c r="DI28" i="25"/>
  <c r="DC28" i="25"/>
  <c r="DA28" i="25"/>
  <c r="CY28" i="25"/>
  <c r="CS28" i="25"/>
  <c r="CQ28" i="25"/>
  <c r="CO28" i="25"/>
  <c r="CI28" i="25"/>
  <c r="CG28" i="25"/>
  <c r="CE28" i="25"/>
  <c r="BY28" i="25"/>
  <c r="BW28" i="25"/>
  <c r="BU28" i="25"/>
  <c r="BO28" i="25"/>
  <c r="BM28" i="25"/>
  <c r="BK28" i="25"/>
  <c r="BE28" i="25"/>
  <c r="BC28" i="25"/>
  <c r="BA28" i="25"/>
  <c r="FA27" i="25"/>
  <c r="EY27" i="25"/>
  <c r="EW27" i="25"/>
  <c r="EQ27" i="25"/>
  <c r="EO27" i="25"/>
  <c r="EM27" i="25"/>
  <c r="EG27" i="25"/>
  <c r="EE27" i="25"/>
  <c r="EC27" i="25"/>
  <c r="DW27" i="25"/>
  <c r="DU27" i="25"/>
  <c r="DS27" i="25"/>
  <c r="DM27" i="25"/>
  <c r="DK27" i="25"/>
  <c r="DI27" i="25"/>
  <c r="DC27" i="25"/>
  <c r="DA27" i="25"/>
  <c r="CY27" i="25"/>
  <c r="CS27" i="25"/>
  <c r="CQ27" i="25"/>
  <c r="CO27" i="25"/>
  <c r="CI27" i="25"/>
  <c r="CG27" i="25"/>
  <c r="CE27" i="25"/>
  <c r="BY27" i="25"/>
  <c r="BW27" i="25"/>
  <c r="BU27" i="25"/>
  <c r="BO27" i="25"/>
  <c r="BM27" i="25"/>
  <c r="BK27" i="25"/>
  <c r="BE27" i="25"/>
  <c r="BC27" i="25"/>
  <c r="BA27" i="25"/>
  <c r="FA26" i="25"/>
  <c r="EY26" i="25"/>
  <c r="EW26" i="25"/>
  <c r="EQ26" i="25"/>
  <c r="EO26" i="25"/>
  <c r="EM26" i="25"/>
  <c r="EG26" i="25"/>
  <c r="EE26" i="25"/>
  <c r="EC26" i="25"/>
  <c r="DW26" i="25"/>
  <c r="DU26" i="25"/>
  <c r="DS26" i="25"/>
  <c r="DM26" i="25"/>
  <c r="DK26" i="25"/>
  <c r="DI26" i="25"/>
  <c r="DC26" i="25"/>
  <c r="DA26" i="25"/>
  <c r="CY26" i="25"/>
  <c r="CS26" i="25"/>
  <c r="CQ26" i="25"/>
  <c r="CO26" i="25"/>
  <c r="CI26" i="25"/>
  <c r="CG26" i="25"/>
  <c r="CE26" i="25"/>
  <c r="BY26" i="25"/>
  <c r="BW26" i="25"/>
  <c r="BU26" i="25"/>
  <c r="BO26" i="25"/>
  <c r="BM26" i="25"/>
  <c r="BK26" i="25"/>
  <c r="BE26" i="25"/>
  <c r="BC26" i="25"/>
  <c r="BA26" i="25"/>
  <c r="FA25" i="25"/>
  <c r="EY25" i="25"/>
  <c r="EW25" i="25"/>
  <c r="EQ25" i="25"/>
  <c r="EO25" i="25"/>
  <c r="EM25" i="25"/>
  <c r="EG25" i="25"/>
  <c r="EE25" i="25"/>
  <c r="EC25" i="25"/>
  <c r="DW25" i="25"/>
  <c r="DU25" i="25"/>
  <c r="DS25" i="25"/>
  <c r="DM25" i="25"/>
  <c r="DK25" i="25"/>
  <c r="DI25" i="25"/>
  <c r="DC25" i="25"/>
  <c r="DA25" i="25"/>
  <c r="CY25" i="25"/>
  <c r="CS25" i="25"/>
  <c r="CQ25" i="25"/>
  <c r="CO25" i="25"/>
  <c r="CI25" i="25"/>
  <c r="CG25" i="25"/>
  <c r="CE25" i="25"/>
  <c r="BY25" i="25"/>
  <c r="BW25" i="25"/>
  <c r="BU25" i="25"/>
  <c r="BO25" i="25"/>
  <c r="BM25" i="25"/>
  <c r="BK25" i="25"/>
  <c r="BE25" i="25"/>
  <c r="BC25" i="25"/>
  <c r="BA25" i="25"/>
  <c r="FA24" i="25"/>
  <c r="EY24" i="25"/>
  <c r="EW24" i="25"/>
  <c r="EQ24" i="25"/>
  <c r="EO24" i="25"/>
  <c r="EM24" i="25"/>
  <c r="EG24" i="25"/>
  <c r="EE24" i="25"/>
  <c r="EC24" i="25"/>
  <c r="DW24" i="25"/>
  <c r="DU24" i="25"/>
  <c r="DS24" i="25"/>
  <c r="DM24" i="25"/>
  <c r="DK24" i="25"/>
  <c r="DI24" i="25"/>
  <c r="DC24" i="25"/>
  <c r="DA24" i="25"/>
  <c r="CY24" i="25"/>
  <c r="CS24" i="25"/>
  <c r="CQ24" i="25"/>
  <c r="CO24" i="25"/>
  <c r="CI24" i="25"/>
  <c r="CG24" i="25"/>
  <c r="CE24" i="25"/>
  <c r="BY24" i="25"/>
  <c r="BW24" i="25"/>
  <c r="BU24" i="25"/>
  <c r="BO24" i="25"/>
  <c r="BM24" i="25"/>
  <c r="BK24" i="25"/>
  <c r="BE24" i="25"/>
  <c r="BC24" i="25"/>
  <c r="BA24" i="25"/>
  <c r="FA23" i="25"/>
  <c r="EY23" i="25"/>
  <c r="EW23" i="25"/>
  <c r="EQ23" i="25"/>
  <c r="EO23" i="25"/>
  <c r="EM23" i="25"/>
  <c r="EG23" i="25"/>
  <c r="EE23" i="25"/>
  <c r="EC23" i="25"/>
  <c r="DW23" i="25"/>
  <c r="DU23" i="25"/>
  <c r="DS23" i="25"/>
  <c r="DM23" i="25"/>
  <c r="DK23" i="25"/>
  <c r="DI23" i="25"/>
  <c r="DC23" i="25"/>
  <c r="DA23" i="25"/>
  <c r="CY23" i="25"/>
  <c r="CS23" i="25"/>
  <c r="CQ23" i="25"/>
  <c r="CO23" i="25"/>
  <c r="CI23" i="25"/>
  <c r="CG23" i="25"/>
  <c r="CE23" i="25"/>
  <c r="BY23" i="25"/>
  <c r="BW23" i="25"/>
  <c r="BU23" i="25"/>
  <c r="BO23" i="25"/>
  <c r="BM23" i="25"/>
  <c r="BK23" i="25"/>
  <c r="BE23" i="25"/>
  <c r="BC23" i="25"/>
  <c r="BA23" i="25"/>
  <c r="AW23" i="25"/>
  <c r="AW24" i="25" s="1"/>
  <c r="AW25" i="25" s="1"/>
  <c r="AW26" i="25" s="1"/>
  <c r="AW27" i="25" s="1"/>
  <c r="AW28" i="25" s="1"/>
  <c r="AW29" i="25" s="1"/>
  <c r="AW30" i="25" s="1"/>
  <c r="AW31" i="25" s="1"/>
  <c r="AW32" i="25" s="1"/>
  <c r="AW33" i="25" s="1"/>
  <c r="AW34" i="25" s="1"/>
  <c r="AW35" i="25" s="1"/>
  <c r="AW36" i="25" s="1"/>
  <c r="AW37" i="25" s="1"/>
  <c r="AW38" i="25" s="1"/>
  <c r="AW39" i="25" s="1"/>
  <c r="AW40" i="25" s="1"/>
  <c r="AV22" i="25"/>
  <c r="AY21" i="25"/>
  <c r="AZ21" i="25" s="1"/>
  <c r="BA21" i="25" s="1"/>
  <c r="BB21" i="25" s="1"/>
  <c r="BC21" i="25" s="1"/>
  <c r="BD21" i="25" s="1"/>
  <c r="BE21" i="25" s="1"/>
  <c r="BF21" i="25" s="1"/>
  <c r="BG21" i="25" s="1"/>
  <c r="BH21" i="25" s="1"/>
  <c r="BI21" i="25" s="1"/>
  <c r="BJ21" i="25" s="1"/>
  <c r="BK21" i="25" s="1"/>
  <c r="BL21" i="25" s="1"/>
  <c r="BM21" i="25" s="1"/>
  <c r="BN21" i="25" s="1"/>
  <c r="BO21" i="25" s="1"/>
  <c r="BP21" i="25" s="1"/>
  <c r="BQ21" i="25" s="1"/>
  <c r="BR21" i="25" s="1"/>
  <c r="BS21" i="25" s="1"/>
  <c r="BT21" i="25" s="1"/>
  <c r="BU21" i="25" s="1"/>
  <c r="BV21" i="25" s="1"/>
  <c r="BW21" i="25" s="1"/>
  <c r="BX21" i="25" s="1"/>
  <c r="BY21" i="25" s="1"/>
  <c r="BZ21" i="25" s="1"/>
  <c r="CA21" i="25" s="1"/>
  <c r="CB21" i="25" s="1"/>
  <c r="CC21" i="25" s="1"/>
  <c r="CD21" i="25" s="1"/>
  <c r="CE21" i="25" s="1"/>
  <c r="CF21" i="25" s="1"/>
  <c r="CG21" i="25" s="1"/>
  <c r="CH21" i="25" s="1"/>
  <c r="CI21" i="25" s="1"/>
  <c r="CJ21" i="25" s="1"/>
  <c r="CK21" i="25" s="1"/>
  <c r="CL21" i="25" s="1"/>
  <c r="CM21" i="25" s="1"/>
  <c r="CN21" i="25" s="1"/>
  <c r="CO21" i="25" s="1"/>
  <c r="CP21" i="25" s="1"/>
  <c r="CQ21" i="25" s="1"/>
  <c r="CR21" i="25" s="1"/>
  <c r="CS21" i="25" s="1"/>
  <c r="CT21" i="25" s="1"/>
  <c r="CU21" i="25" s="1"/>
  <c r="CV21" i="25" s="1"/>
  <c r="CW21" i="25" s="1"/>
  <c r="CX21" i="25" s="1"/>
  <c r="CY21" i="25" s="1"/>
  <c r="CZ21" i="25" s="1"/>
  <c r="DA21" i="25" s="1"/>
  <c r="DB21" i="25" s="1"/>
  <c r="DC21" i="25" s="1"/>
  <c r="DD21" i="25" s="1"/>
  <c r="DE21" i="25" s="1"/>
  <c r="DF21" i="25" s="1"/>
  <c r="DG21" i="25" s="1"/>
  <c r="DH21" i="25" s="1"/>
  <c r="DI21" i="25" s="1"/>
  <c r="DJ21" i="25" s="1"/>
  <c r="DK21" i="25" s="1"/>
  <c r="DL21" i="25" s="1"/>
  <c r="DM21" i="25" s="1"/>
  <c r="DN21" i="25" s="1"/>
  <c r="DO21" i="25" s="1"/>
  <c r="DP21" i="25" s="1"/>
  <c r="DQ21" i="25" s="1"/>
  <c r="DR21" i="25" s="1"/>
  <c r="DS21" i="25" s="1"/>
  <c r="DT21" i="25" s="1"/>
  <c r="DU21" i="25" s="1"/>
  <c r="DV21" i="25" s="1"/>
  <c r="DW21" i="25" s="1"/>
  <c r="DX21" i="25" s="1"/>
  <c r="DY21" i="25" s="1"/>
  <c r="DZ21" i="25" s="1"/>
  <c r="EA21" i="25" s="1"/>
  <c r="EB21" i="25" s="1"/>
  <c r="EC21" i="25" s="1"/>
  <c r="ED21" i="25" s="1"/>
  <c r="EE21" i="25" s="1"/>
  <c r="EF21" i="25" s="1"/>
  <c r="EG21" i="25" s="1"/>
  <c r="EH21" i="25" s="1"/>
  <c r="EI21" i="25" s="1"/>
  <c r="EJ21" i="25" s="1"/>
  <c r="EK21" i="25" s="1"/>
  <c r="EL21" i="25" s="1"/>
  <c r="EM21" i="25" s="1"/>
  <c r="EN21" i="25" s="1"/>
  <c r="EO21" i="25" s="1"/>
  <c r="EP21" i="25" s="1"/>
  <c r="EQ21" i="25" s="1"/>
  <c r="ER21" i="25" s="1"/>
  <c r="ES21" i="25" s="1"/>
  <c r="ET21" i="25" s="1"/>
  <c r="EU21" i="25" s="1"/>
  <c r="EV21" i="25" s="1"/>
  <c r="EW21" i="25" s="1"/>
  <c r="EX21" i="25" s="1"/>
  <c r="EY21" i="25" s="1"/>
  <c r="EZ21" i="25" s="1"/>
  <c r="FA21" i="25" s="1"/>
  <c r="FB21" i="25" s="1"/>
  <c r="FC21" i="25" s="1"/>
  <c r="FD21" i="25" s="1"/>
  <c r="FE21" i="25" s="1"/>
  <c r="FF21" i="25" s="1"/>
  <c r="FG21" i="25" s="1"/>
  <c r="FH21" i="25" s="1"/>
  <c r="FI21" i="25" s="1"/>
  <c r="FJ21" i="25" s="1"/>
  <c r="FK21" i="25" s="1"/>
  <c r="FL21" i="25" s="1"/>
  <c r="FM21" i="25" s="1"/>
  <c r="FN21" i="25" s="1"/>
  <c r="FO21" i="25" s="1"/>
  <c r="FP21" i="25" s="1"/>
  <c r="FQ21" i="25" s="1"/>
  <c r="FR21" i="25" s="1"/>
  <c r="FS21" i="25" s="1"/>
  <c r="FT21" i="25" s="1"/>
  <c r="FU21" i="25" s="1"/>
  <c r="FV21" i="25" s="1"/>
  <c r="FW21" i="25" s="1"/>
  <c r="FX21" i="25" s="1"/>
  <c r="FY21" i="25" s="1"/>
  <c r="FZ21" i="25" s="1"/>
  <c r="GA21" i="25" s="1"/>
  <c r="GB21" i="25" s="1"/>
  <c r="GC21" i="25" s="1"/>
  <c r="GD21" i="25" s="1"/>
  <c r="GE21" i="25" s="1"/>
  <c r="GF21" i="25" s="1"/>
  <c r="GG21" i="25" s="1"/>
  <c r="GH21" i="25" s="1"/>
  <c r="GI21" i="25" s="1"/>
  <c r="GJ21" i="25" s="1"/>
  <c r="GK21" i="25" s="1"/>
  <c r="GL21" i="25" s="1"/>
  <c r="GM21" i="25" s="1"/>
  <c r="GN21" i="25" s="1"/>
  <c r="GO21" i="25" s="1"/>
  <c r="GP21" i="25" s="1"/>
  <c r="GQ21" i="25" s="1"/>
  <c r="GR21" i="25" s="1"/>
  <c r="GS21" i="25" s="1"/>
  <c r="GT21" i="25" s="1"/>
  <c r="GU21" i="25" s="1"/>
  <c r="GV21" i="25" s="1"/>
  <c r="GW21" i="25" s="1"/>
  <c r="GX21" i="25" s="1"/>
  <c r="GY21" i="25" s="1"/>
  <c r="GZ21" i="25" s="1"/>
  <c r="HA21" i="25" s="1"/>
  <c r="HB21" i="25" s="1"/>
  <c r="HC21" i="25" s="1"/>
  <c r="HD21" i="25" s="1"/>
  <c r="HE21" i="25" s="1"/>
  <c r="HF21" i="25" s="1"/>
  <c r="HG21" i="25" s="1"/>
  <c r="HH21" i="25" s="1"/>
  <c r="HI21" i="25" s="1"/>
  <c r="HJ21" i="25" s="1"/>
  <c r="HK21" i="25" s="1"/>
  <c r="HL21" i="25" s="1"/>
  <c r="HM21" i="25" s="1"/>
  <c r="HN21" i="25" s="1"/>
  <c r="HO21" i="25" s="1"/>
  <c r="HP21" i="25" s="1"/>
  <c r="HQ21" i="25" s="1"/>
  <c r="HR21" i="25" s="1"/>
  <c r="HS21" i="25" s="1"/>
  <c r="HT21" i="25" s="1"/>
  <c r="HU21" i="25" s="1"/>
  <c r="HV21" i="25" s="1"/>
  <c r="HW21" i="25" s="1"/>
  <c r="BH20" i="25"/>
  <c r="AY20" i="25"/>
  <c r="O11" i="25"/>
  <c r="O10" i="25"/>
  <c r="O9" i="25"/>
  <c r="O8" i="25"/>
  <c r="O7" i="25"/>
  <c r="O6" i="25"/>
  <c r="C6" i="25"/>
  <c r="O5" i="25"/>
  <c r="O4" i="25"/>
  <c r="C3" i="25"/>
  <c r="D3" i="25" s="1"/>
  <c r="C3" i="24"/>
  <c r="D3" i="24" s="1"/>
  <c r="O50" i="24"/>
  <c r="O51" i="24" s="1"/>
  <c r="O52" i="24" s="1"/>
  <c r="O53" i="24" s="1"/>
  <c r="O54" i="24" s="1"/>
  <c r="O55" i="24" s="1"/>
  <c r="O56" i="24" s="1"/>
  <c r="O57" i="24" s="1"/>
  <c r="O58" i="24" s="1"/>
  <c r="O59" i="24" s="1"/>
  <c r="O60" i="24" s="1"/>
  <c r="O61" i="24" s="1"/>
  <c r="O62" i="24" s="1"/>
  <c r="O63" i="24" s="1"/>
  <c r="O64" i="24" s="1"/>
  <c r="O65" i="24" s="1"/>
  <c r="R45" i="24"/>
  <c r="S45" i="24" s="1"/>
  <c r="T45" i="24" s="1"/>
  <c r="U45" i="24" s="1"/>
  <c r="V45" i="24" s="1"/>
  <c r="W45" i="24" s="1"/>
  <c r="X45" i="24" s="1"/>
  <c r="Y45" i="24" s="1"/>
  <c r="Z45" i="24" s="1"/>
  <c r="AA45" i="24" s="1"/>
  <c r="AB45" i="24" s="1"/>
  <c r="AC45" i="24" s="1"/>
  <c r="AD45" i="24" s="1"/>
  <c r="AE45" i="24" s="1"/>
  <c r="AF45" i="24" s="1"/>
  <c r="AG45" i="24" s="1"/>
  <c r="AH45" i="24" s="1"/>
  <c r="AI45" i="24" s="1"/>
  <c r="E17" i="24"/>
  <c r="F17" i="24" s="1"/>
  <c r="FA36" i="24"/>
  <c r="EY36" i="24"/>
  <c r="EW36" i="24"/>
  <c r="EQ36" i="24"/>
  <c r="EO36" i="24"/>
  <c r="EM36" i="24"/>
  <c r="EG36" i="24"/>
  <c r="EE36" i="24"/>
  <c r="EC36" i="24"/>
  <c r="DW36" i="24"/>
  <c r="DU36" i="24"/>
  <c r="DS36" i="24"/>
  <c r="DM36" i="24"/>
  <c r="DK36" i="24"/>
  <c r="DI36" i="24"/>
  <c r="DC36" i="24"/>
  <c r="DA36" i="24"/>
  <c r="CY36" i="24"/>
  <c r="CS36" i="24"/>
  <c r="CQ36" i="24"/>
  <c r="CO36" i="24"/>
  <c r="CI36" i="24"/>
  <c r="CG36" i="24"/>
  <c r="CE36" i="24"/>
  <c r="BY36" i="24"/>
  <c r="BW36" i="24"/>
  <c r="BU36" i="24"/>
  <c r="BO36" i="24"/>
  <c r="BM36" i="24"/>
  <c r="BK36" i="24"/>
  <c r="BE36" i="24"/>
  <c r="BC36" i="24"/>
  <c r="BA36" i="24"/>
  <c r="FA35" i="24"/>
  <c r="EY35" i="24"/>
  <c r="EW35" i="24"/>
  <c r="EQ35" i="24"/>
  <c r="EO35" i="24"/>
  <c r="EM35" i="24"/>
  <c r="EG35" i="24"/>
  <c r="EE35" i="24"/>
  <c r="EC35" i="24"/>
  <c r="DW35" i="24"/>
  <c r="DU35" i="24"/>
  <c r="DS35" i="24"/>
  <c r="DM35" i="24"/>
  <c r="DK35" i="24"/>
  <c r="DI35" i="24"/>
  <c r="DC35" i="24"/>
  <c r="DA35" i="24"/>
  <c r="CY35" i="24"/>
  <c r="CS35" i="24"/>
  <c r="CQ35" i="24"/>
  <c r="CO35" i="24"/>
  <c r="CI35" i="24"/>
  <c r="CG35" i="24"/>
  <c r="CE35" i="24"/>
  <c r="BY35" i="24"/>
  <c r="BW35" i="24"/>
  <c r="BU35" i="24"/>
  <c r="BO35" i="24"/>
  <c r="BM35" i="24"/>
  <c r="BK35" i="24"/>
  <c r="BE35" i="24"/>
  <c r="BC35" i="24"/>
  <c r="BA35" i="24"/>
  <c r="FA34" i="24"/>
  <c r="EY34" i="24"/>
  <c r="EW34" i="24"/>
  <c r="EQ34" i="24"/>
  <c r="EO34" i="24"/>
  <c r="EM34" i="24"/>
  <c r="EG34" i="24"/>
  <c r="EE34" i="24"/>
  <c r="EC34" i="24"/>
  <c r="DW34" i="24"/>
  <c r="DU34" i="24"/>
  <c r="DS34" i="24"/>
  <c r="DM34" i="24"/>
  <c r="DK34" i="24"/>
  <c r="DI34" i="24"/>
  <c r="DC34" i="24"/>
  <c r="DA34" i="24"/>
  <c r="CY34" i="24"/>
  <c r="CS34" i="24"/>
  <c r="CQ34" i="24"/>
  <c r="CO34" i="24"/>
  <c r="CI34" i="24"/>
  <c r="CG34" i="24"/>
  <c r="CE34" i="24"/>
  <c r="BY34" i="24"/>
  <c r="BW34" i="24"/>
  <c r="BU34" i="24"/>
  <c r="BO34" i="24"/>
  <c r="BM34" i="24"/>
  <c r="BK34" i="24"/>
  <c r="BE34" i="24"/>
  <c r="BC34" i="24"/>
  <c r="BA34" i="24"/>
  <c r="FA33" i="24"/>
  <c r="EY33" i="24"/>
  <c r="EW33" i="24"/>
  <c r="EQ33" i="24"/>
  <c r="EO33" i="24"/>
  <c r="EM33" i="24"/>
  <c r="EG33" i="24"/>
  <c r="EE33" i="24"/>
  <c r="EC33" i="24"/>
  <c r="DW33" i="24"/>
  <c r="DU33" i="24"/>
  <c r="DS33" i="24"/>
  <c r="DM33" i="24"/>
  <c r="DK33" i="24"/>
  <c r="DI33" i="24"/>
  <c r="DC33" i="24"/>
  <c r="DA33" i="24"/>
  <c r="CY33" i="24"/>
  <c r="CS33" i="24"/>
  <c r="CQ33" i="24"/>
  <c r="CO33" i="24"/>
  <c r="CI33" i="24"/>
  <c r="CG33" i="24"/>
  <c r="CE33" i="24"/>
  <c r="BY33" i="24"/>
  <c r="BW33" i="24"/>
  <c r="BU33" i="24"/>
  <c r="BO33" i="24"/>
  <c r="BM33" i="24"/>
  <c r="BK33" i="24"/>
  <c r="BE33" i="24"/>
  <c r="BC33" i="24"/>
  <c r="BA33" i="24"/>
  <c r="FA32" i="24"/>
  <c r="EY32" i="24"/>
  <c r="EW32" i="24"/>
  <c r="EQ32" i="24"/>
  <c r="EO32" i="24"/>
  <c r="EM32" i="24"/>
  <c r="EG32" i="24"/>
  <c r="EE32" i="24"/>
  <c r="EC32" i="24"/>
  <c r="DW32" i="24"/>
  <c r="DU32" i="24"/>
  <c r="DS32" i="24"/>
  <c r="DM32" i="24"/>
  <c r="DK32" i="24"/>
  <c r="DI32" i="24"/>
  <c r="DC32" i="24"/>
  <c r="DA32" i="24"/>
  <c r="CY32" i="24"/>
  <c r="CS32" i="24"/>
  <c r="CQ32" i="24"/>
  <c r="CO32" i="24"/>
  <c r="CI32" i="24"/>
  <c r="CG32" i="24"/>
  <c r="CE32" i="24"/>
  <c r="BY32" i="24"/>
  <c r="BW32" i="24"/>
  <c r="BU32" i="24"/>
  <c r="BO32" i="24"/>
  <c r="BM32" i="24"/>
  <c r="BK32" i="24"/>
  <c r="BE32" i="24"/>
  <c r="BC32" i="24"/>
  <c r="BA32" i="24"/>
  <c r="FA31" i="24"/>
  <c r="EY31" i="24"/>
  <c r="EW31" i="24"/>
  <c r="EQ31" i="24"/>
  <c r="EO31" i="24"/>
  <c r="EM31" i="24"/>
  <c r="EG31" i="24"/>
  <c r="EE31" i="24"/>
  <c r="EC31" i="24"/>
  <c r="DW31" i="24"/>
  <c r="DU31" i="24"/>
  <c r="DS31" i="24"/>
  <c r="DM31" i="24"/>
  <c r="DK31" i="24"/>
  <c r="DI31" i="24"/>
  <c r="DC31" i="24"/>
  <c r="DA31" i="24"/>
  <c r="CY31" i="24"/>
  <c r="CS31" i="24"/>
  <c r="CQ31" i="24"/>
  <c r="CO31" i="24"/>
  <c r="CI31" i="24"/>
  <c r="CG31" i="24"/>
  <c r="CE31" i="24"/>
  <c r="BY31" i="24"/>
  <c r="BW31" i="24"/>
  <c r="BU31" i="24"/>
  <c r="BO31" i="24"/>
  <c r="BM31" i="24"/>
  <c r="BK31" i="24"/>
  <c r="BE31" i="24"/>
  <c r="BC31" i="24"/>
  <c r="BA31" i="24"/>
  <c r="FA30" i="24"/>
  <c r="EY30" i="24"/>
  <c r="EW30" i="24"/>
  <c r="EQ30" i="24"/>
  <c r="EO30" i="24"/>
  <c r="EM30" i="24"/>
  <c r="EG30" i="24"/>
  <c r="EE30" i="24"/>
  <c r="EC30" i="24"/>
  <c r="DW30" i="24"/>
  <c r="DU30" i="24"/>
  <c r="DS30" i="24"/>
  <c r="DM30" i="24"/>
  <c r="DK30" i="24"/>
  <c r="DI30" i="24"/>
  <c r="DC30" i="24"/>
  <c r="DA30" i="24"/>
  <c r="CY30" i="24"/>
  <c r="CS30" i="24"/>
  <c r="CQ30" i="24"/>
  <c r="CO30" i="24"/>
  <c r="CI30" i="24"/>
  <c r="CG30" i="24"/>
  <c r="CE30" i="24"/>
  <c r="BY30" i="24"/>
  <c r="BW30" i="24"/>
  <c r="BU30" i="24"/>
  <c r="BO30" i="24"/>
  <c r="BM30" i="24"/>
  <c r="BK30" i="24"/>
  <c r="BE30" i="24"/>
  <c r="BC30" i="24"/>
  <c r="BA30" i="24"/>
  <c r="FA29" i="24"/>
  <c r="EY29" i="24"/>
  <c r="EW29" i="24"/>
  <c r="EQ29" i="24"/>
  <c r="EO29" i="24"/>
  <c r="EM29" i="24"/>
  <c r="EG29" i="24"/>
  <c r="EE29" i="24"/>
  <c r="EC29" i="24"/>
  <c r="DW29" i="24"/>
  <c r="DU29" i="24"/>
  <c r="DS29" i="24"/>
  <c r="DM29" i="24"/>
  <c r="DK29" i="24"/>
  <c r="DI29" i="24"/>
  <c r="DC29" i="24"/>
  <c r="DA29" i="24"/>
  <c r="CY29" i="24"/>
  <c r="CS29" i="24"/>
  <c r="CQ29" i="24"/>
  <c r="CO29" i="24"/>
  <c r="CI29" i="24"/>
  <c r="CG29" i="24"/>
  <c r="CE29" i="24"/>
  <c r="BY29" i="24"/>
  <c r="BW29" i="24"/>
  <c r="BU29" i="24"/>
  <c r="BO29" i="24"/>
  <c r="BM29" i="24"/>
  <c r="BK29" i="24"/>
  <c r="BE29" i="24"/>
  <c r="BC29" i="24"/>
  <c r="BA29" i="24"/>
  <c r="FA28" i="24"/>
  <c r="EY28" i="24"/>
  <c r="EW28" i="24"/>
  <c r="EQ28" i="24"/>
  <c r="EO28" i="24"/>
  <c r="EM28" i="24"/>
  <c r="EG28" i="24"/>
  <c r="EE28" i="24"/>
  <c r="EC28" i="24"/>
  <c r="DW28" i="24"/>
  <c r="DU28" i="24"/>
  <c r="DS28" i="24"/>
  <c r="DM28" i="24"/>
  <c r="DK28" i="24"/>
  <c r="DI28" i="24"/>
  <c r="DC28" i="24"/>
  <c r="DA28" i="24"/>
  <c r="CY28" i="24"/>
  <c r="CS28" i="24"/>
  <c r="CQ28" i="24"/>
  <c r="CO28" i="24"/>
  <c r="CI28" i="24"/>
  <c r="CG28" i="24"/>
  <c r="CE28" i="24"/>
  <c r="BY28" i="24"/>
  <c r="BW28" i="24"/>
  <c r="BU28" i="24"/>
  <c r="BO28" i="24"/>
  <c r="BM28" i="24"/>
  <c r="BK28" i="24"/>
  <c r="BE28" i="24"/>
  <c r="BC28" i="24"/>
  <c r="BA28" i="24"/>
  <c r="FA27" i="24"/>
  <c r="EY27" i="24"/>
  <c r="EW27" i="24"/>
  <c r="EQ27" i="24"/>
  <c r="EO27" i="24"/>
  <c r="EM27" i="24"/>
  <c r="EG27" i="24"/>
  <c r="EE27" i="24"/>
  <c r="EC27" i="24"/>
  <c r="DW27" i="24"/>
  <c r="DU27" i="24"/>
  <c r="DS27" i="24"/>
  <c r="DM27" i="24"/>
  <c r="DK27" i="24"/>
  <c r="DI27" i="24"/>
  <c r="DC27" i="24"/>
  <c r="DA27" i="24"/>
  <c r="CY27" i="24"/>
  <c r="CS27" i="24"/>
  <c r="CQ27" i="24"/>
  <c r="CO27" i="24"/>
  <c r="CI27" i="24"/>
  <c r="CG27" i="24"/>
  <c r="CE27" i="24"/>
  <c r="BY27" i="24"/>
  <c r="BW27" i="24"/>
  <c r="BU27" i="24"/>
  <c r="BO27" i="24"/>
  <c r="BM27" i="24"/>
  <c r="BK27" i="24"/>
  <c r="BE27" i="24"/>
  <c r="BC27" i="24"/>
  <c r="BA27" i="24"/>
  <c r="FA26" i="24"/>
  <c r="EY26" i="24"/>
  <c r="EW26" i="24"/>
  <c r="EQ26" i="24"/>
  <c r="EO26" i="24"/>
  <c r="EM26" i="24"/>
  <c r="EG26" i="24"/>
  <c r="EE26" i="24"/>
  <c r="EC26" i="24"/>
  <c r="DW26" i="24"/>
  <c r="DU26" i="24"/>
  <c r="DS26" i="24"/>
  <c r="DM26" i="24"/>
  <c r="DK26" i="24"/>
  <c r="DI26" i="24"/>
  <c r="DC26" i="24"/>
  <c r="DA26" i="24"/>
  <c r="CY26" i="24"/>
  <c r="CS26" i="24"/>
  <c r="CQ26" i="24"/>
  <c r="CO26" i="24"/>
  <c r="CI26" i="24"/>
  <c r="CG26" i="24"/>
  <c r="CE26" i="24"/>
  <c r="BY26" i="24"/>
  <c r="BW26" i="24"/>
  <c r="BU26" i="24"/>
  <c r="BO26" i="24"/>
  <c r="BM26" i="24"/>
  <c r="BK26" i="24"/>
  <c r="BE26" i="24"/>
  <c r="BC26" i="24"/>
  <c r="BA26" i="24"/>
  <c r="FA25" i="24"/>
  <c r="EY25" i="24"/>
  <c r="EW25" i="24"/>
  <c r="EQ25" i="24"/>
  <c r="EO25" i="24"/>
  <c r="EM25" i="24"/>
  <c r="EG25" i="24"/>
  <c r="EE25" i="24"/>
  <c r="EC25" i="24"/>
  <c r="DW25" i="24"/>
  <c r="DU25" i="24"/>
  <c r="DS25" i="24"/>
  <c r="DM25" i="24"/>
  <c r="DK25" i="24"/>
  <c r="DI25" i="24"/>
  <c r="DC25" i="24"/>
  <c r="DA25" i="24"/>
  <c r="CY25" i="24"/>
  <c r="CS25" i="24"/>
  <c r="CQ25" i="24"/>
  <c r="CO25" i="24"/>
  <c r="CI25" i="24"/>
  <c r="CG25" i="24"/>
  <c r="CE25" i="24"/>
  <c r="BY25" i="24"/>
  <c r="BW25" i="24"/>
  <c r="BU25" i="24"/>
  <c r="BO25" i="24"/>
  <c r="BM25" i="24"/>
  <c r="BK25" i="24"/>
  <c r="BE25" i="24"/>
  <c r="BC25" i="24"/>
  <c r="BA25" i="24"/>
  <c r="FA24" i="24"/>
  <c r="EY24" i="24"/>
  <c r="EW24" i="24"/>
  <c r="EQ24" i="24"/>
  <c r="EO24" i="24"/>
  <c r="EM24" i="24"/>
  <c r="EG24" i="24"/>
  <c r="EE24" i="24"/>
  <c r="EC24" i="24"/>
  <c r="DW24" i="24"/>
  <c r="DU24" i="24"/>
  <c r="DS24" i="24"/>
  <c r="DM24" i="24"/>
  <c r="DK24" i="24"/>
  <c r="DI24" i="24"/>
  <c r="DC24" i="24"/>
  <c r="DA24" i="24"/>
  <c r="CY24" i="24"/>
  <c r="CS24" i="24"/>
  <c r="CQ24" i="24"/>
  <c r="CO24" i="24"/>
  <c r="CI24" i="24"/>
  <c r="CG24" i="24"/>
  <c r="CE24" i="24"/>
  <c r="BY24" i="24"/>
  <c r="BW24" i="24"/>
  <c r="BU24" i="24"/>
  <c r="BO24" i="24"/>
  <c r="BM24" i="24"/>
  <c r="BK24" i="24"/>
  <c r="BE24" i="24"/>
  <c r="BC24" i="24"/>
  <c r="FA23" i="24"/>
  <c r="EY23" i="24"/>
  <c r="EW23" i="24"/>
  <c r="EQ23" i="24"/>
  <c r="EO23" i="24"/>
  <c r="EM23" i="24"/>
  <c r="EG23" i="24"/>
  <c r="EE23" i="24"/>
  <c r="EC23" i="24"/>
  <c r="DW23" i="24"/>
  <c r="DU23" i="24"/>
  <c r="DS23" i="24"/>
  <c r="DM23" i="24"/>
  <c r="DK23" i="24"/>
  <c r="DI23" i="24"/>
  <c r="DC23" i="24"/>
  <c r="DA23" i="24"/>
  <c r="CY23" i="24"/>
  <c r="CS23" i="24"/>
  <c r="CQ23" i="24"/>
  <c r="CO23" i="24"/>
  <c r="CI23" i="24"/>
  <c r="CG23" i="24"/>
  <c r="CE23" i="24"/>
  <c r="BY23" i="24"/>
  <c r="BW23" i="24"/>
  <c r="BU23" i="24"/>
  <c r="BO23" i="24"/>
  <c r="BM23" i="24"/>
  <c r="BK23" i="24"/>
  <c r="BE23" i="24"/>
  <c r="BC23" i="24"/>
  <c r="BA23" i="24"/>
  <c r="AW23" i="24"/>
  <c r="AW24" i="24" s="1"/>
  <c r="AW25" i="24" s="1"/>
  <c r="AW26" i="24" s="1"/>
  <c r="AW27" i="24" s="1"/>
  <c r="AW28" i="24" s="1"/>
  <c r="AW29" i="24" s="1"/>
  <c r="AW30" i="24" s="1"/>
  <c r="AW31" i="24" s="1"/>
  <c r="AW32" i="24" s="1"/>
  <c r="AW33" i="24" s="1"/>
  <c r="AW34" i="24" s="1"/>
  <c r="AW35" i="24" s="1"/>
  <c r="AW36" i="24" s="1"/>
  <c r="AW37" i="24" s="1"/>
  <c r="AW38" i="24" s="1"/>
  <c r="AW39" i="24" s="1"/>
  <c r="AW40" i="24" s="1"/>
  <c r="AY21" i="24"/>
  <c r="AZ21" i="24" s="1"/>
  <c r="BA21" i="24" s="1"/>
  <c r="BB21" i="24" s="1"/>
  <c r="BC21" i="24" s="1"/>
  <c r="BD21" i="24" s="1"/>
  <c r="BE21" i="24" s="1"/>
  <c r="BF21" i="24" s="1"/>
  <c r="BG21" i="24" s="1"/>
  <c r="BH21" i="24" s="1"/>
  <c r="BI21" i="24" s="1"/>
  <c r="BJ21" i="24" s="1"/>
  <c r="BK21" i="24" s="1"/>
  <c r="BL21" i="24" s="1"/>
  <c r="BM21" i="24" s="1"/>
  <c r="BN21" i="24" s="1"/>
  <c r="BO21" i="24" s="1"/>
  <c r="BP21" i="24" s="1"/>
  <c r="BQ21" i="24" s="1"/>
  <c r="BR21" i="24" s="1"/>
  <c r="BS21" i="24" s="1"/>
  <c r="BT21" i="24" s="1"/>
  <c r="BU21" i="24" s="1"/>
  <c r="BV21" i="24" s="1"/>
  <c r="BW21" i="24" s="1"/>
  <c r="BX21" i="24" s="1"/>
  <c r="BY21" i="24" s="1"/>
  <c r="BZ21" i="24" s="1"/>
  <c r="CA21" i="24" s="1"/>
  <c r="CB21" i="24" s="1"/>
  <c r="CC21" i="24" s="1"/>
  <c r="CD21" i="24" s="1"/>
  <c r="CE21" i="24" s="1"/>
  <c r="CF21" i="24" s="1"/>
  <c r="CG21" i="24" s="1"/>
  <c r="CH21" i="24" s="1"/>
  <c r="CI21" i="24" s="1"/>
  <c r="CJ21" i="24" s="1"/>
  <c r="CK21" i="24" s="1"/>
  <c r="CL21" i="24" s="1"/>
  <c r="CM21" i="24" s="1"/>
  <c r="CN21" i="24" s="1"/>
  <c r="CO21" i="24" s="1"/>
  <c r="CP21" i="24" s="1"/>
  <c r="CQ21" i="24" s="1"/>
  <c r="CR21" i="24" s="1"/>
  <c r="CS21" i="24" s="1"/>
  <c r="CT21" i="24" s="1"/>
  <c r="CU21" i="24" s="1"/>
  <c r="CV21" i="24" s="1"/>
  <c r="CW21" i="24" s="1"/>
  <c r="CX21" i="24" s="1"/>
  <c r="CY21" i="24" s="1"/>
  <c r="CZ21" i="24" s="1"/>
  <c r="DA21" i="24" s="1"/>
  <c r="DB21" i="24" s="1"/>
  <c r="DC21" i="24" s="1"/>
  <c r="DD21" i="24" s="1"/>
  <c r="DE21" i="24" s="1"/>
  <c r="DF21" i="24" s="1"/>
  <c r="DG21" i="24" s="1"/>
  <c r="DH21" i="24" s="1"/>
  <c r="DI21" i="24" s="1"/>
  <c r="DJ21" i="24" s="1"/>
  <c r="DK21" i="24" s="1"/>
  <c r="DL21" i="24" s="1"/>
  <c r="DM21" i="24" s="1"/>
  <c r="DN21" i="24" s="1"/>
  <c r="DO21" i="24" s="1"/>
  <c r="DP21" i="24" s="1"/>
  <c r="DQ21" i="24" s="1"/>
  <c r="DR21" i="24" s="1"/>
  <c r="DS21" i="24" s="1"/>
  <c r="DT21" i="24" s="1"/>
  <c r="DU21" i="24" s="1"/>
  <c r="DV21" i="24" s="1"/>
  <c r="DW21" i="24" s="1"/>
  <c r="DX21" i="24" s="1"/>
  <c r="DY21" i="24" s="1"/>
  <c r="DZ21" i="24" s="1"/>
  <c r="EA21" i="24" s="1"/>
  <c r="EB21" i="24" s="1"/>
  <c r="EC21" i="24" s="1"/>
  <c r="ED21" i="24" s="1"/>
  <c r="EE21" i="24" s="1"/>
  <c r="EF21" i="24" s="1"/>
  <c r="EG21" i="24" s="1"/>
  <c r="EH21" i="24" s="1"/>
  <c r="EI21" i="24" s="1"/>
  <c r="EJ21" i="24" s="1"/>
  <c r="EK21" i="24" s="1"/>
  <c r="EL21" i="24" s="1"/>
  <c r="EM21" i="24" s="1"/>
  <c r="EN21" i="24" s="1"/>
  <c r="EO21" i="24" s="1"/>
  <c r="EP21" i="24" s="1"/>
  <c r="EQ21" i="24" s="1"/>
  <c r="ER21" i="24" s="1"/>
  <c r="ES21" i="24" s="1"/>
  <c r="ET21" i="24" s="1"/>
  <c r="EU21" i="24" s="1"/>
  <c r="EV21" i="24" s="1"/>
  <c r="EW21" i="24" s="1"/>
  <c r="EX21" i="24" s="1"/>
  <c r="EY21" i="24" s="1"/>
  <c r="EZ21" i="24" s="1"/>
  <c r="FA21" i="24" s="1"/>
  <c r="FB21" i="24" s="1"/>
  <c r="FC21" i="24" s="1"/>
  <c r="FD21" i="24" s="1"/>
  <c r="FE21" i="24" s="1"/>
  <c r="FF21" i="24" s="1"/>
  <c r="FG21" i="24" s="1"/>
  <c r="FH21" i="24" s="1"/>
  <c r="FI21" i="24" s="1"/>
  <c r="FJ21" i="24" s="1"/>
  <c r="FK21" i="24" s="1"/>
  <c r="FL21" i="24" s="1"/>
  <c r="FM21" i="24" s="1"/>
  <c r="FN21" i="24" s="1"/>
  <c r="FO21" i="24" s="1"/>
  <c r="FP21" i="24" s="1"/>
  <c r="FQ21" i="24" s="1"/>
  <c r="FR21" i="24" s="1"/>
  <c r="FS21" i="24" s="1"/>
  <c r="FT21" i="24" s="1"/>
  <c r="FU21" i="24" s="1"/>
  <c r="FV21" i="24" s="1"/>
  <c r="FW21" i="24" s="1"/>
  <c r="FX21" i="24" s="1"/>
  <c r="FY21" i="24" s="1"/>
  <c r="FZ21" i="24" s="1"/>
  <c r="GA21" i="24" s="1"/>
  <c r="GB21" i="24" s="1"/>
  <c r="GC21" i="24" s="1"/>
  <c r="GD21" i="24" s="1"/>
  <c r="GE21" i="24" s="1"/>
  <c r="GF21" i="24" s="1"/>
  <c r="GG21" i="24" s="1"/>
  <c r="GH21" i="24" s="1"/>
  <c r="GI21" i="24" s="1"/>
  <c r="GJ21" i="24" s="1"/>
  <c r="GK21" i="24" s="1"/>
  <c r="GL21" i="24" s="1"/>
  <c r="GM21" i="24" s="1"/>
  <c r="GN21" i="24" s="1"/>
  <c r="GO21" i="24" s="1"/>
  <c r="GP21" i="24" s="1"/>
  <c r="GQ21" i="24" s="1"/>
  <c r="GR21" i="24" s="1"/>
  <c r="GS21" i="24" s="1"/>
  <c r="GT21" i="24" s="1"/>
  <c r="GU21" i="24" s="1"/>
  <c r="GV21" i="24" s="1"/>
  <c r="GW21" i="24" s="1"/>
  <c r="GX21" i="24" s="1"/>
  <c r="GY21" i="24" s="1"/>
  <c r="GZ21" i="24" s="1"/>
  <c r="HA21" i="24" s="1"/>
  <c r="HB21" i="24" s="1"/>
  <c r="HC21" i="24" s="1"/>
  <c r="HD21" i="24" s="1"/>
  <c r="HE21" i="24" s="1"/>
  <c r="HF21" i="24" s="1"/>
  <c r="HG21" i="24" s="1"/>
  <c r="HH21" i="24" s="1"/>
  <c r="HI21" i="24" s="1"/>
  <c r="HJ21" i="24" s="1"/>
  <c r="HK21" i="24" s="1"/>
  <c r="HL21" i="24" s="1"/>
  <c r="HM21" i="24" s="1"/>
  <c r="HN21" i="24" s="1"/>
  <c r="HO21" i="24" s="1"/>
  <c r="HP21" i="24" s="1"/>
  <c r="HQ21" i="24" s="1"/>
  <c r="HR21" i="24" s="1"/>
  <c r="HS21" i="24" s="1"/>
  <c r="HT21" i="24" s="1"/>
  <c r="HU21" i="24" s="1"/>
  <c r="HV21" i="24" s="1"/>
  <c r="HW21" i="24" s="1"/>
  <c r="BH20" i="24"/>
  <c r="BR20" i="24" s="1"/>
  <c r="BS20" i="24" s="1"/>
  <c r="AY20" i="24"/>
  <c r="O11" i="24"/>
  <c r="O10" i="24"/>
  <c r="O9" i="24"/>
  <c r="O8" i="24"/>
  <c r="O7" i="24"/>
  <c r="O6" i="24"/>
  <c r="C6" i="24"/>
  <c r="O5" i="24"/>
  <c r="O4" i="24"/>
  <c r="O49" i="23"/>
  <c r="O50" i="23" s="1"/>
  <c r="O51" i="23" s="1"/>
  <c r="O52" i="23" s="1"/>
  <c r="O53" i="23" s="1"/>
  <c r="O54" i="23" s="1"/>
  <c r="O55" i="23" s="1"/>
  <c r="O56" i="23" s="1"/>
  <c r="O57" i="23" s="1"/>
  <c r="O58" i="23" s="1"/>
  <c r="O59" i="23" s="1"/>
  <c r="O60" i="23" s="1"/>
  <c r="O61" i="23" s="1"/>
  <c r="O62" i="23" s="1"/>
  <c r="O63" i="23" s="1"/>
  <c r="O64" i="23" s="1"/>
  <c r="O65" i="23" s="1"/>
  <c r="B21" i="23"/>
  <c r="N19" i="23"/>
  <c r="M19" i="23"/>
  <c r="L19" i="23"/>
  <c r="K19" i="23"/>
  <c r="J19" i="23"/>
  <c r="I19" i="23"/>
  <c r="D19" i="23"/>
  <c r="R45" i="23"/>
  <c r="S45" i="23" s="1"/>
  <c r="T45" i="23" s="1"/>
  <c r="U45" i="23" s="1"/>
  <c r="V45" i="23" s="1"/>
  <c r="W45" i="23" s="1"/>
  <c r="X45" i="23" s="1"/>
  <c r="Y45" i="23" s="1"/>
  <c r="Z45" i="23" s="1"/>
  <c r="AA45" i="23" s="1"/>
  <c r="AB45" i="23" s="1"/>
  <c r="AC45" i="23" s="1"/>
  <c r="AD45" i="23" s="1"/>
  <c r="AE45" i="23" s="1"/>
  <c r="AF45" i="23" s="1"/>
  <c r="AG45" i="23" s="1"/>
  <c r="AH45" i="23" s="1"/>
  <c r="AI45" i="23" s="1"/>
  <c r="E17" i="23"/>
  <c r="F17" i="23" s="1"/>
  <c r="FA36" i="23"/>
  <c r="EY36" i="23"/>
  <c r="EW36" i="23"/>
  <c r="EQ36" i="23"/>
  <c r="EO36" i="23"/>
  <c r="EM36" i="23"/>
  <c r="EG36" i="23"/>
  <c r="EE36" i="23"/>
  <c r="EC36" i="23"/>
  <c r="DW36" i="23"/>
  <c r="DU36" i="23"/>
  <c r="DS36" i="23"/>
  <c r="DM36" i="23"/>
  <c r="DK36" i="23"/>
  <c r="DI36" i="23"/>
  <c r="DC36" i="23"/>
  <c r="DA36" i="23"/>
  <c r="CY36" i="23"/>
  <c r="CS36" i="23"/>
  <c r="CQ36" i="23"/>
  <c r="CO36" i="23"/>
  <c r="CI36" i="23"/>
  <c r="CG36" i="23"/>
  <c r="CE36" i="23"/>
  <c r="BY36" i="23"/>
  <c r="BW36" i="23"/>
  <c r="BU36" i="23"/>
  <c r="BO36" i="23"/>
  <c r="BM36" i="23"/>
  <c r="BK36" i="23"/>
  <c r="BE36" i="23"/>
  <c r="BC36" i="23"/>
  <c r="BA36" i="23"/>
  <c r="FA35" i="23"/>
  <c r="EY35" i="23"/>
  <c r="EW35" i="23"/>
  <c r="EQ35" i="23"/>
  <c r="EO35" i="23"/>
  <c r="EM35" i="23"/>
  <c r="EG35" i="23"/>
  <c r="EE35" i="23"/>
  <c r="EC35" i="23"/>
  <c r="DW35" i="23"/>
  <c r="DU35" i="23"/>
  <c r="DS35" i="23"/>
  <c r="DM35" i="23"/>
  <c r="DK35" i="23"/>
  <c r="DI35" i="23"/>
  <c r="DC35" i="23"/>
  <c r="DA35" i="23"/>
  <c r="CY35" i="23"/>
  <c r="CS35" i="23"/>
  <c r="CQ35" i="23"/>
  <c r="CO35" i="23"/>
  <c r="CI35" i="23"/>
  <c r="CG35" i="23"/>
  <c r="CE35" i="23"/>
  <c r="BY35" i="23"/>
  <c r="BW35" i="23"/>
  <c r="BU35" i="23"/>
  <c r="BO35" i="23"/>
  <c r="BM35" i="23"/>
  <c r="BK35" i="23"/>
  <c r="BE35" i="23"/>
  <c r="BC35" i="23"/>
  <c r="BA35" i="23"/>
  <c r="FA34" i="23"/>
  <c r="EY34" i="23"/>
  <c r="EW34" i="23"/>
  <c r="EQ34" i="23"/>
  <c r="EO34" i="23"/>
  <c r="EM34" i="23"/>
  <c r="EG34" i="23"/>
  <c r="EE34" i="23"/>
  <c r="EC34" i="23"/>
  <c r="DW34" i="23"/>
  <c r="DU34" i="23"/>
  <c r="DS34" i="23"/>
  <c r="DM34" i="23"/>
  <c r="DK34" i="23"/>
  <c r="DI34" i="23"/>
  <c r="DC34" i="23"/>
  <c r="DA34" i="23"/>
  <c r="CY34" i="23"/>
  <c r="CS34" i="23"/>
  <c r="CQ34" i="23"/>
  <c r="CO34" i="23"/>
  <c r="CI34" i="23"/>
  <c r="CG34" i="23"/>
  <c r="CE34" i="23"/>
  <c r="BY34" i="23"/>
  <c r="BW34" i="23"/>
  <c r="BU34" i="23"/>
  <c r="BO34" i="23"/>
  <c r="BM34" i="23"/>
  <c r="BK34" i="23"/>
  <c r="BE34" i="23"/>
  <c r="BC34" i="23"/>
  <c r="BA34" i="23"/>
  <c r="FA33" i="23"/>
  <c r="EY33" i="23"/>
  <c r="EW33" i="23"/>
  <c r="EQ33" i="23"/>
  <c r="EO33" i="23"/>
  <c r="EM33" i="23"/>
  <c r="EG33" i="23"/>
  <c r="EE33" i="23"/>
  <c r="EC33" i="23"/>
  <c r="DW33" i="23"/>
  <c r="DU33" i="23"/>
  <c r="DS33" i="23"/>
  <c r="DM33" i="23"/>
  <c r="DK33" i="23"/>
  <c r="DI33" i="23"/>
  <c r="DC33" i="23"/>
  <c r="DA33" i="23"/>
  <c r="CY33" i="23"/>
  <c r="CS33" i="23"/>
  <c r="CQ33" i="23"/>
  <c r="CO33" i="23"/>
  <c r="CI33" i="23"/>
  <c r="CG33" i="23"/>
  <c r="CE33" i="23"/>
  <c r="BY33" i="23"/>
  <c r="BW33" i="23"/>
  <c r="BU33" i="23"/>
  <c r="BO33" i="23"/>
  <c r="BM33" i="23"/>
  <c r="BK33" i="23"/>
  <c r="BE33" i="23"/>
  <c r="BC33" i="23"/>
  <c r="BA33" i="23"/>
  <c r="FA32" i="23"/>
  <c r="EY32" i="23"/>
  <c r="EW32" i="23"/>
  <c r="EQ32" i="23"/>
  <c r="EO32" i="23"/>
  <c r="EM32" i="23"/>
  <c r="EG32" i="23"/>
  <c r="EE32" i="23"/>
  <c r="EC32" i="23"/>
  <c r="DW32" i="23"/>
  <c r="DU32" i="23"/>
  <c r="DS32" i="23"/>
  <c r="DM32" i="23"/>
  <c r="DK32" i="23"/>
  <c r="DI32" i="23"/>
  <c r="DC32" i="23"/>
  <c r="DA32" i="23"/>
  <c r="CY32" i="23"/>
  <c r="CS32" i="23"/>
  <c r="CQ32" i="23"/>
  <c r="CO32" i="23"/>
  <c r="CI32" i="23"/>
  <c r="CG32" i="23"/>
  <c r="CE32" i="23"/>
  <c r="BY32" i="23"/>
  <c r="BW32" i="23"/>
  <c r="BU32" i="23"/>
  <c r="BO32" i="23"/>
  <c r="BM32" i="23"/>
  <c r="BK32" i="23"/>
  <c r="BE32" i="23"/>
  <c r="BC32" i="23"/>
  <c r="BA32" i="23"/>
  <c r="FA31" i="23"/>
  <c r="EY31" i="23"/>
  <c r="EW31" i="23"/>
  <c r="EQ31" i="23"/>
  <c r="EO31" i="23"/>
  <c r="EM31" i="23"/>
  <c r="EG31" i="23"/>
  <c r="EE31" i="23"/>
  <c r="EC31" i="23"/>
  <c r="DW31" i="23"/>
  <c r="DU31" i="23"/>
  <c r="DS31" i="23"/>
  <c r="DM31" i="23"/>
  <c r="DK31" i="23"/>
  <c r="DI31" i="23"/>
  <c r="DC31" i="23"/>
  <c r="DA31" i="23"/>
  <c r="CY31" i="23"/>
  <c r="DD31" i="23" s="1"/>
  <c r="CS31" i="23"/>
  <c r="CQ31" i="23"/>
  <c r="CO31" i="23"/>
  <c r="CI31" i="23"/>
  <c r="CG31" i="23"/>
  <c r="CE31" i="23"/>
  <c r="BY31" i="23"/>
  <c r="BW31" i="23"/>
  <c r="BU31" i="23"/>
  <c r="BO31" i="23"/>
  <c r="BM31" i="23"/>
  <c r="BK31" i="23"/>
  <c r="BE31" i="23"/>
  <c r="BC31" i="23"/>
  <c r="BA31" i="23"/>
  <c r="FA30" i="23"/>
  <c r="EY30" i="23"/>
  <c r="EW30" i="23"/>
  <c r="EQ30" i="23"/>
  <c r="EO30" i="23"/>
  <c r="EM30" i="23"/>
  <c r="EG30" i="23"/>
  <c r="EE30" i="23"/>
  <c r="EC30" i="23"/>
  <c r="DW30" i="23"/>
  <c r="DU30" i="23"/>
  <c r="DS30" i="23"/>
  <c r="DM30" i="23"/>
  <c r="DK30" i="23"/>
  <c r="DI30" i="23"/>
  <c r="DC30" i="23"/>
  <c r="DA30" i="23"/>
  <c r="CY30" i="23"/>
  <c r="CS30" i="23"/>
  <c r="CQ30" i="23"/>
  <c r="CO30" i="23"/>
  <c r="CI30" i="23"/>
  <c r="CG30" i="23"/>
  <c r="CE30" i="23"/>
  <c r="BY30" i="23"/>
  <c r="BW30" i="23"/>
  <c r="BU30" i="23"/>
  <c r="BO30" i="23"/>
  <c r="BM30" i="23"/>
  <c r="BK30" i="23"/>
  <c r="BE30" i="23"/>
  <c r="BC30" i="23"/>
  <c r="BA30" i="23"/>
  <c r="FA29" i="23"/>
  <c r="EY29" i="23"/>
  <c r="EW29" i="23"/>
  <c r="EQ29" i="23"/>
  <c r="EO29" i="23"/>
  <c r="EM29" i="23"/>
  <c r="EG29" i="23"/>
  <c r="EE29" i="23"/>
  <c r="EC29" i="23"/>
  <c r="DW29" i="23"/>
  <c r="DU29" i="23"/>
  <c r="DS29" i="23"/>
  <c r="DM29" i="23"/>
  <c r="DK29" i="23"/>
  <c r="DI29" i="23"/>
  <c r="DC29" i="23"/>
  <c r="DA29" i="23"/>
  <c r="CY29" i="23"/>
  <c r="CS29" i="23"/>
  <c r="CT29" i="23" s="1"/>
  <c r="CQ29" i="23"/>
  <c r="CO29" i="23"/>
  <c r="CI29" i="23"/>
  <c r="CG29" i="23"/>
  <c r="CE29" i="23"/>
  <c r="BY29" i="23"/>
  <c r="BW29" i="23"/>
  <c r="BU29" i="23"/>
  <c r="BO29" i="23"/>
  <c r="BM29" i="23"/>
  <c r="BK29" i="23"/>
  <c r="BP29" i="23" s="1"/>
  <c r="BE29" i="23"/>
  <c r="BC29" i="23"/>
  <c r="BA29" i="23"/>
  <c r="FA28" i="23"/>
  <c r="EY28" i="23"/>
  <c r="EW28" i="23"/>
  <c r="EQ28" i="23"/>
  <c r="EO28" i="23"/>
  <c r="EM28" i="23"/>
  <c r="EG28" i="23"/>
  <c r="EE28" i="23"/>
  <c r="EC28" i="23"/>
  <c r="DW28" i="23"/>
  <c r="DU28" i="23"/>
  <c r="DS28" i="23"/>
  <c r="DM28" i="23"/>
  <c r="DK28" i="23"/>
  <c r="DI28" i="23"/>
  <c r="DC28" i="23"/>
  <c r="DA28" i="23"/>
  <c r="CY28" i="23"/>
  <c r="CS28" i="23"/>
  <c r="CQ28" i="23"/>
  <c r="CO28" i="23"/>
  <c r="CT28" i="23" s="1"/>
  <c r="CI28" i="23"/>
  <c r="CG28" i="23"/>
  <c r="CE28" i="23"/>
  <c r="BY28" i="23"/>
  <c r="BW28" i="23"/>
  <c r="BU28" i="23"/>
  <c r="BO28" i="23"/>
  <c r="BM28" i="23"/>
  <c r="BK28" i="23"/>
  <c r="BE28" i="23"/>
  <c r="BC28" i="23"/>
  <c r="BA28" i="23"/>
  <c r="FA27" i="23"/>
  <c r="EY27" i="23"/>
  <c r="EW27" i="23"/>
  <c r="EQ27" i="23"/>
  <c r="EO27" i="23"/>
  <c r="EM27" i="23"/>
  <c r="EG27" i="23"/>
  <c r="EE27" i="23"/>
  <c r="EC27" i="23"/>
  <c r="DW27" i="23"/>
  <c r="DU27" i="23"/>
  <c r="DS27" i="23"/>
  <c r="DM27" i="23"/>
  <c r="DK27" i="23"/>
  <c r="DI27" i="23"/>
  <c r="DC27" i="23"/>
  <c r="DA27" i="23"/>
  <c r="CY27" i="23"/>
  <c r="CS27" i="23"/>
  <c r="CQ27" i="23"/>
  <c r="CO27" i="23"/>
  <c r="CI27" i="23"/>
  <c r="CG27" i="23"/>
  <c r="CE27" i="23"/>
  <c r="BY27" i="23"/>
  <c r="BW27" i="23"/>
  <c r="BU27" i="23"/>
  <c r="BO27" i="23"/>
  <c r="BM27" i="23"/>
  <c r="BK27" i="23"/>
  <c r="BE27" i="23"/>
  <c r="BC27" i="23"/>
  <c r="BA27" i="23"/>
  <c r="FA26" i="23"/>
  <c r="EY26" i="23"/>
  <c r="EW26" i="23"/>
  <c r="EQ26" i="23"/>
  <c r="EO26" i="23"/>
  <c r="EM26" i="23"/>
  <c r="EG26" i="23"/>
  <c r="EE26" i="23"/>
  <c r="EC26" i="23"/>
  <c r="DW26" i="23"/>
  <c r="DU26" i="23"/>
  <c r="DS26" i="23"/>
  <c r="DM26" i="23"/>
  <c r="DK26" i="23"/>
  <c r="DI26" i="23"/>
  <c r="DC26" i="23"/>
  <c r="DA26" i="23"/>
  <c r="CY26" i="23"/>
  <c r="CS26" i="23"/>
  <c r="CQ26" i="23"/>
  <c r="CO26" i="23"/>
  <c r="CI26" i="23"/>
  <c r="CG26" i="23"/>
  <c r="CE26" i="23"/>
  <c r="BY26" i="23"/>
  <c r="BW26" i="23"/>
  <c r="BU26" i="23"/>
  <c r="BO26" i="23"/>
  <c r="BM26" i="23"/>
  <c r="BK26" i="23"/>
  <c r="BE26" i="23"/>
  <c r="BC26" i="23"/>
  <c r="BA26" i="23"/>
  <c r="FA25" i="23"/>
  <c r="EY25" i="23"/>
  <c r="EW25" i="23"/>
  <c r="EQ25" i="23"/>
  <c r="EO25" i="23"/>
  <c r="EM25" i="23"/>
  <c r="EG25" i="23"/>
  <c r="EE25" i="23"/>
  <c r="EC25" i="23"/>
  <c r="DW25" i="23"/>
  <c r="DU25" i="23"/>
  <c r="DS25" i="23"/>
  <c r="DM25" i="23"/>
  <c r="DK25" i="23"/>
  <c r="DI25" i="23"/>
  <c r="DC25" i="23"/>
  <c r="DA25" i="23"/>
  <c r="CY25" i="23"/>
  <c r="CS25" i="23"/>
  <c r="CQ25" i="23"/>
  <c r="CO25" i="23"/>
  <c r="CI25" i="23"/>
  <c r="CG25" i="23"/>
  <c r="CE25" i="23"/>
  <c r="BY25" i="23"/>
  <c r="BW25" i="23"/>
  <c r="BU25" i="23"/>
  <c r="BO25" i="23"/>
  <c r="BM25" i="23"/>
  <c r="BK25" i="23"/>
  <c r="BE25" i="23"/>
  <c r="BC25" i="23"/>
  <c r="BA25" i="23"/>
  <c r="FA24" i="23"/>
  <c r="EY24" i="23"/>
  <c r="EW24" i="23"/>
  <c r="EQ24" i="23"/>
  <c r="EO24" i="23"/>
  <c r="EM24" i="23"/>
  <c r="EG24" i="23"/>
  <c r="EE24" i="23"/>
  <c r="EC24" i="23"/>
  <c r="DW24" i="23"/>
  <c r="DU24" i="23"/>
  <c r="DS24" i="23"/>
  <c r="DM24" i="23"/>
  <c r="DK24" i="23"/>
  <c r="DI24" i="23"/>
  <c r="DC24" i="23"/>
  <c r="DA24" i="23"/>
  <c r="CY24" i="23"/>
  <c r="CS24" i="23"/>
  <c r="CQ24" i="23"/>
  <c r="CO24" i="23"/>
  <c r="CI24" i="23"/>
  <c r="CG24" i="23"/>
  <c r="CE24" i="23"/>
  <c r="BY24" i="23"/>
  <c r="BW24" i="23"/>
  <c r="BU24" i="23"/>
  <c r="BO24" i="23"/>
  <c r="BM24" i="23"/>
  <c r="BK24" i="23"/>
  <c r="BE24" i="23"/>
  <c r="BC24" i="23"/>
  <c r="BA24" i="23"/>
  <c r="AW23" i="23"/>
  <c r="AW24" i="23" s="1"/>
  <c r="AW25" i="23" s="1"/>
  <c r="AW26" i="23" s="1"/>
  <c r="AW27" i="23" s="1"/>
  <c r="AW28" i="23" s="1"/>
  <c r="AW29" i="23" s="1"/>
  <c r="AW30" i="23" s="1"/>
  <c r="AW31" i="23" s="1"/>
  <c r="AW32" i="23" s="1"/>
  <c r="AW33" i="23" s="1"/>
  <c r="AW34" i="23" s="1"/>
  <c r="AW35" i="23" s="1"/>
  <c r="AW36" i="23" s="1"/>
  <c r="AW37" i="23" s="1"/>
  <c r="AW38" i="23" s="1"/>
  <c r="AW39" i="23" s="1"/>
  <c r="AW40" i="23" s="1"/>
  <c r="AU24" i="23"/>
  <c r="AV22" i="23"/>
  <c r="AY21" i="23"/>
  <c r="AZ21" i="23" s="1"/>
  <c r="BA21" i="23" s="1"/>
  <c r="BB21" i="23" s="1"/>
  <c r="BC21" i="23" s="1"/>
  <c r="BD21" i="23" s="1"/>
  <c r="BE21" i="23" s="1"/>
  <c r="BF21" i="23" s="1"/>
  <c r="BG21" i="23" s="1"/>
  <c r="BH21" i="23" s="1"/>
  <c r="BI21" i="23" s="1"/>
  <c r="BJ21" i="23" s="1"/>
  <c r="BK21" i="23" s="1"/>
  <c r="BL21" i="23" s="1"/>
  <c r="BM21" i="23" s="1"/>
  <c r="BN21" i="23" s="1"/>
  <c r="BO21" i="23" s="1"/>
  <c r="BP21" i="23" s="1"/>
  <c r="BQ21" i="23" s="1"/>
  <c r="BR21" i="23" s="1"/>
  <c r="BS21" i="23" s="1"/>
  <c r="BT21" i="23" s="1"/>
  <c r="BU21" i="23" s="1"/>
  <c r="BV21" i="23" s="1"/>
  <c r="BW21" i="23" s="1"/>
  <c r="BX21" i="23" s="1"/>
  <c r="BY21" i="23" s="1"/>
  <c r="BZ21" i="23" s="1"/>
  <c r="CA21" i="23" s="1"/>
  <c r="CB21" i="23" s="1"/>
  <c r="CC21" i="23" s="1"/>
  <c r="CD21" i="23" s="1"/>
  <c r="CE21" i="23" s="1"/>
  <c r="CF21" i="23" s="1"/>
  <c r="CG21" i="23" s="1"/>
  <c r="CH21" i="23" s="1"/>
  <c r="CI21" i="23" s="1"/>
  <c r="CJ21" i="23" s="1"/>
  <c r="CK21" i="23" s="1"/>
  <c r="CL21" i="23" s="1"/>
  <c r="CM21" i="23" s="1"/>
  <c r="CN21" i="23" s="1"/>
  <c r="CO21" i="23" s="1"/>
  <c r="CP21" i="23" s="1"/>
  <c r="CQ21" i="23" s="1"/>
  <c r="CR21" i="23" s="1"/>
  <c r="CS21" i="23" s="1"/>
  <c r="CT21" i="23" s="1"/>
  <c r="CU21" i="23" s="1"/>
  <c r="CV21" i="23" s="1"/>
  <c r="CW21" i="23" s="1"/>
  <c r="CX21" i="23" s="1"/>
  <c r="CY21" i="23" s="1"/>
  <c r="CZ21" i="23" s="1"/>
  <c r="DA21" i="23" s="1"/>
  <c r="DB21" i="23" s="1"/>
  <c r="DC21" i="23" s="1"/>
  <c r="DD21" i="23" s="1"/>
  <c r="DE21" i="23" s="1"/>
  <c r="DF21" i="23" s="1"/>
  <c r="DG21" i="23" s="1"/>
  <c r="DH21" i="23" s="1"/>
  <c r="DI21" i="23" s="1"/>
  <c r="DJ21" i="23" s="1"/>
  <c r="DK21" i="23" s="1"/>
  <c r="DL21" i="23" s="1"/>
  <c r="DM21" i="23" s="1"/>
  <c r="DN21" i="23" s="1"/>
  <c r="DO21" i="23" s="1"/>
  <c r="DP21" i="23" s="1"/>
  <c r="DQ21" i="23" s="1"/>
  <c r="DR21" i="23" s="1"/>
  <c r="DS21" i="23" s="1"/>
  <c r="DT21" i="23" s="1"/>
  <c r="DU21" i="23" s="1"/>
  <c r="DV21" i="23" s="1"/>
  <c r="DW21" i="23" s="1"/>
  <c r="DX21" i="23" s="1"/>
  <c r="DY21" i="23" s="1"/>
  <c r="DZ21" i="23" s="1"/>
  <c r="EA21" i="23" s="1"/>
  <c r="EB21" i="23" s="1"/>
  <c r="EC21" i="23" s="1"/>
  <c r="ED21" i="23" s="1"/>
  <c r="EE21" i="23" s="1"/>
  <c r="EF21" i="23" s="1"/>
  <c r="EG21" i="23" s="1"/>
  <c r="EH21" i="23" s="1"/>
  <c r="EI21" i="23" s="1"/>
  <c r="EJ21" i="23" s="1"/>
  <c r="EK21" i="23" s="1"/>
  <c r="EL21" i="23" s="1"/>
  <c r="EM21" i="23" s="1"/>
  <c r="EN21" i="23" s="1"/>
  <c r="EO21" i="23" s="1"/>
  <c r="EP21" i="23" s="1"/>
  <c r="EQ21" i="23" s="1"/>
  <c r="ER21" i="23" s="1"/>
  <c r="ES21" i="23" s="1"/>
  <c r="ET21" i="23" s="1"/>
  <c r="EU21" i="23" s="1"/>
  <c r="EV21" i="23" s="1"/>
  <c r="EW21" i="23" s="1"/>
  <c r="EX21" i="23" s="1"/>
  <c r="EY21" i="23" s="1"/>
  <c r="EZ21" i="23" s="1"/>
  <c r="FA21" i="23" s="1"/>
  <c r="FB21" i="23" s="1"/>
  <c r="FC21" i="23" s="1"/>
  <c r="FD21" i="23" s="1"/>
  <c r="FE21" i="23" s="1"/>
  <c r="FF21" i="23" s="1"/>
  <c r="FG21" i="23" s="1"/>
  <c r="FH21" i="23" s="1"/>
  <c r="FI21" i="23" s="1"/>
  <c r="FJ21" i="23" s="1"/>
  <c r="FK21" i="23" s="1"/>
  <c r="FL21" i="23" s="1"/>
  <c r="FM21" i="23" s="1"/>
  <c r="FN21" i="23" s="1"/>
  <c r="FO21" i="23" s="1"/>
  <c r="FP21" i="23" s="1"/>
  <c r="FQ21" i="23" s="1"/>
  <c r="FR21" i="23" s="1"/>
  <c r="FS21" i="23" s="1"/>
  <c r="FT21" i="23" s="1"/>
  <c r="FU21" i="23" s="1"/>
  <c r="FV21" i="23" s="1"/>
  <c r="FW21" i="23" s="1"/>
  <c r="FX21" i="23" s="1"/>
  <c r="FY21" i="23" s="1"/>
  <c r="FZ21" i="23" s="1"/>
  <c r="GA21" i="23" s="1"/>
  <c r="GB21" i="23" s="1"/>
  <c r="GC21" i="23" s="1"/>
  <c r="GD21" i="23" s="1"/>
  <c r="GE21" i="23" s="1"/>
  <c r="GF21" i="23" s="1"/>
  <c r="GG21" i="23" s="1"/>
  <c r="GH21" i="23" s="1"/>
  <c r="GI21" i="23" s="1"/>
  <c r="GJ21" i="23" s="1"/>
  <c r="GK21" i="23" s="1"/>
  <c r="GL21" i="23" s="1"/>
  <c r="GM21" i="23" s="1"/>
  <c r="GN21" i="23" s="1"/>
  <c r="GO21" i="23" s="1"/>
  <c r="GP21" i="23" s="1"/>
  <c r="GQ21" i="23" s="1"/>
  <c r="GR21" i="23" s="1"/>
  <c r="GS21" i="23" s="1"/>
  <c r="GT21" i="23" s="1"/>
  <c r="GU21" i="23" s="1"/>
  <c r="GV21" i="23" s="1"/>
  <c r="GW21" i="23" s="1"/>
  <c r="GX21" i="23" s="1"/>
  <c r="GY21" i="23" s="1"/>
  <c r="GZ21" i="23" s="1"/>
  <c r="HA21" i="23" s="1"/>
  <c r="HB21" i="23" s="1"/>
  <c r="HC21" i="23" s="1"/>
  <c r="HD21" i="23" s="1"/>
  <c r="HE21" i="23" s="1"/>
  <c r="HF21" i="23" s="1"/>
  <c r="HG21" i="23" s="1"/>
  <c r="HH21" i="23" s="1"/>
  <c r="HI21" i="23" s="1"/>
  <c r="HJ21" i="23" s="1"/>
  <c r="HK21" i="23" s="1"/>
  <c r="HL21" i="23" s="1"/>
  <c r="HM21" i="23" s="1"/>
  <c r="HN21" i="23" s="1"/>
  <c r="HO21" i="23" s="1"/>
  <c r="HP21" i="23" s="1"/>
  <c r="HQ21" i="23" s="1"/>
  <c r="HR21" i="23" s="1"/>
  <c r="HS21" i="23" s="1"/>
  <c r="HT21" i="23" s="1"/>
  <c r="HU21" i="23" s="1"/>
  <c r="HV21" i="23" s="1"/>
  <c r="HW21" i="23" s="1"/>
  <c r="BH20" i="23"/>
  <c r="BI20" i="23" s="1"/>
  <c r="AY20" i="23"/>
  <c r="O11" i="23"/>
  <c r="O10" i="23"/>
  <c r="O9" i="23"/>
  <c r="O8" i="23"/>
  <c r="O7" i="23"/>
  <c r="O6" i="23"/>
  <c r="C6" i="23"/>
  <c r="O5" i="23"/>
  <c r="O4" i="23"/>
  <c r="C3" i="23"/>
  <c r="D3" i="23" s="1"/>
  <c r="T49" i="22"/>
  <c r="U49" i="22" s="1"/>
  <c r="V49" i="22" s="1"/>
  <c r="W49" i="22" s="1"/>
  <c r="X49" i="22" s="1"/>
  <c r="Y49" i="22" s="1"/>
  <c r="Z49" i="22" s="1"/>
  <c r="AA49" i="22" s="1"/>
  <c r="T50" i="22"/>
  <c r="U50" i="22" s="1"/>
  <c r="V50" i="22" s="1"/>
  <c r="W50" i="22" s="1"/>
  <c r="X50" i="22" s="1"/>
  <c r="Y50" i="22" s="1"/>
  <c r="Z50" i="22" s="1"/>
  <c r="T51" i="22"/>
  <c r="U51" i="22" s="1"/>
  <c r="V51" i="22" s="1"/>
  <c r="W51" i="22" s="1"/>
  <c r="X51" i="22" s="1"/>
  <c r="Y51" i="22" s="1"/>
  <c r="Z51" i="22" s="1"/>
  <c r="T52" i="22"/>
  <c r="U52" i="22" s="1"/>
  <c r="V52" i="22" s="1"/>
  <c r="W52" i="22" s="1"/>
  <c r="X52" i="22" s="1"/>
  <c r="Y52" i="22" s="1"/>
  <c r="Z52" i="22" s="1"/>
  <c r="T53" i="22"/>
  <c r="U53" i="22" s="1"/>
  <c r="V53" i="22" s="1"/>
  <c r="W53" i="22" s="1"/>
  <c r="X53" i="22" s="1"/>
  <c r="Y53" i="22" s="1"/>
  <c r="Z53" i="22" s="1"/>
  <c r="T54" i="22"/>
  <c r="U54" i="22" s="1"/>
  <c r="V54" i="22" s="1"/>
  <c r="W54" i="22" s="1"/>
  <c r="X54" i="22" s="1"/>
  <c r="Y54" i="22" s="1"/>
  <c r="Z54" i="22" s="1"/>
  <c r="T55" i="22"/>
  <c r="U55" i="22" s="1"/>
  <c r="V55" i="22" s="1"/>
  <c r="W55" i="22" s="1"/>
  <c r="X55" i="22" s="1"/>
  <c r="Y55" i="22" s="1"/>
  <c r="Z55" i="22" s="1"/>
  <c r="T56" i="22"/>
  <c r="U56" i="22" s="1"/>
  <c r="V56" i="22" s="1"/>
  <c r="W56" i="22" s="1"/>
  <c r="X56" i="22" s="1"/>
  <c r="Y56" i="22" s="1"/>
  <c r="Z56" i="22" s="1"/>
  <c r="T57" i="22"/>
  <c r="U57" i="22" s="1"/>
  <c r="V57" i="22" s="1"/>
  <c r="W57" i="22" s="1"/>
  <c r="X57" i="22" s="1"/>
  <c r="Y57" i="22" s="1"/>
  <c r="Z57" i="22" s="1"/>
  <c r="T58" i="22"/>
  <c r="U58" i="22" s="1"/>
  <c r="V58" i="22" s="1"/>
  <c r="W58" i="22" s="1"/>
  <c r="X58" i="22" s="1"/>
  <c r="Y58" i="22" s="1"/>
  <c r="Z58" i="22" s="1"/>
  <c r="T59" i="22"/>
  <c r="U59" i="22" s="1"/>
  <c r="V59" i="22" s="1"/>
  <c r="W59" i="22" s="1"/>
  <c r="X59" i="22" s="1"/>
  <c r="Y59" i="22" s="1"/>
  <c r="Z59" i="22" s="1"/>
  <c r="T60" i="22"/>
  <c r="U60" i="22" s="1"/>
  <c r="V60" i="22" s="1"/>
  <c r="W60" i="22" s="1"/>
  <c r="X60" i="22" s="1"/>
  <c r="Y60" i="22" s="1"/>
  <c r="Z60" i="22" s="1"/>
  <c r="T61" i="22"/>
  <c r="U61" i="22" s="1"/>
  <c r="V61" i="22" s="1"/>
  <c r="W61" i="22" s="1"/>
  <c r="X61" i="22" s="1"/>
  <c r="Y61" i="22" s="1"/>
  <c r="Z61" i="22" s="1"/>
  <c r="T48" i="22"/>
  <c r="U48" i="22" s="1"/>
  <c r="V48" i="22" s="1"/>
  <c r="W48" i="22" s="1"/>
  <c r="X48" i="22" s="1"/>
  <c r="Y48" i="22" s="1"/>
  <c r="Z48" i="22" s="1"/>
  <c r="AA48" i="22" s="1"/>
  <c r="B21" i="22"/>
  <c r="B22" i="22" s="1"/>
  <c r="B23" i="22" s="1"/>
  <c r="B24" i="22" s="1"/>
  <c r="B25" i="22" s="1"/>
  <c r="B26" i="22" s="1"/>
  <c r="B27" i="22" s="1"/>
  <c r="B28" i="22" s="1"/>
  <c r="B29" i="22" s="1"/>
  <c r="B30" i="22" s="1"/>
  <c r="B31" i="22" s="1"/>
  <c r="B32" i="22" s="1"/>
  <c r="B33" i="22" s="1"/>
  <c r="B34" i="22" s="1"/>
  <c r="B35" i="22" s="1"/>
  <c r="B36" i="22" s="1"/>
  <c r="B37" i="22" s="1"/>
  <c r="O49" i="22"/>
  <c r="O50" i="22" s="1"/>
  <c r="O51" i="22" s="1"/>
  <c r="O52" i="22" s="1"/>
  <c r="O53" i="22" s="1"/>
  <c r="O54" i="22" s="1"/>
  <c r="O55" i="22" s="1"/>
  <c r="O56" i="22" s="1"/>
  <c r="O57" i="22" s="1"/>
  <c r="O58" i="22" s="1"/>
  <c r="O59" i="22" s="1"/>
  <c r="O60" i="22" s="1"/>
  <c r="O61" i="22" s="1"/>
  <c r="O62" i="22" s="1"/>
  <c r="O63" i="22" s="1"/>
  <c r="O64" i="22" s="1"/>
  <c r="O65" i="22" s="1"/>
  <c r="R45" i="22"/>
  <c r="S45" i="22" s="1"/>
  <c r="T45" i="22" s="1"/>
  <c r="U45" i="22" s="1"/>
  <c r="V45" i="22" s="1"/>
  <c r="W45" i="22" s="1"/>
  <c r="X45" i="22" s="1"/>
  <c r="Y45" i="22" s="1"/>
  <c r="Z45" i="22" s="1"/>
  <c r="AA45" i="22" s="1"/>
  <c r="AB45" i="22" s="1"/>
  <c r="AC45" i="22" s="1"/>
  <c r="AD45" i="22" s="1"/>
  <c r="AE45" i="22" s="1"/>
  <c r="AF45" i="22" s="1"/>
  <c r="AG45" i="22" s="1"/>
  <c r="AH45" i="22" s="1"/>
  <c r="AI45" i="22" s="1"/>
  <c r="E17" i="22"/>
  <c r="F17" i="22" s="1"/>
  <c r="G17" i="22" s="1"/>
  <c r="H17" i="22" s="1"/>
  <c r="FA36" i="22"/>
  <c r="EY36" i="22"/>
  <c r="EW36" i="22"/>
  <c r="EQ36" i="22"/>
  <c r="EO36" i="22"/>
  <c r="EM36" i="22"/>
  <c r="EG36" i="22"/>
  <c r="EE36" i="22"/>
  <c r="EC36" i="22"/>
  <c r="DW36" i="22"/>
  <c r="DU36" i="22"/>
  <c r="DS36" i="22"/>
  <c r="DM36" i="22"/>
  <c r="DK36" i="22"/>
  <c r="DI36" i="22"/>
  <c r="DC36" i="22"/>
  <c r="DA36" i="22"/>
  <c r="CY36" i="22"/>
  <c r="CS36" i="22"/>
  <c r="CQ36" i="22"/>
  <c r="CO36" i="22"/>
  <c r="CI36" i="22"/>
  <c r="CG36" i="22"/>
  <c r="CE36" i="22"/>
  <c r="BY36" i="22"/>
  <c r="BW36" i="22"/>
  <c r="BU36" i="22"/>
  <c r="BO36" i="22"/>
  <c r="BM36" i="22"/>
  <c r="BK36" i="22"/>
  <c r="BE36" i="22"/>
  <c r="BC36" i="22"/>
  <c r="BA36" i="22"/>
  <c r="FA35" i="22"/>
  <c r="EY35" i="22"/>
  <c r="EW35" i="22"/>
  <c r="EQ35" i="22"/>
  <c r="EO35" i="22"/>
  <c r="EM35" i="22"/>
  <c r="EG35" i="22"/>
  <c r="EE35" i="22"/>
  <c r="EC35" i="22"/>
  <c r="DW35" i="22"/>
  <c r="DU35" i="22"/>
  <c r="DS35" i="22"/>
  <c r="DM35" i="22"/>
  <c r="DK35" i="22"/>
  <c r="DI35" i="22"/>
  <c r="DC35" i="22"/>
  <c r="DA35" i="22"/>
  <c r="CY35" i="22"/>
  <c r="CS35" i="22"/>
  <c r="CQ35" i="22"/>
  <c r="CO35" i="22"/>
  <c r="CI35" i="22"/>
  <c r="CG35" i="22"/>
  <c r="CE35" i="22"/>
  <c r="BY35" i="22"/>
  <c r="BW35" i="22"/>
  <c r="BU35" i="22"/>
  <c r="BO35" i="22"/>
  <c r="BM35" i="22"/>
  <c r="BK35" i="22"/>
  <c r="BE35" i="22"/>
  <c r="BC35" i="22"/>
  <c r="BA35" i="22"/>
  <c r="FA34" i="22"/>
  <c r="EY34" i="22"/>
  <c r="EW34" i="22"/>
  <c r="EQ34" i="22"/>
  <c r="EO34" i="22"/>
  <c r="EM34" i="22"/>
  <c r="EG34" i="22"/>
  <c r="EE34" i="22"/>
  <c r="EC34" i="22"/>
  <c r="DW34" i="22"/>
  <c r="DU34" i="22"/>
  <c r="DS34" i="22"/>
  <c r="DM34" i="22"/>
  <c r="DK34" i="22"/>
  <c r="DI34" i="22"/>
  <c r="DC34" i="22"/>
  <c r="DA34" i="22"/>
  <c r="CY34" i="22"/>
  <c r="CS34" i="22"/>
  <c r="CQ34" i="22"/>
  <c r="CO34" i="22"/>
  <c r="CI34" i="22"/>
  <c r="CG34" i="22"/>
  <c r="CE34" i="22"/>
  <c r="BY34" i="22"/>
  <c r="BW34" i="22"/>
  <c r="BU34" i="22"/>
  <c r="BO34" i="22"/>
  <c r="BM34" i="22"/>
  <c r="BK34" i="22"/>
  <c r="BE34" i="22"/>
  <c r="BC34" i="22"/>
  <c r="BA34" i="22"/>
  <c r="FA33" i="22"/>
  <c r="EY33" i="22"/>
  <c r="EW33" i="22"/>
  <c r="EQ33" i="22"/>
  <c r="EO33" i="22"/>
  <c r="EM33" i="22"/>
  <c r="EG33" i="22"/>
  <c r="EE33" i="22"/>
  <c r="EC33" i="22"/>
  <c r="DW33" i="22"/>
  <c r="DU33" i="22"/>
  <c r="DS33" i="22"/>
  <c r="DM33" i="22"/>
  <c r="DK33" i="22"/>
  <c r="DI33" i="22"/>
  <c r="DC33" i="22"/>
  <c r="DA33" i="22"/>
  <c r="CY33" i="22"/>
  <c r="CS33" i="22"/>
  <c r="CQ33" i="22"/>
  <c r="CO33" i="22"/>
  <c r="CI33" i="22"/>
  <c r="CG33" i="22"/>
  <c r="CE33" i="22"/>
  <c r="BY33" i="22"/>
  <c r="BW33" i="22"/>
  <c r="BU33" i="22"/>
  <c r="BO33" i="22"/>
  <c r="BM33" i="22"/>
  <c r="BK33" i="22"/>
  <c r="BE33" i="22"/>
  <c r="BC33" i="22"/>
  <c r="BA33" i="22"/>
  <c r="FA32" i="22"/>
  <c r="EY32" i="22"/>
  <c r="EW32" i="22"/>
  <c r="EQ32" i="22"/>
  <c r="EO32" i="22"/>
  <c r="EM32" i="22"/>
  <c r="EG32" i="22"/>
  <c r="EE32" i="22"/>
  <c r="EC32" i="22"/>
  <c r="DW32" i="22"/>
  <c r="DU32" i="22"/>
  <c r="DS32" i="22"/>
  <c r="DM32" i="22"/>
  <c r="DK32" i="22"/>
  <c r="DI32" i="22"/>
  <c r="DC32" i="22"/>
  <c r="DA32" i="22"/>
  <c r="CY32" i="22"/>
  <c r="CS32" i="22"/>
  <c r="CQ32" i="22"/>
  <c r="CO32" i="22"/>
  <c r="CI32" i="22"/>
  <c r="CG32" i="22"/>
  <c r="CE32" i="22"/>
  <c r="BY32" i="22"/>
  <c r="BW32" i="22"/>
  <c r="BU32" i="22"/>
  <c r="BO32" i="22"/>
  <c r="BM32" i="22"/>
  <c r="BK32" i="22"/>
  <c r="BE32" i="22"/>
  <c r="BC32" i="22"/>
  <c r="BA32" i="22"/>
  <c r="FA31" i="22"/>
  <c r="EY31" i="22"/>
  <c r="EW31" i="22"/>
  <c r="EQ31" i="22"/>
  <c r="EO31" i="22"/>
  <c r="EM31" i="22"/>
  <c r="EG31" i="22"/>
  <c r="EE31" i="22"/>
  <c r="EC31" i="22"/>
  <c r="DW31" i="22"/>
  <c r="DU31" i="22"/>
  <c r="DS31" i="22"/>
  <c r="DM31" i="22"/>
  <c r="DK31" i="22"/>
  <c r="DI31" i="22"/>
  <c r="DC31" i="22"/>
  <c r="DA31" i="22"/>
  <c r="CY31" i="22"/>
  <c r="CS31" i="22"/>
  <c r="CQ31" i="22"/>
  <c r="CO31" i="22"/>
  <c r="CI31" i="22"/>
  <c r="CG31" i="22"/>
  <c r="CE31" i="22"/>
  <c r="BY31" i="22"/>
  <c r="BW31" i="22"/>
  <c r="BU31" i="22"/>
  <c r="BO31" i="22"/>
  <c r="BM31" i="22"/>
  <c r="BK31" i="22"/>
  <c r="BE31" i="22"/>
  <c r="BC31" i="22"/>
  <c r="BA31" i="22"/>
  <c r="FA30" i="22"/>
  <c r="EY30" i="22"/>
  <c r="EW30" i="22"/>
  <c r="EQ30" i="22"/>
  <c r="EO30" i="22"/>
  <c r="EM30" i="22"/>
  <c r="EG30" i="22"/>
  <c r="EE30" i="22"/>
  <c r="EC30" i="22"/>
  <c r="DW30" i="22"/>
  <c r="DU30" i="22"/>
  <c r="DS30" i="22"/>
  <c r="DM30" i="22"/>
  <c r="DK30" i="22"/>
  <c r="DI30" i="22"/>
  <c r="DC30" i="22"/>
  <c r="DA30" i="22"/>
  <c r="CY30" i="22"/>
  <c r="CS30" i="22"/>
  <c r="CQ30" i="22"/>
  <c r="CO30" i="22"/>
  <c r="CI30" i="22"/>
  <c r="CG30" i="22"/>
  <c r="CE30" i="22"/>
  <c r="BY30" i="22"/>
  <c r="BW30" i="22"/>
  <c r="BU30" i="22"/>
  <c r="BO30" i="22"/>
  <c r="BM30" i="22"/>
  <c r="BK30" i="22"/>
  <c r="BE30" i="22"/>
  <c r="BC30" i="22"/>
  <c r="BA30" i="22"/>
  <c r="FA29" i="22"/>
  <c r="EY29" i="22"/>
  <c r="EW29" i="22"/>
  <c r="EQ29" i="22"/>
  <c r="EO29" i="22"/>
  <c r="EM29" i="22"/>
  <c r="EG29" i="22"/>
  <c r="EE29" i="22"/>
  <c r="EC29" i="22"/>
  <c r="DW29" i="22"/>
  <c r="DU29" i="22"/>
  <c r="DS29" i="22"/>
  <c r="DM29" i="22"/>
  <c r="DK29" i="22"/>
  <c r="DI29" i="22"/>
  <c r="DC29" i="22"/>
  <c r="DA29" i="22"/>
  <c r="CY29" i="22"/>
  <c r="CS29" i="22"/>
  <c r="CQ29" i="22"/>
  <c r="CO29" i="22"/>
  <c r="CI29" i="22"/>
  <c r="CG29" i="22"/>
  <c r="CE29" i="22"/>
  <c r="BY29" i="22"/>
  <c r="BW29" i="22"/>
  <c r="BU29" i="22"/>
  <c r="BO29" i="22"/>
  <c r="BM29" i="22"/>
  <c r="BK29" i="22"/>
  <c r="BE29" i="22"/>
  <c r="BC29" i="22"/>
  <c r="BA29" i="22"/>
  <c r="FA28" i="22"/>
  <c r="EY28" i="22"/>
  <c r="EW28" i="22"/>
  <c r="EQ28" i="22"/>
  <c r="EO28" i="22"/>
  <c r="EM28" i="22"/>
  <c r="EG28" i="22"/>
  <c r="EE28" i="22"/>
  <c r="EC28" i="22"/>
  <c r="DW28" i="22"/>
  <c r="DU28" i="22"/>
  <c r="DS28" i="22"/>
  <c r="DM28" i="22"/>
  <c r="DK28" i="22"/>
  <c r="DI28" i="22"/>
  <c r="DC28" i="22"/>
  <c r="DA28" i="22"/>
  <c r="CY28" i="22"/>
  <c r="CS28" i="22"/>
  <c r="CQ28" i="22"/>
  <c r="CO28" i="22"/>
  <c r="CI28" i="22"/>
  <c r="CG28" i="22"/>
  <c r="CE28" i="22"/>
  <c r="BY28" i="22"/>
  <c r="BW28" i="22"/>
  <c r="BU28" i="22"/>
  <c r="BO28" i="22"/>
  <c r="BM28" i="22"/>
  <c r="BK28" i="22"/>
  <c r="BE28" i="22"/>
  <c r="BC28" i="22"/>
  <c r="BA28" i="22"/>
  <c r="FA27" i="22"/>
  <c r="EY27" i="22"/>
  <c r="EW27" i="22"/>
  <c r="EQ27" i="22"/>
  <c r="EO27" i="22"/>
  <c r="EM27" i="22"/>
  <c r="EG27" i="22"/>
  <c r="EE27" i="22"/>
  <c r="EC27" i="22"/>
  <c r="DW27" i="22"/>
  <c r="DU27" i="22"/>
  <c r="DS27" i="22"/>
  <c r="DM27" i="22"/>
  <c r="DK27" i="22"/>
  <c r="DI27" i="22"/>
  <c r="DC27" i="22"/>
  <c r="DA27" i="22"/>
  <c r="CY27" i="22"/>
  <c r="CS27" i="22"/>
  <c r="CQ27" i="22"/>
  <c r="CO27" i="22"/>
  <c r="CI27" i="22"/>
  <c r="CG27" i="22"/>
  <c r="CE27" i="22"/>
  <c r="BY27" i="22"/>
  <c r="BW27" i="22"/>
  <c r="BU27" i="22"/>
  <c r="BO27" i="22"/>
  <c r="BM27" i="22"/>
  <c r="BK27" i="22"/>
  <c r="BE27" i="22"/>
  <c r="BC27" i="22"/>
  <c r="BA27" i="22"/>
  <c r="FA26" i="22"/>
  <c r="EY26" i="22"/>
  <c r="EW26" i="22"/>
  <c r="EQ26" i="22"/>
  <c r="EO26" i="22"/>
  <c r="EM26" i="22"/>
  <c r="EG26" i="22"/>
  <c r="EE26" i="22"/>
  <c r="EC26" i="22"/>
  <c r="DW26" i="22"/>
  <c r="DU26" i="22"/>
  <c r="DS26" i="22"/>
  <c r="DM26" i="22"/>
  <c r="DK26" i="22"/>
  <c r="DI26" i="22"/>
  <c r="DC26" i="22"/>
  <c r="DA26" i="22"/>
  <c r="CY26" i="22"/>
  <c r="CS26" i="22"/>
  <c r="CQ26" i="22"/>
  <c r="CO26" i="22"/>
  <c r="CI26" i="22"/>
  <c r="CG26" i="22"/>
  <c r="CE26" i="22"/>
  <c r="BY26" i="22"/>
  <c r="BW26" i="22"/>
  <c r="BU26" i="22"/>
  <c r="BO26" i="22"/>
  <c r="BM26" i="22"/>
  <c r="BK26" i="22"/>
  <c r="BE26" i="22"/>
  <c r="BC26" i="22"/>
  <c r="BA26" i="22"/>
  <c r="FA25" i="22"/>
  <c r="EY25" i="22"/>
  <c r="EW25" i="22"/>
  <c r="EQ25" i="22"/>
  <c r="EO25" i="22"/>
  <c r="EM25" i="22"/>
  <c r="EG25" i="22"/>
  <c r="EE25" i="22"/>
  <c r="EC25" i="22"/>
  <c r="DW25" i="22"/>
  <c r="DU25" i="22"/>
  <c r="DS25" i="22"/>
  <c r="DM25" i="22"/>
  <c r="DK25" i="22"/>
  <c r="DI25" i="22"/>
  <c r="DC25" i="22"/>
  <c r="DA25" i="22"/>
  <c r="CY25" i="22"/>
  <c r="CS25" i="22"/>
  <c r="CQ25" i="22"/>
  <c r="CO25" i="22"/>
  <c r="CI25" i="22"/>
  <c r="CG25" i="22"/>
  <c r="CE25" i="22"/>
  <c r="BY25" i="22"/>
  <c r="BW25" i="22"/>
  <c r="BU25" i="22"/>
  <c r="BO25" i="22"/>
  <c r="BM25" i="22"/>
  <c r="BK25" i="22"/>
  <c r="BE25" i="22"/>
  <c r="BC25" i="22"/>
  <c r="BA25" i="22"/>
  <c r="FA24" i="22"/>
  <c r="EY24" i="22"/>
  <c r="EW24" i="22"/>
  <c r="EQ24" i="22"/>
  <c r="EO24" i="22"/>
  <c r="EM24" i="22"/>
  <c r="EG24" i="22"/>
  <c r="EE24" i="22"/>
  <c r="EC24" i="22"/>
  <c r="DW24" i="22"/>
  <c r="DU24" i="22"/>
  <c r="DS24" i="22"/>
  <c r="DM24" i="22"/>
  <c r="DK24" i="22"/>
  <c r="DI24" i="22"/>
  <c r="DC24" i="22"/>
  <c r="DA24" i="22"/>
  <c r="CY24" i="22"/>
  <c r="CS24" i="22"/>
  <c r="CQ24" i="22"/>
  <c r="CO24" i="22"/>
  <c r="CI24" i="22"/>
  <c r="CG24" i="22"/>
  <c r="CE24" i="22"/>
  <c r="BY24" i="22"/>
  <c r="BW24" i="22"/>
  <c r="BU24" i="22"/>
  <c r="BO24" i="22"/>
  <c r="BM24" i="22"/>
  <c r="BK24" i="22"/>
  <c r="BE24" i="22"/>
  <c r="BC24" i="22"/>
  <c r="BA24" i="22"/>
  <c r="FA23" i="22"/>
  <c r="EY23" i="22"/>
  <c r="EW23" i="22"/>
  <c r="EQ23" i="22"/>
  <c r="EO23" i="22"/>
  <c r="EM23" i="22"/>
  <c r="EG23" i="22"/>
  <c r="EE23" i="22"/>
  <c r="EC23" i="22"/>
  <c r="DW23" i="22"/>
  <c r="DU23" i="22"/>
  <c r="DS23" i="22"/>
  <c r="DM23" i="22"/>
  <c r="DK23" i="22"/>
  <c r="DI23" i="22"/>
  <c r="DC23" i="22"/>
  <c r="DA23" i="22"/>
  <c r="CY23" i="22"/>
  <c r="CS23" i="22"/>
  <c r="CQ23" i="22"/>
  <c r="CO23" i="22"/>
  <c r="CI23" i="22"/>
  <c r="CG23" i="22"/>
  <c r="CE23" i="22"/>
  <c r="BY23" i="22"/>
  <c r="BW23" i="22"/>
  <c r="BU23" i="22"/>
  <c r="BO23" i="22"/>
  <c r="BM23" i="22"/>
  <c r="BK23" i="22"/>
  <c r="BE23" i="22"/>
  <c r="BC23" i="22"/>
  <c r="BA23" i="22"/>
  <c r="AW23" i="22"/>
  <c r="AW24" i="22" s="1"/>
  <c r="AW25" i="22" s="1"/>
  <c r="AW26" i="22" s="1"/>
  <c r="AW27" i="22" s="1"/>
  <c r="AW28" i="22" s="1"/>
  <c r="AW29" i="22" s="1"/>
  <c r="AW30" i="22" s="1"/>
  <c r="AW31" i="22" s="1"/>
  <c r="AW32" i="22" s="1"/>
  <c r="AW33" i="22" s="1"/>
  <c r="AW34" i="22" s="1"/>
  <c r="AW35" i="22" s="1"/>
  <c r="AW36" i="22" s="1"/>
  <c r="AW37" i="22" s="1"/>
  <c r="AW38" i="22" s="1"/>
  <c r="AW39" i="22" s="1"/>
  <c r="AW40" i="22" s="1"/>
  <c r="AU24" i="22"/>
  <c r="AV22" i="22"/>
  <c r="AY21" i="22"/>
  <c r="AZ21" i="22" s="1"/>
  <c r="BA21" i="22" s="1"/>
  <c r="BB21" i="22" s="1"/>
  <c r="BC21" i="22" s="1"/>
  <c r="BD21" i="22" s="1"/>
  <c r="BE21" i="22" s="1"/>
  <c r="BF21" i="22" s="1"/>
  <c r="BG21" i="22" s="1"/>
  <c r="BH21" i="22" s="1"/>
  <c r="BI21" i="22" s="1"/>
  <c r="BJ21" i="22" s="1"/>
  <c r="BK21" i="22" s="1"/>
  <c r="BL21" i="22" s="1"/>
  <c r="BM21" i="22" s="1"/>
  <c r="BN21" i="22" s="1"/>
  <c r="BO21" i="22" s="1"/>
  <c r="BP21" i="22" s="1"/>
  <c r="BQ21" i="22" s="1"/>
  <c r="BR21" i="22" s="1"/>
  <c r="BS21" i="22" s="1"/>
  <c r="BT21" i="22" s="1"/>
  <c r="BU21" i="22" s="1"/>
  <c r="BV21" i="22" s="1"/>
  <c r="BW21" i="22" s="1"/>
  <c r="BX21" i="22" s="1"/>
  <c r="BY21" i="22" s="1"/>
  <c r="BZ21" i="22" s="1"/>
  <c r="CA21" i="22" s="1"/>
  <c r="CB21" i="22" s="1"/>
  <c r="CC21" i="22" s="1"/>
  <c r="CD21" i="22" s="1"/>
  <c r="CE21" i="22" s="1"/>
  <c r="CF21" i="22" s="1"/>
  <c r="CG21" i="22" s="1"/>
  <c r="CH21" i="22" s="1"/>
  <c r="CI21" i="22" s="1"/>
  <c r="CJ21" i="22" s="1"/>
  <c r="CK21" i="22" s="1"/>
  <c r="CL21" i="22" s="1"/>
  <c r="CM21" i="22" s="1"/>
  <c r="CN21" i="22" s="1"/>
  <c r="CO21" i="22" s="1"/>
  <c r="CP21" i="22" s="1"/>
  <c r="CQ21" i="22" s="1"/>
  <c r="CR21" i="22" s="1"/>
  <c r="CS21" i="22" s="1"/>
  <c r="CT21" i="22" s="1"/>
  <c r="CU21" i="22" s="1"/>
  <c r="CV21" i="22" s="1"/>
  <c r="CW21" i="22" s="1"/>
  <c r="CX21" i="22" s="1"/>
  <c r="CY21" i="22" s="1"/>
  <c r="CZ21" i="22" s="1"/>
  <c r="DA21" i="22" s="1"/>
  <c r="DB21" i="22" s="1"/>
  <c r="DC21" i="22" s="1"/>
  <c r="DD21" i="22" s="1"/>
  <c r="DE21" i="22" s="1"/>
  <c r="DF21" i="22" s="1"/>
  <c r="DG21" i="22" s="1"/>
  <c r="DH21" i="22" s="1"/>
  <c r="DI21" i="22" s="1"/>
  <c r="DJ21" i="22" s="1"/>
  <c r="DK21" i="22" s="1"/>
  <c r="DL21" i="22" s="1"/>
  <c r="DM21" i="22" s="1"/>
  <c r="DN21" i="22" s="1"/>
  <c r="DO21" i="22" s="1"/>
  <c r="DP21" i="22" s="1"/>
  <c r="DQ21" i="22" s="1"/>
  <c r="DR21" i="22" s="1"/>
  <c r="DS21" i="22" s="1"/>
  <c r="DT21" i="22" s="1"/>
  <c r="DU21" i="22" s="1"/>
  <c r="DV21" i="22" s="1"/>
  <c r="DW21" i="22" s="1"/>
  <c r="DX21" i="22" s="1"/>
  <c r="DY21" i="22" s="1"/>
  <c r="DZ21" i="22" s="1"/>
  <c r="EA21" i="22" s="1"/>
  <c r="EB21" i="22" s="1"/>
  <c r="EC21" i="22" s="1"/>
  <c r="ED21" i="22" s="1"/>
  <c r="EE21" i="22" s="1"/>
  <c r="EF21" i="22" s="1"/>
  <c r="EG21" i="22" s="1"/>
  <c r="EH21" i="22" s="1"/>
  <c r="EI21" i="22" s="1"/>
  <c r="EJ21" i="22" s="1"/>
  <c r="EK21" i="22" s="1"/>
  <c r="EL21" i="22" s="1"/>
  <c r="EM21" i="22" s="1"/>
  <c r="EN21" i="22" s="1"/>
  <c r="EO21" i="22" s="1"/>
  <c r="EP21" i="22" s="1"/>
  <c r="EQ21" i="22" s="1"/>
  <c r="ER21" i="22" s="1"/>
  <c r="ES21" i="22" s="1"/>
  <c r="ET21" i="22" s="1"/>
  <c r="EU21" i="22" s="1"/>
  <c r="EV21" i="22" s="1"/>
  <c r="EW21" i="22" s="1"/>
  <c r="EX21" i="22" s="1"/>
  <c r="EY21" i="22" s="1"/>
  <c r="EZ21" i="22" s="1"/>
  <c r="FA21" i="22" s="1"/>
  <c r="FB21" i="22" s="1"/>
  <c r="FC21" i="22" s="1"/>
  <c r="FD21" i="22" s="1"/>
  <c r="FE21" i="22" s="1"/>
  <c r="FF21" i="22" s="1"/>
  <c r="FG21" i="22" s="1"/>
  <c r="FH21" i="22" s="1"/>
  <c r="FI21" i="22" s="1"/>
  <c r="FJ21" i="22" s="1"/>
  <c r="FK21" i="22" s="1"/>
  <c r="FL21" i="22" s="1"/>
  <c r="FM21" i="22" s="1"/>
  <c r="FN21" i="22" s="1"/>
  <c r="FO21" i="22" s="1"/>
  <c r="FP21" i="22" s="1"/>
  <c r="FQ21" i="22" s="1"/>
  <c r="FR21" i="22" s="1"/>
  <c r="FS21" i="22" s="1"/>
  <c r="FT21" i="22" s="1"/>
  <c r="FU21" i="22" s="1"/>
  <c r="FV21" i="22" s="1"/>
  <c r="FW21" i="22" s="1"/>
  <c r="FX21" i="22" s="1"/>
  <c r="FY21" i="22" s="1"/>
  <c r="FZ21" i="22" s="1"/>
  <c r="GA21" i="22" s="1"/>
  <c r="GB21" i="22" s="1"/>
  <c r="GC21" i="22" s="1"/>
  <c r="GD21" i="22" s="1"/>
  <c r="GE21" i="22" s="1"/>
  <c r="GF21" i="22" s="1"/>
  <c r="GG21" i="22" s="1"/>
  <c r="GH21" i="22" s="1"/>
  <c r="GI21" i="22" s="1"/>
  <c r="GJ21" i="22" s="1"/>
  <c r="GK21" i="22" s="1"/>
  <c r="GL21" i="22" s="1"/>
  <c r="GM21" i="22" s="1"/>
  <c r="GN21" i="22" s="1"/>
  <c r="GO21" i="22" s="1"/>
  <c r="GP21" i="22" s="1"/>
  <c r="GQ21" i="22" s="1"/>
  <c r="GR21" i="22" s="1"/>
  <c r="GS21" i="22" s="1"/>
  <c r="GT21" i="22" s="1"/>
  <c r="GU21" i="22" s="1"/>
  <c r="GV21" i="22" s="1"/>
  <c r="GW21" i="22" s="1"/>
  <c r="GX21" i="22" s="1"/>
  <c r="GY21" i="22" s="1"/>
  <c r="GZ21" i="22" s="1"/>
  <c r="HA21" i="22" s="1"/>
  <c r="HB21" i="22" s="1"/>
  <c r="HC21" i="22" s="1"/>
  <c r="HD21" i="22" s="1"/>
  <c r="HE21" i="22" s="1"/>
  <c r="HF21" i="22" s="1"/>
  <c r="HG21" i="22" s="1"/>
  <c r="HH21" i="22" s="1"/>
  <c r="HI21" i="22" s="1"/>
  <c r="HJ21" i="22" s="1"/>
  <c r="HK21" i="22" s="1"/>
  <c r="HL21" i="22" s="1"/>
  <c r="HM21" i="22" s="1"/>
  <c r="HN21" i="22" s="1"/>
  <c r="HO21" i="22" s="1"/>
  <c r="HP21" i="22" s="1"/>
  <c r="HQ21" i="22" s="1"/>
  <c r="HR21" i="22" s="1"/>
  <c r="HS21" i="22" s="1"/>
  <c r="HT21" i="22" s="1"/>
  <c r="HU21" i="22" s="1"/>
  <c r="HV21" i="22" s="1"/>
  <c r="HW21" i="22" s="1"/>
  <c r="BH20" i="22"/>
  <c r="AY20" i="22"/>
  <c r="O11" i="22"/>
  <c r="O10" i="22"/>
  <c r="O9" i="22"/>
  <c r="O8" i="22"/>
  <c r="O7" i="22"/>
  <c r="O6" i="22"/>
  <c r="C6" i="22"/>
  <c r="O5" i="22"/>
  <c r="O4" i="22"/>
  <c r="C3" i="22"/>
  <c r="D3" i="22" s="1"/>
  <c r="H12" i="2"/>
  <c r="H13" i="2"/>
  <c r="H14" i="2"/>
  <c r="J3" i="26" l="1"/>
  <c r="P13" i="26" s="1"/>
  <c r="J3" i="25"/>
  <c r="P13" i="25" s="1"/>
  <c r="J3" i="23"/>
  <c r="J4" i="23" s="1"/>
  <c r="P14" i="23" s="1"/>
  <c r="CJ29" i="23"/>
  <c r="EH29" i="23"/>
  <c r="BG31" i="23"/>
  <c r="AX31" i="23" s="1"/>
  <c r="AY31" i="23" s="1"/>
  <c r="CT36" i="23"/>
  <c r="E19" i="23"/>
  <c r="FB36" i="26"/>
  <c r="CT30" i="23"/>
  <c r="BG29" i="23"/>
  <c r="AX29" i="23" s="1"/>
  <c r="AY29" i="23" s="1"/>
  <c r="DD29" i="23"/>
  <c r="J3" i="22"/>
  <c r="J3" i="24"/>
  <c r="P83" i="22"/>
  <c r="P85" i="22" s="1"/>
  <c r="AB76" i="22" s="1"/>
  <c r="P76" i="22"/>
  <c r="P78" i="22" s="1"/>
  <c r="AB75" i="22" s="1"/>
  <c r="P83" i="26"/>
  <c r="P85" i="26" s="1"/>
  <c r="AB76" i="26" s="1"/>
  <c r="P76" i="26"/>
  <c r="P78" i="26" s="1"/>
  <c r="AB75" i="26" s="1"/>
  <c r="P76" i="24"/>
  <c r="P78" i="24" s="1"/>
  <c r="AB75" i="24" s="1"/>
  <c r="P83" i="24"/>
  <c r="P85" i="24" s="1"/>
  <c r="AB76" i="24" s="1"/>
  <c r="P83" i="23"/>
  <c r="P85" i="23" s="1"/>
  <c r="AB76" i="23" s="1"/>
  <c r="P76" i="23"/>
  <c r="P78" i="23" s="1"/>
  <c r="AB75" i="23" s="1"/>
  <c r="P76" i="25"/>
  <c r="P78" i="25" s="1"/>
  <c r="AB75" i="25" s="1"/>
  <c r="P83" i="25"/>
  <c r="P85" i="25" s="1"/>
  <c r="AB76" i="25" s="1"/>
  <c r="W5" i="24"/>
  <c r="W5" i="26"/>
  <c r="W5" i="23"/>
  <c r="W5" i="25"/>
  <c r="BF28" i="26"/>
  <c r="CT28" i="26"/>
  <c r="BP31" i="26"/>
  <c r="ER31" i="26"/>
  <c r="BP29" i="26"/>
  <c r="DD29" i="26"/>
  <c r="CT35" i="26"/>
  <c r="CB20" i="26"/>
  <c r="BS20" i="26"/>
  <c r="Z49" i="26"/>
  <c r="AA49" i="26" s="1"/>
  <c r="EH34" i="26"/>
  <c r="EH31" i="26"/>
  <c r="ER29" i="26"/>
  <c r="DD36" i="26"/>
  <c r="BZ31" i="25"/>
  <c r="BZ35" i="25"/>
  <c r="BG24" i="25"/>
  <c r="AX24" i="25" s="1"/>
  <c r="DD25" i="25"/>
  <c r="FB26" i="25"/>
  <c r="BG28" i="25"/>
  <c r="AX28" i="25" s="1"/>
  <c r="DD29" i="25"/>
  <c r="DN30" i="25"/>
  <c r="FB30" i="25"/>
  <c r="BG32" i="25"/>
  <c r="AX32" i="25" s="1"/>
  <c r="DD33" i="25"/>
  <c r="DN34" i="25"/>
  <c r="FB34" i="25"/>
  <c r="BG36" i="25"/>
  <c r="DN23" i="25"/>
  <c r="DD24" i="25"/>
  <c r="FB25" i="25"/>
  <c r="BG27" i="25"/>
  <c r="AX27" i="25" s="1"/>
  <c r="BZ27" i="25"/>
  <c r="DD28" i="25"/>
  <c r="FB29" i="25"/>
  <c r="BG31" i="25"/>
  <c r="AX31" i="25" s="1"/>
  <c r="DD32" i="25"/>
  <c r="FB33" i="25"/>
  <c r="BG35" i="25"/>
  <c r="AX35" i="25" s="1"/>
  <c r="DD36" i="25"/>
  <c r="BZ24" i="25"/>
  <c r="DN25" i="25"/>
  <c r="BZ28" i="25"/>
  <c r="DN29" i="25"/>
  <c r="BZ32" i="25"/>
  <c r="DN33" i="25"/>
  <c r="BZ36" i="25"/>
  <c r="DD23" i="25"/>
  <c r="BZ25" i="25"/>
  <c r="DD26" i="25"/>
  <c r="DN26" i="25"/>
  <c r="DN27" i="25"/>
  <c r="FB27" i="25"/>
  <c r="BG29" i="25"/>
  <c r="AX29" i="25" s="1"/>
  <c r="AY29" i="25" s="1"/>
  <c r="BZ29" i="25"/>
  <c r="DD30" i="25"/>
  <c r="DN31" i="25"/>
  <c r="FB31" i="25"/>
  <c r="BG33" i="25"/>
  <c r="AX33" i="25" s="1"/>
  <c r="BZ33" i="25"/>
  <c r="DD34" i="25"/>
  <c r="DN35" i="25"/>
  <c r="FB35" i="25"/>
  <c r="BR20" i="25"/>
  <c r="CA22" i="25" s="1"/>
  <c r="BS22" i="25" s="1"/>
  <c r="BQ22" i="25"/>
  <c r="BI22" i="25" s="1"/>
  <c r="BZ23" i="25"/>
  <c r="DN24" i="25"/>
  <c r="BG26" i="25"/>
  <c r="AX26" i="25" s="1"/>
  <c r="AY26" i="25" s="1"/>
  <c r="BZ26" i="25"/>
  <c r="DD27" i="25"/>
  <c r="DN28" i="25"/>
  <c r="FB28" i="25"/>
  <c r="BG30" i="25"/>
  <c r="AX30" i="25" s="1"/>
  <c r="BZ30" i="25"/>
  <c r="DD31" i="25"/>
  <c r="DN32" i="25"/>
  <c r="FB32" i="25"/>
  <c r="BG34" i="25"/>
  <c r="AX34" i="25" s="1"/>
  <c r="AY34" i="25" s="1"/>
  <c r="BZ34" i="25"/>
  <c r="DD35" i="25"/>
  <c r="DN36" i="25"/>
  <c r="F17" i="25"/>
  <c r="F19" i="25" s="1"/>
  <c r="EH31" i="24"/>
  <c r="BI20" i="24"/>
  <c r="BZ24" i="24"/>
  <c r="BZ28" i="24"/>
  <c r="DN28" i="24"/>
  <c r="BG30" i="24"/>
  <c r="AX30" i="24" s="1"/>
  <c r="DD31" i="24"/>
  <c r="BZ33" i="24"/>
  <c r="CT23" i="24"/>
  <c r="FB31" i="24"/>
  <c r="BG33" i="24"/>
  <c r="AX33" i="24" s="1"/>
  <c r="AY33" i="24" s="1"/>
  <c r="CT33" i="24"/>
  <c r="CT27" i="23"/>
  <c r="BF24" i="23"/>
  <c r="BP27" i="23"/>
  <c r="CT35" i="23"/>
  <c r="CT33" i="23"/>
  <c r="BP35" i="23"/>
  <c r="CT31" i="23"/>
  <c r="CT24" i="23"/>
  <c r="CJ27" i="23"/>
  <c r="EH27" i="23"/>
  <c r="CJ35" i="23"/>
  <c r="EH35" i="23"/>
  <c r="CJ26" i="23"/>
  <c r="BG27" i="23"/>
  <c r="AX27" i="23" s="1"/>
  <c r="DD27" i="23"/>
  <c r="BP33" i="23"/>
  <c r="CJ33" i="23"/>
  <c r="EH33" i="23"/>
  <c r="CT34" i="23"/>
  <c r="BG35" i="23"/>
  <c r="AX35" i="23" s="1"/>
  <c r="AY35" i="23" s="1"/>
  <c r="DD35" i="23"/>
  <c r="BP31" i="23"/>
  <c r="CJ31" i="23"/>
  <c r="EH31" i="23"/>
  <c r="CT32" i="23"/>
  <c r="BG33" i="23"/>
  <c r="AX33" i="23" s="1"/>
  <c r="AY33" i="23" s="1"/>
  <c r="DD33" i="23"/>
  <c r="F19" i="23"/>
  <c r="G17" i="23"/>
  <c r="G19" i="23" s="1"/>
  <c r="BF26" i="23"/>
  <c r="CT26" i="23"/>
  <c r="BQ22" i="23"/>
  <c r="BI22" i="23" s="1"/>
  <c r="BQ23" i="23"/>
  <c r="BH23" i="23" s="1"/>
  <c r="BI23" i="23" s="1"/>
  <c r="BR20" i="23"/>
  <c r="DD25" i="23"/>
  <c r="DN25" i="23"/>
  <c r="ER25" i="23"/>
  <c r="BP28" i="23"/>
  <c r="CJ28" i="23"/>
  <c r="DN28" i="23"/>
  <c r="EH28" i="23"/>
  <c r="FB28" i="23"/>
  <c r="BP30" i="23"/>
  <c r="CJ30" i="23"/>
  <c r="DN30" i="23"/>
  <c r="EH30" i="23"/>
  <c r="FB30" i="23"/>
  <c r="BP32" i="23"/>
  <c r="CJ32" i="23"/>
  <c r="DN32" i="23"/>
  <c r="EH32" i="23"/>
  <c r="FB32" i="23"/>
  <c r="BP34" i="23"/>
  <c r="CJ34" i="23"/>
  <c r="DN34" i="23"/>
  <c r="EH34" i="23"/>
  <c r="FB34" i="23"/>
  <c r="BP36" i="23"/>
  <c r="CJ36" i="23"/>
  <c r="DN36" i="23"/>
  <c r="EH36" i="23"/>
  <c r="BZ25" i="23"/>
  <c r="BG28" i="23"/>
  <c r="AX28" i="23" s="1"/>
  <c r="AY28" i="23" s="1"/>
  <c r="DD28" i="23"/>
  <c r="BG30" i="23"/>
  <c r="AX30" i="23" s="1"/>
  <c r="AY30" i="23" s="1"/>
  <c r="DD30" i="23"/>
  <c r="BG32" i="23"/>
  <c r="AX32" i="23" s="1"/>
  <c r="AY32" i="23" s="1"/>
  <c r="DD32" i="23"/>
  <c r="BG34" i="23"/>
  <c r="AX34" i="23" s="1"/>
  <c r="AY34" i="23" s="1"/>
  <c r="DD34" i="23"/>
  <c r="BG36" i="23"/>
  <c r="AX36" i="23" s="1"/>
  <c r="AY36" i="23" s="1"/>
  <c r="DD36" i="23"/>
  <c r="ER36" i="23"/>
  <c r="BG26" i="22"/>
  <c r="DD27" i="22"/>
  <c r="BZ28" i="22"/>
  <c r="BG30" i="22"/>
  <c r="AX30" i="22" s="1"/>
  <c r="AY30" i="22" s="1"/>
  <c r="CJ33" i="22"/>
  <c r="BG34" i="22"/>
  <c r="BF31" i="26"/>
  <c r="CT25" i="26"/>
  <c r="DD25" i="26"/>
  <c r="BP26" i="26"/>
  <c r="BZ27" i="26"/>
  <c r="DN27" i="26"/>
  <c r="DX28" i="26"/>
  <c r="BP30" i="26"/>
  <c r="DD30" i="26"/>
  <c r="ER30" i="26"/>
  <c r="EQ32" i="26"/>
  <c r="ER32" i="26" s="1"/>
  <c r="CJ34" i="26"/>
  <c r="BP34" i="26"/>
  <c r="DD34" i="26"/>
  <c r="BF23" i="25"/>
  <c r="FB23" i="25"/>
  <c r="FB24" i="25"/>
  <c r="BF31" i="25"/>
  <c r="CJ23" i="25"/>
  <c r="CT23" i="25"/>
  <c r="CJ24" i="25"/>
  <c r="CT24" i="25"/>
  <c r="CJ25" i="25"/>
  <c r="CT25" i="25"/>
  <c r="CJ26" i="25"/>
  <c r="CT26" i="25"/>
  <c r="CJ27" i="25"/>
  <c r="CT27" i="25"/>
  <c r="CJ28" i="25"/>
  <c r="CT28" i="25"/>
  <c r="CJ29" i="25"/>
  <c r="CT29" i="25"/>
  <c r="CJ30" i="25"/>
  <c r="CT30" i="25"/>
  <c r="CJ31" i="25"/>
  <c r="CT31" i="25"/>
  <c r="CJ32" i="25"/>
  <c r="CT32" i="25"/>
  <c r="CJ33" i="25"/>
  <c r="CT33" i="25"/>
  <c r="CJ34" i="25"/>
  <c r="CT34" i="25"/>
  <c r="CJ35" i="25"/>
  <c r="CT35" i="25"/>
  <c r="CT36" i="25"/>
  <c r="BF24" i="25"/>
  <c r="BF25" i="25"/>
  <c r="BF26" i="25"/>
  <c r="BF27" i="25"/>
  <c r="BF28" i="25"/>
  <c r="BF29" i="25"/>
  <c r="BF30" i="25"/>
  <c r="BF32" i="25"/>
  <c r="BF33" i="25"/>
  <c r="BF34" i="25"/>
  <c r="BF35" i="25"/>
  <c r="BF36" i="25"/>
  <c r="FB36" i="25"/>
  <c r="BP23" i="25"/>
  <c r="BP24" i="25"/>
  <c r="DX25" i="25"/>
  <c r="EH25" i="25"/>
  <c r="BP26" i="25"/>
  <c r="DX26" i="25"/>
  <c r="EH26" i="25"/>
  <c r="BP27" i="25"/>
  <c r="BP28" i="25"/>
  <c r="EH28" i="25"/>
  <c r="BP29" i="25"/>
  <c r="EH29" i="25"/>
  <c r="BP30" i="25"/>
  <c r="EH30" i="25"/>
  <c r="BP31" i="25"/>
  <c r="EH31" i="25"/>
  <c r="BP32" i="25"/>
  <c r="EH32" i="25"/>
  <c r="BP33" i="25"/>
  <c r="EH33" i="25"/>
  <c r="BP34" i="25"/>
  <c r="EH34" i="25"/>
  <c r="BP35" i="25"/>
  <c r="EH35" i="25"/>
  <c r="BP36" i="25"/>
  <c r="EH36" i="25"/>
  <c r="DN23" i="24"/>
  <c r="DD28" i="24"/>
  <c r="BZ29" i="24"/>
  <c r="DN29" i="24"/>
  <c r="BG31" i="24"/>
  <c r="AX31" i="24" s="1"/>
  <c r="AY31" i="24" s="1"/>
  <c r="CT31" i="24"/>
  <c r="BF34" i="24"/>
  <c r="CT34" i="24"/>
  <c r="EH34" i="24"/>
  <c r="DD35" i="24"/>
  <c r="DN35" i="24"/>
  <c r="BZ36" i="24"/>
  <c r="DN36" i="24"/>
  <c r="BG24" i="24"/>
  <c r="AX24" i="24" s="1"/>
  <c r="D21" i="24" s="1"/>
  <c r="CT25" i="24"/>
  <c r="DN27" i="24"/>
  <c r="CT29" i="24"/>
  <c r="CT32" i="24"/>
  <c r="FB34" i="24"/>
  <c r="DN25" i="24"/>
  <c r="CT27" i="24"/>
  <c r="DD36" i="24"/>
  <c r="DX27" i="23"/>
  <c r="DX29" i="23"/>
  <c r="DX33" i="23"/>
  <c r="DX35" i="23"/>
  <c r="CJ25" i="23"/>
  <c r="BP26" i="23"/>
  <c r="DD26" i="23"/>
  <c r="ER30" i="23"/>
  <c r="BZ24" i="23"/>
  <c r="EH24" i="23"/>
  <c r="BF25" i="23"/>
  <c r="FB25" i="23"/>
  <c r="DX28" i="23"/>
  <c r="DX30" i="23"/>
  <c r="DX31" i="23"/>
  <c r="DX32" i="23"/>
  <c r="DX34" i="23"/>
  <c r="DX36" i="23"/>
  <c r="DN24" i="23"/>
  <c r="FB24" i="23"/>
  <c r="CT25" i="23"/>
  <c r="BZ26" i="23"/>
  <c r="DN26" i="23"/>
  <c r="ER26" i="23"/>
  <c r="ER27" i="23"/>
  <c r="ER28" i="23"/>
  <c r="ER29" i="23"/>
  <c r="CJ24" i="23"/>
  <c r="EH25" i="23"/>
  <c r="BG26" i="23"/>
  <c r="AX26" i="23" s="1"/>
  <c r="AY26" i="23" s="1"/>
  <c r="BF27" i="23"/>
  <c r="BF28" i="23"/>
  <c r="BZ28" i="23"/>
  <c r="BF29" i="23"/>
  <c r="BF30" i="23"/>
  <c r="BZ30" i="23"/>
  <c r="BF31" i="23"/>
  <c r="BF32" i="23"/>
  <c r="BZ32" i="23"/>
  <c r="BF33" i="23"/>
  <c r="BF34" i="23"/>
  <c r="BZ34" i="23"/>
  <c r="BF35" i="23"/>
  <c r="BF36" i="23"/>
  <c r="BZ36" i="23"/>
  <c r="CJ26" i="22"/>
  <c r="DX26" i="22"/>
  <c r="CT27" i="22"/>
  <c r="CT25" i="22"/>
  <c r="BG24" i="22"/>
  <c r="AX24" i="22" s="1"/>
  <c r="EH24" i="22"/>
  <c r="BP25" i="22"/>
  <c r="BG29" i="22"/>
  <c r="AX29" i="22" s="1"/>
  <c r="AY29" i="22" s="1"/>
  <c r="BG33" i="22"/>
  <c r="CT33" i="22"/>
  <c r="EH33" i="22"/>
  <c r="BP34" i="22"/>
  <c r="DD34" i="22"/>
  <c r="DX34" i="22"/>
  <c r="EH35" i="26"/>
  <c r="EH36" i="26"/>
  <c r="ER27" i="26"/>
  <c r="FB24" i="26"/>
  <c r="FB34" i="26"/>
  <c r="FB23" i="26"/>
  <c r="DD26" i="26"/>
  <c r="EH28" i="26"/>
  <c r="DD31" i="26"/>
  <c r="BF35" i="26"/>
  <c r="BP24" i="26"/>
  <c r="ER24" i="26"/>
  <c r="FB25" i="26"/>
  <c r="EH27" i="26"/>
  <c r="BF30" i="26"/>
  <c r="CT30" i="26"/>
  <c r="EH30" i="26"/>
  <c r="CJ31" i="26"/>
  <c r="CT31" i="26"/>
  <c r="CT34" i="26"/>
  <c r="CJ35" i="26"/>
  <c r="CT36" i="26"/>
  <c r="ER36" i="26"/>
  <c r="CT24" i="26"/>
  <c r="DD24" i="26"/>
  <c r="BP25" i="26"/>
  <c r="BF33" i="26"/>
  <c r="BZ33" i="26"/>
  <c r="CT33" i="26"/>
  <c r="DN33" i="26"/>
  <c r="EH33" i="26"/>
  <c r="FB33" i="26"/>
  <c r="DD35" i="26"/>
  <c r="FB35" i="26"/>
  <c r="BF36" i="26"/>
  <c r="CT26" i="26"/>
  <c r="EH23" i="26"/>
  <c r="CJ24" i="26"/>
  <c r="EH24" i="26"/>
  <c r="CJ25" i="26"/>
  <c r="EH25" i="26"/>
  <c r="CJ26" i="26"/>
  <c r="EH26" i="26"/>
  <c r="BP28" i="26"/>
  <c r="BG31" i="26"/>
  <c r="AX31" i="26" s="1"/>
  <c r="CJ32" i="26"/>
  <c r="DX32" i="26"/>
  <c r="BP33" i="26"/>
  <c r="DD33" i="26"/>
  <c r="ER33" i="26"/>
  <c r="BF34" i="26"/>
  <c r="ER34" i="26"/>
  <c r="ER35" i="26"/>
  <c r="DX26" i="26"/>
  <c r="ER26" i="26"/>
  <c r="BG27" i="26"/>
  <c r="AX27" i="26" s="1"/>
  <c r="AY27" i="26" s="1"/>
  <c r="CT27" i="26"/>
  <c r="DD28" i="26"/>
  <c r="BG30" i="26"/>
  <c r="AX30" i="26" s="1"/>
  <c r="AY30" i="26" s="1"/>
  <c r="DX31" i="26"/>
  <c r="BF32" i="26"/>
  <c r="BZ32" i="26"/>
  <c r="CT32" i="26"/>
  <c r="DN32" i="26"/>
  <c r="EH32" i="26"/>
  <c r="BZ34" i="26"/>
  <c r="BZ35" i="26"/>
  <c r="BZ36" i="26"/>
  <c r="CJ36" i="26"/>
  <c r="BP23" i="26"/>
  <c r="CJ23" i="26"/>
  <c r="DD23" i="26"/>
  <c r="BZ24" i="26"/>
  <c r="DX24" i="26"/>
  <c r="BZ25" i="26"/>
  <c r="DX25" i="26"/>
  <c r="BZ26" i="26"/>
  <c r="BZ23" i="26"/>
  <c r="DN23" i="26"/>
  <c r="BG24" i="26"/>
  <c r="AX24" i="26" s="1"/>
  <c r="AY24" i="26" s="1"/>
  <c r="DN24" i="26"/>
  <c r="BG25" i="26"/>
  <c r="AX25" i="26" s="1"/>
  <c r="AY25" i="26" s="1"/>
  <c r="DN25" i="26"/>
  <c r="BG26" i="26"/>
  <c r="AX26" i="26" s="1"/>
  <c r="AY26" i="26" s="1"/>
  <c r="DN26" i="26"/>
  <c r="FB26" i="26"/>
  <c r="BP27" i="26"/>
  <c r="CJ27" i="26"/>
  <c r="DD27" i="26"/>
  <c r="DX27" i="26"/>
  <c r="CJ28" i="26"/>
  <c r="ER28" i="26"/>
  <c r="BF29" i="26"/>
  <c r="BZ29" i="26"/>
  <c r="CT29" i="26"/>
  <c r="DN29" i="26"/>
  <c r="EH29" i="26"/>
  <c r="FB29" i="26"/>
  <c r="BP32" i="26"/>
  <c r="DD32" i="26"/>
  <c r="FB32" i="26"/>
  <c r="BG34" i="26"/>
  <c r="AX34" i="26" s="1"/>
  <c r="AY34" i="26" s="1"/>
  <c r="DX34" i="26"/>
  <c r="BG35" i="26"/>
  <c r="AX35" i="26" s="1"/>
  <c r="AY35" i="26" s="1"/>
  <c r="BP35" i="26"/>
  <c r="DN35" i="26"/>
  <c r="DX35" i="26"/>
  <c r="BG36" i="26"/>
  <c r="AX36" i="26" s="1"/>
  <c r="AY36" i="26" s="1"/>
  <c r="BP36" i="26"/>
  <c r="DN36" i="26"/>
  <c r="DX36" i="26"/>
  <c r="ER23" i="25"/>
  <c r="ER24" i="25"/>
  <c r="ER25" i="25"/>
  <c r="ER26" i="25"/>
  <c r="ER27" i="25"/>
  <c r="ER28" i="25"/>
  <c r="ER29" i="25"/>
  <c r="ER30" i="25"/>
  <c r="ER31" i="25"/>
  <c r="ER32" i="25"/>
  <c r="ER33" i="25"/>
  <c r="ER34" i="25"/>
  <c r="ER35" i="25"/>
  <c r="ER36" i="25"/>
  <c r="EH23" i="25"/>
  <c r="EH24" i="25"/>
  <c r="EH27" i="25"/>
  <c r="DX27" i="25"/>
  <c r="DX28" i="25"/>
  <c r="DX29" i="25"/>
  <c r="DX30" i="25"/>
  <c r="DX31" i="25"/>
  <c r="DX32" i="25"/>
  <c r="DX33" i="25"/>
  <c r="DX34" i="25"/>
  <c r="DX35" i="25"/>
  <c r="DX23" i="25"/>
  <c r="DX24" i="25"/>
  <c r="FB29" i="24"/>
  <c r="FB24" i="24"/>
  <c r="FB28" i="24"/>
  <c r="FB35" i="24"/>
  <c r="ER36" i="24"/>
  <c r="BZ23" i="24"/>
  <c r="FB23" i="24"/>
  <c r="CT24" i="24"/>
  <c r="DN26" i="24"/>
  <c r="BZ27" i="24"/>
  <c r="FB27" i="24"/>
  <c r="CT28" i="24"/>
  <c r="BG29" i="24"/>
  <c r="AX29" i="24" s="1"/>
  <c r="AY29" i="24" s="1"/>
  <c r="DD30" i="24"/>
  <c r="FB33" i="24"/>
  <c r="DN24" i="24"/>
  <c r="BZ25" i="24"/>
  <c r="FB25" i="24"/>
  <c r="CT26" i="24"/>
  <c r="BG27" i="24"/>
  <c r="AX27" i="24" s="1"/>
  <c r="AY27" i="24" s="1"/>
  <c r="CT30" i="24"/>
  <c r="BZ32" i="24"/>
  <c r="FB32" i="24"/>
  <c r="EH33" i="24"/>
  <c r="BZ34" i="24"/>
  <c r="CT35" i="24"/>
  <c r="BZ26" i="24"/>
  <c r="FB26" i="24"/>
  <c r="BG28" i="24"/>
  <c r="AX28" i="24" s="1"/>
  <c r="AY28" i="24" s="1"/>
  <c r="DD29" i="24"/>
  <c r="BZ30" i="24"/>
  <c r="DN30" i="24"/>
  <c r="FB30" i="24"/>
  <c r="DD32" i="24"/>
  <c r="DN32" i="24"/>
  <c r="BZ35" i="24"/>
  <c r="CT36" i="24"/>
  <c r="BF23" i="24"/>
  <c r="BP23" i="24"/>
  <c r="BF24" i="24"/>
  <c r="BP24" i="24"/>
  <c r="BF25" i="24"/>
  <c r="BP25" i="24"/>
  <c r="BF26" i="24"/>
  <c r="BP26" i="24"/>
  <c r="BF27" i="24"/>
  <c r="BP27" i="24"/>
  <c r="ER27" i="24"/>
  <c r="BF28" i="24"/>
  <c r="ER28" i="24"/>
  <c r="BF29" i="24"/>
  <c r="ER29" i="24"/>
  <c r="BF30" i="24"/>
  <c r="ER30" i="24"/>
  <c r="BF31" i="24"/>
  <c r="CJ31" i="24"/>
  <c r="BF32" i="24"/>
  <c r="ER32" i="24"/>
  <c r="DN33" i="24"/>
  <c r="DN34" i="24"/>
  <c r="BF35" i="24"/>
  <c r="ER35" i="24"/>
  <c r="BF36" i="24"/>
  <c r="FB36" i="24"/>
  <c r="CJ25" i="24"/>
  <c r="DD25" i="24"/>
  <c r="CJ26" i="24"/>
  <c r="DD26" i="24"/>
  <c r="CJ27" i="24"/>
  <c r="DD27" i="24"/>
  <c r="CJ28" i="24"/>
  <c r="CJ29" i="24"/>
  <c r="CJ30" i="24"/>
  <c r="BZ31" i="24"/>
  <c r="DX31" i="24"/>
  <c r="CJ33" i="24"/>
  <c r="CJ34" i="24"/>
  <c r="CJ23" i="24"/>
  <c r="DD23" i="24"/>
  <c r="CJ24" i="24"/>
  <c r="DD24" i="24"/>
  <c r="DX23" i="24"/>
  <c r="EH23" i="24"/>
  <c r="ER23" i="24"/>
  <c r="DX24" i="24"/>
  <c r="EH24" i="24"/>
  <c r="ER24" i="24"/>
  <c r="DX25" i="24"/>
  <c r="EH25" i="24"/>
  <c r="ER25" i="24"/>
  <c r="DX26" i="24"/>
  <c r="EH26" i="24"/>
  <c r="ER26" i="24"/>
  <c r="DX27" i="24"/>
  <c r="EH27" i="24"/>
  <c r="BP28" i="24"/>
  <c r="DX28" i="24"/>
  <c r="EH28" i="24"/>
  <c r="BP29" i="24"/>
  <c r="DX29" i="24"/>
  <c r="EH29" i="24"/>
  <c r="BP30" i="24"/>
  <c r="DX30" i="24"/>
  <c r="EH30" i="24"/>
  <c r="BP31" i="24"/>
  <c r="DN31" i="24"/>
  <c r="BP32" i="24"/>
  <c r="EH32" i="24"/>
  <c r="BF33" i="24"/>
  <c r="DX33" i="24"/>
  <c r="DX34" i="24"/>
  <c r="BP35" i="24"/>
  <c r="EH35" i="24"/>
  <c r="BP36" i="24"/>
  <c r="EH36" i="24"/>
  <c r="FB36" i="23"/>
  <c r="ER31" i="23"/>
  <c r="ER32" i="23"/>
  <c r="ER33" i="23"/>
  <c r="ER34" i="23"/>
  <c r="ER35" i="23"/>
  <c r="EH26" i="23"/>
  <c r="DX24" i="23"/>
  <c r="DX25" i="23"/>
  <c r="DX26" i="23"/>
  <c r="ER34" i="22"/>
  <c r="CJ36" i="22"/>
  <c r="BG23" i="22"/>
  <c r="BF23" i="22"/>
  <c r="DN31" i="22"/>
  <c r="BG27" i="22"/>
  <c r="AX27" i="22" s="1"/>
  <c r="BG31" i="22"/>
  <c r="BG35" i="22"/>
  <c r="BG25" i="22"/>
  <c r="AX25" i="22" s="1"/>
  <c r="BG28" i="22"/>
  <c r="AX28" i="22" s="1"/>
  <c r="AY28" i="22" s="1"/>
  <c r="BG32" i="22"/>
  <c r="AX32" i="22" s="1"/>
  <c r="BG36" i="22"/>
  <c r="FB36" i="22"/>
  <c r="B21" i="25"/>
  <c r="AV23" i="23"/>
  <c r="W6" i="24"/>
  <c r="W6" i="23"/>
  <c r="W6" i="26"/>
  <c r="W6" i="22"/>
  <c r="W6" i="25"/>
  <c r="C8" i="22"/>
  <c r="W7" i="22" s="1"/>
  <c r="W5" i="22"/>
  <c r="ER27" i="22"/>
  <c r="DX36" i="22"/>
  <c r="DX33" i="22"/>
  <c r="D65" i="26"/>
  <c r="C8" i="26"/>
  <c r="W7" i="26" s="1"/>
  <c r="CK36" i="26"/>
  <c r="CB36" i="26" s="1"/>
  <c r="CK35" i="26"/>
  <c r="CB35" i="26" s="1"/>
  <c r="CK34" i="26"/>
  <c r="CB34" i="26" s="1"/>
  <c r="CK33" i="26"/>
  <c r="CB33" i="26" s="1"/>
  <c r="CK32" i="26"/>
  <c r="CB32" i="26" s="1"/>
  <c r="CK31" i="26"/>
  <c r="CB31" i="26" s="1"/>
  <c r="CK30" i="26"/>
  <c r="CB30" i="26" s="1"/>
  <c r="CK29" i="26"/>
  <c r="CB29" i="26" s="1"/>
  <c r="CK28" i="26"/>
  <c r="CB28" i="26" s="1"/>
  <c r="CK27" i="26"/>
  <c r="CB27" i="26" s="1"/>
  <c r="CK26" i="26"/>
  <c r="CB26" i="26" s="1"/>
  <c r="CK25" i="26"/>
  <c r="CB25" i="26" s="1"/>
  <c r="CK24" i="26"/>
  <c r="CB24" i="26" s="1"/>
  <c r="CK23" i="26"/>
  <c r="CL20" i="26"/>
  <c r="CC20" i="26"/>
  <c r="D21" i="26"/>
  <c r="BQ36" i="26"/>
  <c r="BH36" i="26" s="1"/>
  <c r="BQ35" i="26"/>
  <c r="BH35" i="26" s="1"/>
  <c r="BQ33" i="26"/>
  <c r="BH33" i="26" s="1"/>
  <c r="BQ29" i="26"/>
  <c r="BH29" i="26" s="1"/>
  <c r="BQ32" i="26"/>
  <c r="BH32" i="26" s="1"/>
  <c r="BQ28" i="26"/>
  <c r="BH28" i="26" s="1"/>
  <c r="BQ31" i="26"/>
  <c r="BH31" i="26" s="1"/>
  <c r="BQ27" i="26"/>
  <c r="BH27" i="26" s="1"/>
  <c r="BQ26" i="26"/>
  <c r="BH26" i="26" s="1"/>
  <c r="BQ25" i="26"/>
  <c r="BH25" i="26" s="1"/>
  <c r="BQ24" i="26"/>
  <c r="BH24" i="26" s="1"/>
  <c r="BQ23" i="26"/>
  <c r="BQ34" i="26"/>
  <c r="BH34" i="26" s="1"/>
  <c r="BQ30" i="26"/>
  <c r="BH30" i="26" s="1"/>
  <c r="BG23" i="26"/>
  <c r="CT23" i="26"/>
  <c r="F8" i="26"/>
  <c r="BI20" i="26"/>
  <c r="AY31" i="26"/>
  <c r="CA36" i="26"/>
  <c r="BR36" i="26" s="1"/>
  <c r="CA35" i="26"/>
  <c r="BR35" i="26" s="1"/>
  <c r="CA33" i="26"/>
  <c r="BR33" i="26" s="1"/>
  <c r="CA29" i="26"/>
  <c r="BR29" i="26" s="1"/>
  <c r="CA32" i="26"/>
  <c r="BR32" i="26" s="1"/>
  <c r="CA28" i="26"/>
  <c r="BR28" i="26" s="1"/>
  <c r="CA31" i="26"/>
  <c r="BR31" i="26" s="1"/>
  <c r="CA34" i="26"/>
  <c r="BR34" i="26" s="1"/>
  <c r="CA30" i="26"/>
  <c r="BR30" i="26" s="1"/>
  <c r="CA27" i="26"/>
  <c r="BR27" i="26" s="1"/>
  <c r="CA26" i="26"/>
  <c r="BR26" i="26" s="1"/>
  <c r="CA25" i="26"/>
  <c r="BR25" i="26" s="1"/>
  <c r="CA24" i="26"/>
  <c r="BR24" i="26" s="1"/>
  <c r="CA23" i="26"/>
  <c r="DX23" i="26"/>
  <c r="BF23" i="26"/>
  <c r="BF24" i="26"/>
  <c r="BF25" i="26"/>
  <c r="BF26" i="26"/>
  <c r="BF27" i="26"/>
  <c r="BG28" i="26"/>
  <c r="AX28" i="26" s="1"/>
  <c r="CJ29" i="26"/>
  <c r="DX29" i="26"/>
  <c r="BZ30" i="26"/>
  <c r="DN30" i="26"/>
  <c r="FB30" i="26"/>
  <c r="BG32" i="26"/>
  <c r="AX32" i="26" s="1"/>
  <c r="CJ33" i="26"/>
  <c r="FB27" i="26"/>
  <c r="BG29" i="26"/>
  <c r="AX29" i="26" s="1"/>
  <c r="CJ30" i="26"/>
  <c r="DX30" i="26"/>
  <c r="BZ31" i="26"/>
  <c r="DN31" i="26"/>
  <c r="FB31" i="26"/>
  <c r="BG33" i="26"/>
  <c r="AX33" i="26" s="1"/>
  <c r="DX33" i="26"/>
  <c r="DN34" i="26"/>
  <c r="BZ28" i="26"/>
  <c r="DN28" i="26"/>
  <c r="FB28" i="26"/>
  <c r="H17" i="26"/>
  <c r="B22" i="26"/>
  <c r="D65" i="25"/>
  <c r="C8" i="25"/>
  <c r="W7" i="25" s="1"/>
  <c r="CA34" i="25"/>
  <c r="BR34" i="25" s="1"/>
  <c r="CA30" i="25"/>
  <c r="BR30" i="25" s="1"/>
  <c r="CA26" i="25"/>
  <c r="BR26" i="25" s="1"/>
  <c r="CB20" i="25"/>
  <c r="CK22" i="25" s="1"/>
  <c r="BG23" i="25"/>
  <c r="AX23" i="25" s="1"/>
  <c r="BQ35" i="25"/>
  <c r="BH35" i="25" s="1"/>
  <c r="BQ34" i="25"/>
  <c r="BH34" i="25" s="1"/>
  <c r="BQ33" i="25"/>
  <c r="BH33" i="25" s="1"/>
  <c r="BQ32" i="25"/>
  <c r="BH32" i="25" s="1"/>
  <c r="BQ31" i="25"/>
  <c r="BH31" i="25" s="1"/>
  <c r="BQ30" i="25"/>
  <c r="BH30" i="25" s="1"/>
  <c r="BQ29" i="25"/>
  <c r="BH29" i="25" s="1"/>
  <c r="BQ28" i="25"/>
  <c r="BH28" i="25" s="1"/>
  <c r="BQ27" i="25"/>
  <c r="BH27" i="25" s="1"/>
  <c r="BQ26" i="25"/>
  <c r="BH26" i="25" s="1"/>
  <c r="BQ25" i="25"/>
  <c r="BH25" i="25" s="1"/>
  <c r="BQ24" i="25"/>
  <c r="BH24" i="25" s="1"/>
  <c r="BQ23" i="25"/>
  <c r="BH23" i="25" s="1"/>
  <c r="BQ36" i="25"/>
  <c r="AY24" i="25"/>
  <c r="AY27" i="25"/>
  <c r="AY28" i="25"/>
  <c r="AY30" i="25"/>
  <c r="AY31" i="25"/>
  <c r="AY32" i="25"/>
  <c r="AY33" i="25"/>
  <c r="AY35" i="25"/>
  <c r="F8" i="25"/>
  <c r="BI20" i="25"/>
  <c r="BG25" i="25"/>
  <c r="AX25" i="25" s="1"/>
  <c r="BP25" i="25"/>
  <c r="AU24" i="25"/>
  <c r="AV23" i="25"/>
  <c r="CJ36" i="25"/>
  <c r="DX36" i="25"/>
  <c r="G17" i="25"/>
  <c r="D65" i="24"/>
  <c r="F8" i="24"/>
  <c r="BG26" i="24"/>
  <c r="AX26" i="24" s="1"/>
  <c r="CA36" i="24"/>
  <c r="BR36" i="24" s="1"/>
  <c r="CA35" i="24"/>
  <c r="BR35" i="24" s="1"/>
  <c r="CA34" i="24"/>
  <c r="BR34" i="24" s="1"/>
  <c r="CA33" i="24"/>
  <c r="BR33" i="24" s="1"/>
  <c r="CA32" i="24"/>
  <c r="BR32" i="24" s="1"/>
  <c r="CA31" i="24"/>
  <c r="BR31" i="24" s="1"/>
  <c r="CA30" i="24"/>
  <c r="BR30" i="24" s="1"/>
  <c r="CA29" i="24"/>
  <c r="BR29" i="24" s="1"/>
  <c r="CA28" i="24"/>
  <c r="BR28" i="24" s="1"/>
  <c r="CA27" i="24"/>
  <c r="BR27" i="24" s="1"/>
  <c r="CA26" i="24"/>
  <c r="BR26" i="24" s="1"/>
  <c r="CA25" i="24"/>
  <c r="BR25" i="24" s="1"/>
  <c r="CA24" i="24"/>
  <c r="BR24" i="24" s="1"/>
  <c r="CA23" i="24"/>
  <c r="BG23" i="24"/>
  <c r="AY30" i="24"/>
  <c r="C8" i="24"/>
  <c r="BQ35" i="24"/>
  <c r="BH35" i="24" s="1"/>
  <c r="BQ34" i="24"/>
  <c r="BH34" i="24" s="1"/>
  <c r="BQ33" i="24"/>
  <c r="BH33" i="24" s="1"/>
  <c r="BQ31" i="24"/>
  <c r="BH31" i="24" s="1"/>
  <c r="BQ30" i="24"/>
  <c r="BH30" i="24" s="1"/>
  <c r="BQ29" i="24"/>
  <c r="BH29" i="24" s="1"/>
  <c r="BQ28" i="24"/>
  <c r="BH28" i="24" s="1"/>
  <c r="BQ27" i="24"/>
  <c r="BH27" i="24" s="1"/>
  <c r="BQ26" i="24"/>
  <c r="BH26" i="24" s="1"/>
  <c r="BQ25" i="24"/>
  <c r="BH25" i="24" s="1"/>
  <c r="BQ24" i="24"/>
  <c r="BH24" i="24" s="1"/>
  <c r="BQ23" i="24"/>
  <c r="BQ36" i="24"/>
  <c r="BH36" i="24" s="1"/>
  <c r="BQ32" i="24"/>
  <c r="BH32" i="24" s="1"/>
  <c r="CB20" i="24"/>
  <c r="BG25" i="24"/>
  <c r="AX25" i="24" s="1"/>
  <c r="ER31" i="24"/>
  <c r="BG32" i="24"/>
  <c r="AX32" i="24" s="1"/>
  <c r="BG36" i="24"/>
  <c r="AX36" i="24" s="1"/>
  <c r="AV23" i="24"/>
  <c r="BP33" i="24"/>
  <c r="DD33" i="24"/>
  <c r="ER33" i="24"/>
  <c r="BG34" i="24"/>
  <c r="AX34" i="24" s="1"/>
  <c r="CJ35" i="24"/>
  <c r="DX35" i="24"/>
  <c r="CJ32" i="24"/>
  <c r="DX32" i="24"/>
  <c r="BP34" i="24"/>
  <c r="DD34" i="24"/>
  <c r="ER34" i="24"/>
  <c r="BG35" i="24"/>
  <c r="AX35" i="24" s="1"/>
  <c r="CJ36" i="24"/>
  <c r="DX36" i="24"/>
  <c r="G17" i="24"/>
  <c r="B22" i="24"/>
  <c r="AV24" i="23"/>
  <c r="AU25" i="23"/>
  <c r="D65" i="23"/>
  <c r="F8" i="23"/>
  <c r="BP24" i="23"/>
  <c r="DD24" i="23"/>
  <c r="ER24" i="23"/>
  <c r="BG25" i="23"/>
  <c r="AX25" i="23" s="1"/>
  <c r="BP25" i="23"/>
  <c r="CA36" i="23"/>
  <c r="BR36" i="23" s="1"/>
  <c r="CA35" i="23"/>
  <c r="BR35" i="23" s="1"/>
  <c r="CA34" i="23"/>
  <c r="BR34" i="23" s="1"/>
  <c r="CA33" i="23"/>
  <c r="BR33" i="23" s="1"/>
  <c r="CA32" i="23"/>
  <c r="BR32" i="23" s="1"/>
  <c r="CA31" i="23"/>
  <c r="BR31" i="23" s="1"/>
  <c r="CA30" i="23"/>
  <c r="BR30" i="23" s="1"/>
  <c r="CA29" i="23"/>
  <c r="BR29" i="23" s="1"/>
  <c r="CA28" i="23"/>
  <c r="BR28" i="23" s="1"/>
  <c r="CA27" i="23"/>
  <c r="BR27" i="23" s="1"/>
  <c r="CA26" i="23"/>
  <c r="BR26" i="23" s="1"/>
  <c r="CA25" i="23"/>
  <c r="BR25" i="23" s="1"/>
  <c r="CA24" i="23"/>
  <c r="BR24" i="23" s="1"/>
  <c r="AY27" i="23"/>
  <c r="C8" i="23"/>
  <c r="BQ35" i="23"/>
  <c r="BH35" i="23" s="1"/>
  <c r="BQ31" i="23"/>
  <c r="BH31" i="23" s="1"/>
  <c r="BQ26" i="23"/>
  <c r="BH26" i="23" s="1"/>
  <c r="BQ25" i="23"/>
  <c r="BH25" i="23" s="1"/>
  <c r="BQ34" i="23"/>
  <c r="BH34" i="23" s="1"/>
  <c r="BQ30" i="23"/>
  <c r="BH30" i="23" s="1"/>
  <c r="BQ33" i="23"/>
  <c r="BH33" i="23" s="1"/>
  <c r="BQ29" i="23"/>
  <c r="BH29" i="23" s="1"/>
  <c r="BQ36" i="23"/>
  <c r="BH36" i="23" s="1"/>
  <c r="BQ32" i="23"/>
  <c r="BH32" i="23" s="1"/>
  <c r="BQ28" i="23"/>
  <c r="BH28" i="23" s="1"/>
  <c r="BQ27" i="23"/>
  <c r="BH27" i="23" s="1"/>
  <c r="CB20" i="23"/>
  <c r="BG24" i="23"/>
  <c r="AX24" i="23" s="1"/>
  <c r="BQ24" i="23"/>
  <c r="BH24" i="23" s="1"/>
  <c r="FB27" i="23"/>
  <c r="BZ31" i="23"/>
  <c r="DN31" i="23"/>
  <c r="FB31" i="23"/>
  <c r="BZ35" i="23"/>
  <c r="DN35" i="23"/>
  <c r="FB35" i="23"/>
  <c r="B22" i="23"/>
  <c r="FB26" i="23"/>
  <c r="BZ27" i="23"/>
  <c r="DN27" i="23"/>
  <c r="BZ29" i="23"/>
  <c r="DN29" i="23"/>
  <c r="FB29" i="23"/>
  <c r="BZ33" i="23"/>
  <c r="DN33" i="23"/>
  <c r="FB33" i="23"/>
  <c r="CJ24" i="22"/>
  <c r="DX24" i="22"/>
  <c r="DD25" i="22"/>
  <c r="ER25" i="22"/>
  <c r="BZ26" i="22"/>
  <c r="CT34" i="22"/>
  <c r="CT28" i="22"/>
  <c r="EH28" i="22"/>
  <c r="BP29" i="22"/>
  <c r="DD29" i="22"/>
  <c r="ER29" i="22"/>
  <c r="BZ30" i="22"/>
  <c r="DN30" i="22"/>
  <c r="FB30" i="22"/>
  <c r="CJ31" i="22"/>
  <c r="FB31" i="22"/>
  <c r="BP32" i="22"/>
  <c r="DD32" i="22"/>
  <c r="DX32" i="22"/>
  <c r="ER32" i="22"/>
  <c r="DD23" i="22"/>
  <c r="ER23" i="22"/>
  <c r="BF24" i="22"/>
  <c r="CT26" i="22"/>
  <c r="EH26" i="22"/>
  <c r="BP27" i="22"/>
  <c r="CT29" i="22"/>
  <c r="EH29" i="22"/>
  <c r="BP30" i="22"/>
  <c r="DD30" i="22"/>
  <c r="ER30" i="22"/>
  <c r="BZ31" i="22"/>
  <c r="DX31" i="22"/>
  <c r="CT32" i="22"/>
  <c r="CJ35" i="22"/>
  <c r="DX35" i="22"/>
  <c r="CT36" i="22"/>
  <c r="EH36" i="22"/>
  <c r="BZ32" i="22"/>
  <c r="DN32" i="22"/>
  <c r="BZ34" i="22"/>
  <c r="DN34" i="22"/>
  <c r="BZ23" i="22"/>
  <c r="BP24" i="22"/>
  <c r="DD24" i="22"/>
  <c r="CJ25" i="22"/>
  <c r="EH25" i="22"/>
  <c r="BP26" i="22"/>
  <c r="DN26" i="22"/>
  <c r="FB26" i="22"/>
  <c r="CJ27" i="22"/>
  <c r="EH27" i="22"/>
  <c r="BP28" i="22"/>
  <c r="DN28" i="22"/>
  <c r="FB28" i="22"/>
  <c r="CJ29" i="22"/>
  <c r="DX29" i="22"/>
  <c r="BP31" i="22"/>
  <c r="DD31" i="22"/>
  <c r="CJ32" i="22"/>
  <c r="EH32" i="22"/>
  <c r="BP33" i="22"/>
  <c r="CJ34" i="22"/>
  <c r="EH34" i="22"/>
  <c r="BP35" i="22"/>
  <c r="DD35" i="22"/>
  <c r="ER35" i="22"/>
  <c r="BQ29" i="22"/>
  <c r="BH29" i="22" s="1"/>
  <c r="E26" i="22" s="1"/>
  <c r="BP23" i="22"/>
  <c r="DN23" i="22"/>
  <c r="EH23" i="22"/>
  <c r="FB23" i="22"/>
  <c r="CT24" i="22"/>
  <c r="ER24" i="22"/>
  <c r="DX25" i="22"/>
  <c r="AX26" i="22"/>
  <c r="D23" i="22" s="1"/>
  <c r="DD26" i="22"/>
  <c r="ER26" i="22"/>
  <c r="DX27" i="22"/>
  <c r="DD28" i="22"/>
  <c r="ER28" i="22"/>
  <c r="CJ30" i="22"/>
  <c r="DX30" i="22"/>
  <c r="AX31" i="22"/>
  <c r="AY31" i="22" s="1"/>
  <c r="ER31" i="22"/>
  <c r="BZ33" i="22"/>
  <c r="DD33" i="22"/>
  <c r="ER33" i="22"/>
  <c r="CT35" i="22"/>
  <c r="DN35" i="22"/>
  <c r="EH35" i="22"/>
  <c r="FB35" i="22"/>
  <c r="BP36" i="22"/>
  <c r="DD36" i="22"/>
  <c r="ER36" i="22"/>
  <c r="BQ31" i="22"/>
  <c r="BH31" i="22" s="1"/>
  <c r="F8" i="22"/>
  <c r="W8" i="22" s="1"/>
  <c r="BF25" i="22"/>
  <c r="BF27" i="22"/>
  <c r="BF29" i="22"/>
  <c r="FB32" i="22"/>
  <c r="DN33" i="22"/>
  <c r="FB34" i="22"/>
  <c r="BZ36" i="22"/>
  <c r="CT23" i="22"/>
  <c r="FB33" i="22"/>
  <c r="BZ35" i="22"/>
  <c r="DN36" i="22"/>
  <c r="BF26" i="22"/>
  <c r="BF28" i="22"/>
  <c r="BF30" i="22"/>
  <c r="AV24" i="22"/>
  <c r="AU25" i="22"/>
  <c r="D65" i="22"/>
  <c r="BF33" i="22"/>
  <c r="AX33" i="22"/>
  <c r="BI20" i="22"/>
  <c r="BQ23" i="22"/>
  <c r="BZ27" i="22"/>
  <c r="DN27" i="22"/>
  <c r="FB27" i="22"/>
  <c r="BQ28" i="22"/>
  <c r="BH28" i="22" s="1"/>
  <c r="BF36" i="22"/>
  <c r="AX36" i="22"/>
  <c r="BQ27" i="22"/>
  <c r="BH27" i="22" s="1"/>
  <c r="BR20" i="22"/>
  <c r="BQ24" i="22"/>
  <c r="BH24" i="22" s="1"/>
  <c r="BQ25" i="22"/>
  <c r="BH25" i="22" s="1"/>
  <c r="CJ28" i="22"/>
  <c r="DX28" i="22"/>
  <c r="BF35" i="22"/>
  <c r="AX35" i="22"/>
  <c r="BQ36" i="22"/>
  <c r="BH36" i="22" s="1"/>
  <c r="BQ35" i="22"/>
  <c r="BH35" i="22" s="1"/>
  <c r="BQ34" i="22"/>
  <c r="BH34" i="22" s="1"/>
  <c r="BQ33" i="22"/>
  <c r="BH33" i="22" s="1"/>
  <c r="BQ32" i="22"/>
  <c r="BH32" i="22" s="1"/>
  <c r="AV23" i="22"/>
  <c r="CJ23" i="22"/>
  <c r="DX23" i="22"/>
  <c r="BZ24" i="22"/>
  <c r="DN24" i="22"/>
  <c r="FB24" i="22"/>
  <c r="BZ25" i="22"/>
  <c r="DN25" i="22"/>
  <c r="FB25" i="22"/>
  <c r="BQ26" i="22"/>
  <c r="BH26" i="22" s="1"/>
  <c r="BZ29" i="22"/>
  <c r="DN29" i="22"/>
  <c r="FB29" i="22"/>
  <c r="BQ30" i="22"/>
  <c r="BH30" i="22" s="1"/>
  <c r="BF32" i="22"/>
  <c r="BF34" i="22"/>
  <c r="AX34" i="22"/>
  <c r="CT30" i="22"/>
  <c r="EH30" i="22"/>
  <c r="BF31" i="22"/>
  <c r="CT31" i="22"/>
  <c r="EH31" i="22"/>
  <c r="H10" i="2"/>
  <c r="H11" i="2"/>
  <c r="J4" i="26" l="1"/>
  <c r="P14" i="26" s="1"/>
  <c r="P13" i="23"/>
  <c r="J4" i="25"/>
  <c r="P14" i="25" s="1"/>
  <c r="J4" i="22"/>
  <c r="P14" i="22" s="1"/>
  <c r="P13" i="22"/>
  <c r="J4" i="24"/>
  <c r="P14" i="24" s="1"/>
  <c r="P13" i="24"/>
  <c r="CA23" i="25"/>
  <c r="BR23" i="25" s="1"/>
  <c r="CA27" i="25"/>
  <c r="BR27" i="25" s="1"/>
  <c r="BS27" i="25" s="1"/>
  <c r="CA31" i="25"/>
  <c r="BR31" i="25" s="1"/>
  <c r="BS31" i="25" s="1"/>
  <c r="CA35" i="25"/>
  <c r="BR35" i="25" s="1"/>
  <c r="BS35" i="25" s="1"/>
  <c r="CA24" i="25"/>
  <c r="BR24" i="25" s="1"/>
  <c r="F21" i="25" s="1"/>
  <c r="CA28" i="25"/>
  <c r="BR28" i="25" s="1"/>
  <c r="BS28" i="25" s="1"/>
  <c r="CA32" i="25"/>
  <c r="BR32" i="25" s="1"/>
  <c r="CA36" i="25"/>
  <c r="BS20" i="25"/>
  <c r="CA25" i="25"/>
  <c r="BR25" i="25" s="1"/>
  <c r="F22" i="25" s="1"/>
  <c r="CA29" i="25"/>
  <c r="BR29" i="25" s="1"/>
  <c r="BS29" i="25" s="1"/>
  <c r="CA33" i="25"/>
  <c r="BR33" i="25" s="1"/>
  <c r="BS33" i="25" s="1"/>
  <c r="AY24" i="24"/>
  <c r="H17" i="23"/>
  <c r="H19" i="23" s="1"/>
  <c r="CA22" i="23"/>
  <c r="BS22" i="23" s="1"/>
  <c r="CA23" i="23"/>
  <c r="BR23" i="23" s="1"/>
  <c r="BS23" i="23" s="1"/>
  <c r="BS20" i="23"/>
  <c r="CK22" i="23"/>
  <c r="CC22" i="23" s="1"/>
  <c r="CK23" i="23"/>
  <c r="CB23" i="23" s="1"/>
  <c r="CC23" i="23" s="1"/>
  <c r="AY26" i="22"/>
  <c r="D22" i="26"/>
  <c r="AY27" i="22"/>
  <c r="D24" i="22"/>
  <c r="B22" i="25"/>
  <c r="D21" i="25"/>
  <c r="W8" i="24"/>
  <c r="W8" i="23"/>
  <c r="W8" i="25"/>
  <c r="W8" i="26"/>
  <c r="C9" i="23"/>
  <c r="C45" i="23" s="1"/>
  <c r="W7" i="23"/>
  <c r="C9" i="24"/>
  <c r="C45" i="24" s="1"/>
  <c r="W7" i="24"/>
  <c r="D28" i="22"/>
  <c r="D27" i="22"/>
  <c r="F9" i="26"/>
  <c r="C46" i="26" s="1"/>
  <c r="H51" i="26" s="1"/>
  <c r="F9" i="25"/>
  <c r="C46" i="25" s="1"/>
  <c r="H51" i="25" s="1"/>
  <c r="F9" i="23"/>
  <c r="AY28" i="26"/>
  <c r="F20" i="26"/>
  <c r="BS23" i="26"/>
  <c r="BS27" i="26"/>
  <c r="BS28" i="26"/>
  <c r="BI30" i="26"/>
  <c r="E22" i="26"/>
  <c r="BI25" i="26"/>
  <c r="BI28" i="26"/>
  <c r="CU36" i="26"/>
  <c r="CL36" i="26" s="1"/>
  <c r="CU35" i="26"/>
  <c r="CL35" i="26" s="1"/>
  <c r="CU34" i="26"/>
  <c r="CL34" i="26" s="1"/>
  <c r="CU33" i="26"/>
  <c r="CL33" i="26" s="1"/>
  <c r="CU32" i="26"/>
  <c r="CL32" i="26" s="1"/>
  <c r="CU31" i="26"/>
  <c r="CL31" i="26" s="1"/>
  <c r="CU30" i="26"/>
  <c r="CL30" i="26" s="1"/>
  <c r="CU29" i="26"/>
  <c r="CL29" i="26" s="1"/>
  <c r="CU28" i="26"/>
  <c r="CL28" i="26" s="1"/>
  <c r="CU27" i="26"/>
  <c r="CL27" i="26" s="1"/>
  <c r="CU26" i="26"/>
  <c r="CL26" i="26" s="1"/>
  <c r="CU25" i="26"/>
  <c r="CL25" i="26" s="1"/>
  <c r="CU24" i="26"/>
  <c r="CL24" i="26" s="1"/>
  <c r="CU23" i="26"/>
  <c r="CM20" i="26"/>
  <c r="CV20" i="26"/>
  <c r="CC26" i="26"/>
  <c r="CC30" i="26"/>
  <c r="CC34" i="26"/>
  <c r="C11" i="26"/>
  <c r="P10" i="26" s="1"/>
  <c r="AY33" i="26"/>
  <c r="AV24" i="26"/>
  <c r="AU25" i="26"/>
  <c r="F21" i="26"/>
  <c r="BS24" i="26"/>
  <c r="BS30" i="26"/>
  <c r="BS32" i="26"/>
  <c r="BS35" i="26"/>
  <c r="BI34" i="26"/>
  <c r="BI26" i="26"/>
  <c r="BI32" i="26"/>
  <c r="BI35" i="26"/>
  <c r="G20" i="26"/>
  <c r="CC23" i="26"/>
  <c r="CC27" i="26"/>
  <c r="CC31" i="26"/>
  <c r="CC35" i="26"/>
  <c r="C9" i="26"/>
  <c r="C45" i="26" s="1"/>
  <c r="B23" i="26"/>
  <c r="F23" i="26" s="1"/>
  <c r="AY32" i="26"/>
  <c r="F22" i="26"/>
  <c r="BS25" i="26"/>
  <c r="BS34" i="26"/>
  <c r="BS29" i="26"/>
  <c r="BS36" i="26"/>
  <c r="E20" i="26"/>
  <c r="BI23" i="26"/>
  <c r="BI27" i="26"/>
  <c r="BI29" i="26"/>
  <c r="BI36" i="26"/>
  <c r="G21" i="26"/>
  <c r="CC24" i="26"/>
  <c r="CC28" i="26"/>
  <c r="CC32" i="26"/>
  <c r="CC36" i="26"/>
  <c r="AY29" i="26"/>
  <c r="BS26" i="26"/>
  <c r="BS31" i="26"/>
  <c r="BS33" i="26"/>
  <c r="AY23" i="26"/>
  <c r="E21" i="26"/>
  <c r="BI24" i="26"/>
  <c r="BI31" i="26"/>
  <c r="BI33" i="26"/>
  <c r="G22" i="26"/>
  <c r="CC25" i="26"/>
  <c r="CC29" i="26"/>
  <c r="CC33" i="26"/>
  <c r="D22" i="25"/>
  <c r="AY25" i="25"/>
  <c r="E22" i="25"/>
  <c r="BI25" i="25"/>
  <c r="BI29" i="25"/>
  <c r="BI33" i="25"/>
  <c r="CK36" i="25"/>
  <c r="CK35" i="25"/>
  <c r="CB35" i="25" s="1"/>
  <c r="CK34" i="25"/>
  <c r="CB34" i="25" s="1"/>
  <c r="CK33" i="25"/>
  <c r="CB33" i="25" s="1"/>
  <c r="CK32" i="25"/>
  <c r="CB32" i="25" s="1"/>
  <c r="CK31" i="25"/>
  <c r="CB31" i="25" s="1"/>
  <c r="CK30" i="25"/>
  <c r="CB30" i="25" s="1"/>
  <c r="CK29" i="25"/>
  <c r="CB29" i="25" s="1"/>
  <c r="CK28" i="25"/>
  <c r="CB28" i="25" s="1"/>
  <c r="CK27" i="25"/>
  <c r="CB27" i="25" s="1"/>
  <c r="CK26" i="25"/>
  <c r="CB26" i="25" s="1"/>
  <c r="CC20" i="25"/>
  <c r="CK25" i="25"/>
  <c r="CB25" i="25" s="1"/>
  <c r="CK24" i="25"/>
  <c r="CB24" i="25" s="1"/>
  <c r="CK23" i="25"/>
  <c r="CB23" i="25" s="1"/>
  <c r="CL20" i="25"/>
  <c r="CU22" i="25" s="1"/>
  <c r="CM22" i="25" s="1"/>
  <c r="BS26" i="25"/>
  <c r="BS30" i="25"/>
  <c r="BS34" i="25"/>
  <c r="C11" i="25"/>
  <c r="P10" i="25" s="1"/>
  <c r="B23" i="25"/>
  <c r="F23" i="25" s="1"/>
  <c r="BI26" i="25"/>
  <c r="BI30" i="25"/>
  <c r="BI34" i="25"/>
  <c r="D20" i="25"/>
  <c r="AY23" i="25"/>
  <c r="F20" i="25"/>
  <c r="BS23" i="25"/>
  <c r="C9" i="25"/>
  <c r="C45" i="25" s="1"/>
  <c r="G19" i="25"/>
  <c r="H17" i="25"/>
  <c r="E20" i="25"/>
  <c r="BI23" i="25"/>
  <c r="BI27" i="25"/>
  <c r="BI31" i="25"/>
  <c r="BI35" i="25"/>
  <c r="BS24" i="25"/>
  <c r="BS32" i="25"/>
  <c r="AV24" i="25"/>
  <c r="AU25" i="25"/>
  <c r="E21" i="25"/>
  <c r="BI24" i="25"/>
  <c r="BI28" i="25"/>
  <c r="BI32" i="25"/>
  <c r="H17" i="24"/>
  <c r="AY35" i="24"/>
  <c r="AY34" i="24"/>
  <c r="D22" i="24"/>
  <c r="AY25" i="24"/>
  <c r="E20" i="24"/>
  <c r="BI23" i="24"/>
  <c r="BI27" i="24"/>
  <c r="BI31" i="24"/>
  <c r="F21" i="24"/>
  <c r="BS24" i="24"/>
  <c r="BS28" i="24"/>
  <c r="BS35" i="24"/>
  <c r="F9" i="24"/>
  <c r="B23" i="24"/>
  <c r="E23" i="24" s="1"/>
  <c r="AY36" i="24"/>
  <c r="CK33" i="24"/>
  <c r="CB33" i="24" s="1"/>
  <c r="CK31" i="24"/>
  <c r="CB31" i="24" s="1"/>
  <c r="CK30" i="24"/>
  <c r="CB30" i="24" s="1"/>
  <c r="CK29" i="24"/>
  <c r="CB29" i="24" s="1"/>
  <c r="CK28" i="24"/>
  <c r="CB28" i="24" s="1"/>
  <c r="CK27" i="24"/>
  <c r="CB27" i="24" s="1"/>
  <c r="CK36" i="24"/>
  <c r="CB36" i="24" s="1"/>
  <c r="CK32" i="24"/>
  <c r="CB32" i="24" s="1"/>
  <c r="CK35" i="24"/>
  <c r="CB35" i="24" s="1"/>
  <c r="CK34" i="24"/>
  <c r="CB34" i="24" s="1"/>
  <c r="CK26" i="24"/>
  <c r="CB26" i="24" s="1"/>
  <c r="CK25" i="24"/>
  <c r="CB25" i="24" s="1"/>
  <c r="CK24" i="24"/>
  <c r="CB24" i="24" s="1"/>
  <c r="CL20" i="24"/>
  <c r="CK23" i="24"/>
  <c r="CC20" i="24"/>
  <c r="E21" i="24"/>
  <c r="BI24" i="24"/>
  <c r="BI28" i="24"/>
  <c r="BI33" i="24"/>
  <c r="F22" i="24"/>
  <c r="BS25" i="24"/>
  <c r="BS29" i="24"/>
  <c r="BS32" i="24"/>
  <c r="BS36" i="24"/>
  <c r="AY32" i="24"/>
  <c r="BI32" i="24"/>
  <c r="E22" i="24"/>
  <c r="BI25" i="24"/>
  <c r="BI29" i="24"/>
  <c r="BI34" i="24"/>
  <c r="C11" i="24"/>
  <c r="P10" i="24" s="1"/>
  <c r="D20" i="24"/>
  <c r="AY23" i="24"/>
  <c r="F23" i="24"/>
  <c r="BS26" i="24"/>
  <c r="BS30" i="24"/>
  <c r="BS33" i="24"/>
  <c r="AV24" i="24"/>
  <c r="AU25" i="24"/>
  <c r="BI36" i="24"/>
  <c r="BI26" i="24"/>
  <c r="BI30" i="24"/>
  <c r="BI35" i="24"/>
  <c r="F20" i="24"/>
  <c r="BS23" i="24"/>
  <c r="BS27" i="24"/>
  <c r="BS31" i="24"/>
  <c r="BS34" i="24"/>
  <c r="D23" i="24"/>
  <c r="AY26" i="24"/>
  <c r="B23" i="23"/>
  <c r="E23" i="23" s="1"/>
  <c r="BI28" i="23"/>
  <c r="BI33" i="23"/>
  <c r="BI26" i="23"/>
  <c r="F21" i="23"/>
  <c r="BS24" i="23"/>
  <c r="BS27" i="23"/>
  <c r="BS31" i="23"/>
  <c r="BS35" i="23"/>
  <c r="D22" i="23"/>
  <c r="AY25" i="23"/>
  <c r="BI32" i="23"/>
  <c r="BI30" i="23"/>
  <c r="BI31" i="23"/>
  <c r="C11" i="23"/>
  <c r="P10" i="23" s="1"/>
  <c r="F22" i="23"/>
  <c r="BS25" i="23"/>
  <c r="BS28" i="23"/>
  <c r="BS32" i="23"/>
  <c r="BS36" i="23"/>
  <c r="AU26" i="23"/>
  <c r="AV25" i="23"/>
  <c r="E21" i="23"/>
  <c r="BI24" i="23"/>
  <c r="CK36" i="23"/>
  <c r="CB36" i="23" s="1"/>
  <c r="CK35" i="23"/>
  <c r="CB35" i="23" s="1"/>
  <c r="CK34" i="23"/>
  <c r="CB34" i="23" s="1"/>
  <c r="CK33" i="23"/>
  <c r="CB33" i="23" s="1"/>
  <c r="CK32" i="23"/>
  <c r="CB32" i="23" s="1"/>
  <c r="CK31" i="23"/>
  <c r="CB31" i="23" s="1"/>
  <c r="CK30" i="23"/>
  <c r="CB30" i="23" s="1"/>
  <c r="CK29" i="23"/>
  <c r="CB29" i="23" s="1"/>
  <c r="CK28" i="23"/>
  <c r="CB28" i="23" s="1"/>
  <c r="CK27" i="23"/>
  <c r="CB27" i="23" s="1"/>
  <c r="CK26" i="23"/>
  <c r="CB26" i="23" s="1"/>
  <c r="CK25" i="23"/>
  <c r="CB25" i="23" s="1"/>
  <c r="CK24" i="23"/>
  <c r="CB24" i="23" s="1"/>
  <c r="CL20" i="23"/>
  <c r="CC20" i="23"/>
  <c r="BI36" i="23"/>
  <c r="BI34" i="23"/>
  <c r="BI35" i="23"/>
  <c r="BS26" i="23"/>
  <c r="BS29" i="23"/>
  <c r="BS33" i="23"/>
  <c r="D21" i="23"/>
  <c r="AY24" i="23"/>
  <c r="BI27" i="23"/>
  <c r="BI29" i="23"/>
  <c r="E22" i="23"/>
  <c r="BI25" i="23"/>
  <c r="BS30" i="23"/>
  <c r="BS34" i="23"/>
  <c r="D26" i="22"/>
  <c r="D25" i="22"/>
  <c r="BI29" i="22"/>
  <c r="E27" i="22"/>
  <c r="BI30" i="22"/>
  <c r="E23" i="22"/>
  <c r="BI26" i="22"/>
  <c r="E28" i="22"/>
  <c r="BI31" i="22"/>
  <c r="E32" i="22"/>
  <c r="BI35" i="22"/>
  <c r="E21" i="22"/>
  <c r="BI24" i="22"/>
  <c r="E24" i="22"/>
  <c r="BI27" i="22"/>
  <c r="E31" i="22"/>
  <c r="BI34" i="22"/>
  <c r="E25" i="22"/>
  <c r="BI28" i="22"/>
  <c r="E19" i="22"/>
  <c r="D29" i="22"/>
  <c r="AY32" i="22"/>
  <c r="E29" i="22"/>
  <c r="BI32" i="22"/>
  <c r="E33" i="22"/>
  <c r="BI36" i="22"/>
  <c r="CA36" i="22"/>
  <c r="BR36" i="22" s="1"/>
  <c r="CA35" i="22"/>
  <c r="BR35" i="22" s="1"/>
  <c r="CA34" i="22"/>
  <c r="BR34" i="22" s="1"/>
  <c r="CA33" i="22"/>
  <c r="BR33" i="22" s="1"/>
  <c r="CA32" i="22"/>
  <c r="BR32" i="22" s="1"/>
  <c r="CA31" i="22"/>
  <c r="BR31" i="22" s="1"/>
  <c r="CA30" i="22"/>
  <c r="BR30" i="22" s="1"/>
  <c r="CA29" i="22"/>
  <c r="BR29" i="22" s="1"/>
  <c r="CA28" i="22"/>
  <c r="BR28" i="22" s="1"/>
  <c r="CA27" i="22"/>
  <c r="BR27" i="22" s="1"/>
  <c r="CA26" i="22"/>
  <c r="BR26" i="22" s="1"/>
  <c r="CA25" i="22"/>
  <c r="BR25" i="22" s="1"/>
  <c r="BS20" i="22"/>
  <c r="CA24" i="22"/>
  <c r="BR24" i="22" s="1"/>
  <c r="CB20" i="22"/>
  <c r="CA23" i="22"/>
  <c r="D33" i="22"/>
  <c r="AY36" i="22"/>
  <c r="D21" i="22"/>
  <c r="AY24" i="22"/>
  <c r="D30" i="22"/>
  <c r="AY33" i="22"/>
  <c r="AV25" i="22"/>
  <c r="AU26" i="22"/>
  <c r="D31" i="22"/>
  <c r="AY34" i="22"/>
  <c r="D22" i="22"/>
  <c r="AY25" i="22"/>
  <c r="E30" i="22"/>
  <c r="BI33" i="22"/>
  <c r="D32" i="22"/>
  <c r="AY35" i="22"/>
  <c r="E22" i="22"/>
  <c r="BI25" i="22"/>
  <c r="P10" i="2" a="1"/>
  <c r="P11" i="2" a="1"/>
  <c r="BS25" i="25" l="1"/>
  <c r="P11" i="2"/>
  <c r="P10" i="2"/>
  <c r="F56" i="24"/>
  <c r="F56" i="23"/>
  <c r="F23" i="23"/>
  <c r="CU23" i="23"/>
  <c r="CL23" i="23" s="1"/>
  <c r="CM23" i="23" s="1"/>
  <c r="CU22" i="23"/>
  <c r="CM22" i="23" s="1"/>
  <c r="AK49" i="26"/>
  <c r="D58" i="25"/>
  <c r="AM48" i="23"/>
  <c r="D51" i="23"/>
  <c r="E23" i="25"/>
  <c r="D51" i="24"/>
  <c r="AM48" i="24"/>
  <c r="D58" i="26"/>
  <c r="AK50" i="25"/>
  <c r="C46" i="23"/>
  <c r="H23" i="26"/>
  <c r="CM26" i="26"/>
  <c r="CM30" i="26"/>
  <c r="CM34" i="26"/>
  <c r="F56" i="26"/>
  <c r="D51" i="26"/>
  <c r="AM47" i="26"/>
  <c r="H20" i="26"/>
  <c r="CM23" i="26"/>
  <c r="CM27" i="26"/>
  <c r="CM31" i="26"/>
  <c r="CM35" i="26"/>
  <c r="B24" i="26"/>
  <c r="H24" i="26" s="1"/>
  <c r="D23" i="26"/>
  <c r="E23" i="26"/>
  <c r="AV25" i="26"/>
  <c r="AU26" i="26"/>
  <c r="G23" i="26"/>
  <c r="H21" i="26"/>
  <c r="CM24" i="26"/>
  <c r="CM28" i="26"/>
  <c r="CM32" i="26"/>
  <c r="CM36" i="26"/>
  <c r="DE36" i="26"/>
  <c r="CV36" i="26" s="1"/>
  <c r="DE35" i="26"/>
  <c r="CV35" i="26" s="1"/>
  <c r="DE33" i="26"/>
  <c r="CV33" i="26" s="1"/>
  <c r="DE29" i="26"/>
  <c r="CV29" i="26" s="1"/>
  <c r="DE32" i="26"/>
  <c r="CV32" i="26" s="1"/>
  <c r="DE28" i="26"/>
  <c r="CV28" i="26" s="1"/>
  <c r="DE34" i="26"/>
  <c r="CV34" i="26" s="1"/>
  <c r="DE31" i="26"/>
  <c r="CV31" i="26" s="1"/>
  <c r="DE27" i="26"/>
  <c r="CV27" i="26" s="1"/>
  <c r="DE26" i="26"/>
  <c r="CV26" i="26" s="1"/>
  <c r="DE25" i="26"/>
  <c r="CV25" i="26" s="1"/>
  <c r="DE24" i="26"/>
  <c r="CV24" i="26" s="1"/>
  <c r="DE23" i="26"/>
  <c r="DE30" i="26"/>
  <c r="CV30" i="26" s="1"/>
  <c r="DF20" i="26"/>
  <c r="CW20" i="26"/>
  <c r="H22" i="26"/>
  <c r="CM25" i="26"/>
  <c r="CM29" i="26"/>
  <c r="CM33" i="26"/>
  <c r="AV25" i="25"/>
  <c r="AU26" i="25"/>
  <c r="G20" i="25"/>
  <c r="CC23" i="25"/>
  <c r="G23" i="25"/>
  <c r="CC26" i="25"/>
  <c r="CC30" i="25"/>
  <c r="CC34" i="25"/>
  <c r="H19" i="25"/>
  <c r="G21" i="25"/>
  <c r="CC24" i="25"/>
  <c r="CC27" i="25"/>
  <c r="CC31" i="25"/>
  <c r="CC35" i="25"/>
  <c r="G22" i="25"/>
  <c r="CC25" i="25"/>
  <c r="CC28" i="25"/>
  <c r="CC32" i="25"/>
  <c r="D51" i="25"/>
  <c r="F56" i="25"/>
  <c r="AM48" i="25"/>
  <c r="B24" i="25"/>
  <c r="D23" i="25"/>
  <c r="CU36" i="25"/>
  <c r="CU35" i="25"/>
  <c r="CL35" i="25" s="1"/>
  <c r="CU34" i="25"/>
  <c r="CL34" i="25" s="1"/>
  <c r="CU33" i="25"/>
  <c r="CL33" i="25" s="1"/>
  <c r="CU32" i="25"/>
  <c r="CL32" i="25" s="1"/>
  <c r="CU31" i="25"/>
  <c r="CL31" i="25" s="1"/>
  <c r="CU30" i="25"/>
  <c r="CL30" i="25" s="1"/>
  <c r="CU29" i="25"/>
  <c r="CL29" i="25" s="1"/>
  <c r="CU28" i="25"/>
  <c r="CL28" i="25" s="1"/>
  <c r="CU27" i="25"/>
  <c r="CL27" i="25" s="1"/>
  <c r="CU26" i="25"/>
  <c r="CL26" i="25" s="1"/>
  <c r="CU25" i="25"/>
  <c r="CL25" i="25" s="1"/>
  <c r="CU24" i="25"/>
  <c r="CL24" i="25" s="1"/>
  <c r="CU23" i="25"/>
  <c r="CL23" i="25" s="1"/>
  <c r="CV20" i="25"/>
  <c r="DE22" i="25" s="1"/>
  <c r="CW22" i="25" s="1"/>
  <c r="CM20" i="25"/>
  <c r="CC29" i="25"/>
  <c r="CC33" i="25"/>
  <c r="AV25" i="24"/>
  <c r="AU26" i="24"/>
  <c r="CU36" i="24"/>
  <c r="CL36" i="24" s="1"/>
  <c r="CU35" i="24"/>
  <c r="CL35" i="24" s="1"/>
  <c r="CU34" i="24"/>
  <c r="CL34" i="24" s="1"/>
  <c r="CU33" i="24"/>
  <c r="CL33" i="24" s="1"/>
  <c r="CU32" i="24"/>
  <c r="CL32" i="24" s="1"/>
  <c r="CU31" i="24"/>
  <c r="CL31" i="24" s="1"/>
  <c r="CU30" i="24"/>
  <c r="CL30" i="24" s="1"/>
  <c r="CU29" i="24"/>
  <c r="CL29" i="24" s="1"/>
  <c r="CU28" i="24"/>
  <c r="CL28" i="24" s="1"/>
  <c r="CU27" i="24"/>
  <c r="CL27" i="24" s="1"/>
  <c r="CU26" i="24"/>
  <c r="CL26" i="24" s="1"/>
  <c r="CU25" i="24"/>
  <c r="CL25" i="24" s="1"/>
  <c r="CU24" i="24"/>
  <c r="CL24" i="24" s="1"/>
  <c r="CU23" i="24"/>
  <c r="CV20" i="24"/>
  <c r="CM20" i="24"/>
  <c r="CC34" i="24"/>
  <c r="CC27" i="24"/>
  <c r="CC31" i="24"/>
  <c r="G21" i="24"/>
  <c r="CC24" i="24"/>
  <c r="CC35" i="24"/>
  <c r="CC28" i="24"/>
  <c r="CC33" i="24"/>
  <c r="G22" i="24"/>
  <c r="CC25" i="24"/>
  <c r="CC32" i="24"/>
  <c r="CC29" i="24"/>
  <c r="B24" i="24"/>
  <c r="G24" i="24" s="1"/>
  <c r="G20" i="24"/>
  <c r="CC23" i="24"/>
  <c r="G23" i="24"/>
  <c r="CC26" i="24"/>
  <c r="CC36" i="24"/>
  <c r="CC30" i="24"/>
  <c r="C46" i="24"/>
  <c r="H51" i="24" s="1"/>
  <c r="G21" i="23"/>
  <c r="CC24" i="23"/>
  <c r="CC28" i="23"/>
  <c r="CC32" i="23"/>
  <c r="CC36" i="23"/>
  <c r="G22" i="23"/>
  <c r="CC25" i="23"/>
  <c r="CC29" i="23"/>
  <c r="CC33" i="23"/>
  <c r="B24" i="23"/>
  <c r="G24" i="23" s="1"/>
  <c r="D23" i="23"/>
  <c r="G23" i="23"/>
  <c r="CC26" i="23"/>
  <c r="CC30" i="23"/>
  <c r="CC34" i="23"/>
  <c r="AU27" i="23"/>
  <c r="AV26" i="23"/>
  <c r="CU36" i="23"/>
  <c r="CL36" i="23" s="1"/>
  <c r="CU35" i="23"/>
  <c r="CL35" i="23" s="1"/>
  <c r="CU34" i="23"/>
  <c r="CL34" i="23" s="1"/>
  <c r="CU33" i="23"/>
  <c r="CL33" i="23" s="1"/>
  <c r="CU32" i="23"/>
  <c r="CL32" i="23" s="1"/>
  <c r="CU31" i="23"/>
  <c r="CL31" i="23" s="1"/>
  <c r="CU30" i="23"/>
  <c r="CL30" i="23" s="1"/>
  <c r="CU29" i="23"/>
  <c r="CL29" i="23" s="1"/>
  <c r="CU28" i="23"/>
  <c r="CL28" i="23" s="1"/>
  <c r="CU27" i="23"/>
  <c r="CL27" i="23" s="1"/>
  <c r="CU26" i="23"/>
  <c r="CL26" i="23" s="1"/>
  <c r="CU25" i="23"/>
  <c r="CL25" i="23" s="1"/>
  <c r="CU24" i="23"/>
  <c r="CL24" i="23" s="1"/>
  <c r="CV20" i="23"/>
  <c r="CM20" i="23"/>
  <c r="CC27" i="23"/>
  <c r="CC31" i="23"/>
  <c r="CC35" i="23"/>
  <c r="F25" i="22"/>
  <c r="BS28" i="22"/>
  <c r="F28" i="22"/>
  <c r="BS31" i="22"/>
  <c r="F32" i="22"/>
  <c r="BS35" i="22"/>
  <c r="CK36" i="22"/>
  <c r="CB36" i="22" s="1"/>
  <c r="CK35" i="22"/>
  <c r="CB35" i="22" s="1"/>
  <c r="CK34" i="22"/>
  <c r="CB34" i="22" s="1"/>
  <c r="CK33" i="22"/>
  <c r="CB33" i="22" s="1"/>
  <c r="CK32" i="22"/>
  <c r="CB32" i="22" s="1"/>
  <c r="CK31" i="22"/>
  <c r="CB31" i="22" s="1"/>
  <c r="CK30" i="22"/>
  <c r="CB30" i="22" s="1"/>
  <c r="CK29" i="22"/>
  <c r="CB29" i="22" s="1"/>
  <c r="CK28" i="22"/>
  <c r="CB28" i="22" s="1"/>
  <c r="CK27" i="22"/>
  <c r="CB27" i="22" s="1"/>
  <c r="CK26" i="22"/>
  <c r="CB26" i="22" s="1"/>
  <c r="CK25" i="22"/>
  <c r="CB25" i="22" s="1"/>
  <c r="CK24" i="22"/>
  <c r="CB24" i="22" s="1"/>
  <c r="CK23" i="22"/>
  <c r="CL20" i="22"/>
  <c r="CC20" i="22"/>
  <c r="F22" i="22"/>
  <c r="BS25" i="22"/>
  <c r="F26" i="22"/>
  <c r="BS29" i="22"/>
  <c r="F29" i="22"/>
  <c r="BS32" i="22"/>
  <c r="F33" i="22"/>
  <c r="BS36" i="22"/>
  <c r="AV26" i="22"/>
  <c r="AU27" i="22"/>
  <c r="F19" i="22"/>
  <c r="F23" i="22"/>
  <c r="BS26" i="22"/>
  <c r="F27" i="22"/>
  <c r="BS30" i="22"/>
  <c r="F30" i="22"/>
  <c r="BS33" i="22"/>
  <c r="F21" i="22"/>
  <c r="BS24" i="22"/>
  <c r="F24" i="22"/>
  <c r="BS27" i="22"/>
  <c r="F31" i="22"/>
  <c r="BS34" i="22"/>
  <c r="AK50" i="23" l="1"/>
  <c r="H51" i="23"/>
  <c r="AK49" i="23" s="1"/>
  <c r="I51" i="26"/>
  <c r="AK50" i="26" s="1"/>
  <c r="I51" i="25"/>
  <c r="D52" i="24"/>
  <c r="E51" i="23"/>
  <c r="G56" i="23" s="1"/>
  <c r="D52" i="23"/>
  <c r="DE23" i="23"/>
  <c r="CV23" i="23" s="1"/>
  <c r="CW23" i="23" s="1"/>
  <c r="DE22" i="23"/>
  <c r="CW22" i="23" s="1"/>
  <c r="D57" i="26"/>
  <c r="E56" i="23"/>
  <c r="AL48" i="23"/>
  <c r="E51" i="24"/>
  <c r="AL48" i="24"/>
  <c r="E56" i="24"/>
  <c r="AK48" i="26"/>
  <c r="D58" i="23"/>
  <c r="DO36" i="26"/>
  <c r="DF36" i="26" s="1"/>
  <c r="DO35" i="26"/>
  <c r="DF35" i="26" s="1"/>
  <c r="DO34" i="26"/>
  <c r="DF34" i="26" s="1"/>
  <c r="DO33" i="26"/>
  <c r="DF33" i="26" s="1"/>
  <c r="DO29" i="26"/>
  <c r="DO32" i="26"/>
  <c r="DF32" i="26" s="1"/>
  <c r="DO28" i="26"/>
  <c r="DO31" i="26"/>
  <c r="DF31" i="26" s="1"/>
  <c r="DO30" i="26"/>
  <c r="DF30" i="26" s="1"/>
  <c r="DO27" i="26"/>
  <c r="DF27" i="26" s="1"/>
  <c r="DO26" i="26"/>
  <c r="DF26" i="26" s="1"/>
  <c r="DO25" i="26"/>
  <c r="DF25" i="26" s="1"/>
  <c r="DO24" i="26"/>
  <c r="DF24" i="26" s="1"/>
  <c r="DG20" i="26"/>
  <c r="DO23" i="26"/>
  <c r="DP20" i="26"/>
  <c r="DY29" i="26" s="1"/>
  <c r="I22" i="26"/>
  <c r="CW25" i="26"/>
  <c r="CW34" i="26"/>
  <c r="CW33" i="26"/>
  <c r="CW30" i="26"/>
  <c r="I23" i="26"/>
  <c r="CW26" i="26"/>
  <c r="CW28" i="26"/>
  <c r="B25" i="26"/>
  <c r="D24" i="26"/>
  <c r="G24" i="26"/>
  <c r="F24" i="26"/>
  <c r="E24" i="26"/>
  <c r="E56" i="26"/>
  <c r="D52" i="26"/>
  <c r="E51" i="26"/>
  <c r="AL47" i="26"/>
  <c r="I20" i="26"/>
  <c r="CW23" i="26"/>
  <c r="I24" i="26"/>
  <c r="CW27" i="26"/>
  <c r="CW32" i="26"/>
  <c r="CW35" i="26"/>
  <c r="AV26" i="26"/>
  <c r="AU27" i="26"/>
  <c r="I21" i="26"/>
  <c r="CW24" i="26"/>
  <c r="CW31" i="26"/>
  <c r="CW29" i="26"/>
  <c r="CW36" i="26"/>
  <c r="H21" i="25"/>
  <c r="CM24" i="25"/>
  <c r="CM28" i="25"/>
  <c r="CM32" i="25"/>
  <c r="B25" i="25"/>
  <c r="D24" i="25"/>
  <c r="E24" i="25"/>
  <c r="F24" i="25"/>
  <c r="DE35" i="25"/>
  <c r="CV35" i="25" s="1"/>
  <c r="DE34" i="25"/>
  <c r="CV34" i="25" s="1"/>
  <c r="DE33" i="25"/>
  <c r="CV33" i="25" s="1"/>
  <c r="DE32" i="25"/>
  <c r="CV32" i="25" s="1"/>
  <c r="DE31" i="25"/>
  <c r="CV31" i="25" s="1"/>
  <c r="DE30" i="25"/>
  <c r="CV30" i="25" s="1"/>
  <c r="DE29" i="25"/>
  <c r="CV29" i="25" s="1"/>
  <c r="DE28" i="25"/>
  <c r="CV28" i="25" s="1"/>
  <c r="DE27" i="25"/>
  <c r="CV27" i="25" s="1"/>
  <c r="DE26" i="25"/>
  <c r="CV26" i="25" s="1"/>
  <c r="DE25" i="25"/>
  <c r="CV25" i="25" s="1"/>
  <c r="DE24" i="25"/>
  <c r="CV24" i="25" s="1"/>
  <c r="DE23" i="25"/>
  <c r="CV23" i="25" s="1"/>
  <c r="DE36" i="25"/>
  <c r="CW20" i="25"/>
  <c r="DF20" i="25"/>
  <c r="DO22" i="25" s="1"/>
  <c r="DG22" i="25" s="1"/>
  <c r="H22" i="25"/>
  <c r="CM25" i="25"/>
  <c r="CM29" i="25"/>
  <c r="CM33" i="25"/>
  <c r="E56" i="25"/>
  <c r="D52" i="25"/>
  <c r="E51" i="25"/>
  <c r="AL48" i="25"/>
  <c r="AV26" i="25"/>
  <c r="AU27" i="25"/>
  <c r="H23" i="25"/>
  <c r="CM26" i="25"/>
  <c r="CM30" i="25"/>
  <c r="CM34" i="25"/>
  <c r="H20" i="25"/>
  <c r="CM23" i="25"/>
  <c r="H24" i="25"/>
  <c r="CM27" i="25"/>
  <c r="CM31" i="25"/>
  <c r="CM35" i="25"/>
  <c r="G24" i="25"/>
  <c r="H22" i="24"/>
  <c r="CM25" i="24"/>
  <c r="CM29" i="24"/>
  <c r="CM33" i="24"/>
  <c r="B25" i="24"/>
  <c r="D24" i="24"/>
  <c r="E24" i="24"/>
  <c r="F24" i="24"/>
  <c r="DE35" i="24"/>
  <c r="CV35" i="24" s="1"/>
  <c r="DE34" i="24"/>
  <c r="CV34" i="24" s="1"/>
  <c r="DE33" i="24"/>
  <c r="CV33" i="24" s="1"/>
  <c r="DE31" i="24"/>
  <c r="CV31" i="24" s="1"/>
  <c r="DE30" i="24"/>
  <c r="CV30" i="24" s="1"/>
  <c r="DE29" i="24"/>
  <c r="CV29" i="24" s="1"/>
  <c r="DE28" i="24"/>
  <c r="CV28" i="24" s="1"/>
  <c r="DE27" i="24"/>
  <c r="CV27" i="24" s="1"/>
  <c r="DE26" i="24"/>
  <c r="CV26" i="24" s="1"/>
  <c r="DE25" i="24"/>
  <c r="CV25" i="24" s="1"/>
  <c r="DE24" i="24"/>
  <c r="CV24" i="24" s="1"/>
  <c r="DE23" i="24"/>
  <c r="DE36" i="24"/>
  <c r="CV36" i="24" s="1"/>
  <c r="DE32" i="24"/>
  <c r="CV32" i="24" s="1"/>
  <c r="DF20" i="24"/>
  <c r="CW20" i="24"/>
  <c r="H23" i="24"/>
  <c r="CM26" i="24"/>
  <c r="CM30" i="24"/>
  <c r="CM34" i="24"/>
  <c r="AV26" i="24"/>
  <c r="AU27" i="24"/>
  <c r="D58" i="24"/>
  <c r="AK50" i="24"/>
  <c r="H20" i="24"/>
  <c r="CM23" i="24"/>
  <c r="H24" i="24"/>
  <c r="CM27" i="24"/>
  <c r="CM31" i="24"/>
  <c r="CM35" i="24"/>
  <c r="H21" i="24"/>
  <c r="CM24" i="24"/>
  <c r="H25" i="24"/>
  <c r="CM28" i="24"/>
  <c r="CM32" i="24"/>
  <c r="CM36" i="24"/>
  <c r="H21" i="23"/>
  <c r="CM24" i="23"/>
  <c r="CM31" i="23"/>
  <c r="CM35" i="23"/>
  <c r="B25" i="23"/>
  <c r="H25" i="23" s="1"/>
  <c r="D24" i="23"/>
  <c r="F24" i="23"/>
  <c r="E24" i="23"/>
  <c r="H22" i="23"/>
  <c r="CM25" i="23"/>
  <c r="CM28" i="23"/>
  <c r="CM32" i="23"/>
  <c r="CM36" i="23"/>
  <c r="H23" i="23"/>
  <c r="CM26" i="23"/>
  <c r="CM29" i="23"/>
  <c r="CM33" i="23"/>
  <c r="DE35" i="23"/>
  <c r="CV35" i="23" s="1"/>
  <c r="DE31" i="23"/>
  <c r="CV31" i="23" s="1"/>
  <c r="DE26" i="23"/>
  <c r="CV26" i="23" s="1"/>
  <c r="DE25" i="23"/>
  <c r="CV25" i="23" s="1"/>
  <c r="DE34" i="23"/>
  <c r="CV34" i="23" s="1"/>
  <c r="DE30" i="23"/>
  <c r="CV30" i="23" s="1"/>
  <c r="DE33" i="23"/>
  <c r="CV33" i="23" s="1"/>
  <c r="DE29" i="23"/>
  <c r="CV29" i="23" s="1"/>
  <c r="DE36" i="23"/>
  <c r="CV36" i="23" s="1"/>
  <c r="DE32" i="23"/>
  <c r="CV32" i="23" s="1"/>
  <c r="DE28" i="23"/>
  <c r="CV28" i="23" s="1"/>
  <c r="DE27" i="23"/>
  <c r="CV27" i="23" s="1"/>
  <c r="DE24" i="23"/>
  <c r="CV24" i="23" s="1"/>
  <c r="DF20" i="23"/>
  <c r="CW20" i="23"/>
  <c r="H24" i="23"/>
  <c r="CM27" i="23"/>
  <c r="CM30" i="23"/>
  <c r="CM34" i="23"/>
  <c r="AU28" i="23"/>
  <c r="AV27" i="23"/>
  <c r="G21" i="22"/>
  <c r="CC24" i="22"/>
  <c r="G25" i="22"/>
  <c r="CC28" i="22"/>
  <c r="G29" i="22"/>
  <c r="CC32" i="22"/>
  <c r="G33" i="22"/>
  <c r="CC36" i="22"/>
  <c r="G19" i="22"/>
  <c r="G22" i="22"/>
  <c r="CC25" i="22"/>
  <c r="G26" i="22"/>
  <c r="CC29" i="22"/>
  <c r="G30" i="22"/>
  <c r="CC33" i="22"/>
  <c r="AV27" i="22"/>
  <c r="AU28" i="22"/>
  <c r="CU36" i="22"/>
  <c r="CL36" i="22" s="1"/>
  <c r="CU35" i="22"/>
  <c r="CL35" i="22" s="1"/>
  <c r="CU34" i="22"/>
  <c r="CL34" i="22" s="1"/>
  <c r="CU33" i="22"/>
  <c r="CL33" i="22" s="1"/>
  <c r="CU32" i="22"/>
  <c r="CL32" i="22" s="1"/>
  <c r="CU31" i="22"/>
  <c r="CL31" i="22" s="1"/>
  <c r="CU30" i="22"/>
  <c r="CL30" i="22" s="1"/>
  <c r="CU29" i="22"/>
  <c r="CL29" i="22" s="1"/>
  <c r="CU28" i="22"/>
  <c r="CL28" i="22" s="1"/>
  <c r="CU27" i="22"/>
  <c r="CL27" i="22" s="1"/>
  <c r="CU26" i="22"/>
  <c r="CL26" i="22" s="1"/>
  <c r="CU25" i="22"/>
  <c r="CL25" i="22" s="1"/>
  <c r="CU24" i="22"/>
  <c r="CL24" i="22" s="1"/>
  <c r="CM24" i="22" s="1"/>
  <c r="CU23" i="22"/>
  <c r="CM20" i="22"/>
  <c r="CV20" i="22"/>
  <c r="G23" i="22"/>
  <c r="CC26" i="22"/>
  <c r="G27" i="22"/>
  <c r="CC30" i="22"/>
  <c r="G31" i="22"/>
  <c r="CC34" i="22"/>
  <c r="G24" i="22"/>
  <c r="CC27" i="22"/>
  <c r="G28" i="22"/>
  <c r="CC31" i="22"/>
  <c r="G32" i="22"/>
  <c r="CC35" i="22"/>
  <c r="AN48" i="23" l="1"/>
  <c r="E52" i="23"/>
  <c r="I51" i="24"/>
  <c r="I51" i="23"/>
  <c r="AK51" i="23" s="1"/>
  <c r="E52" i="24"/>
  <c r="DO22" i="23"/>
  <c r="DG22" i="23" s="1"/>
  <c r="DO23" i="23"/>
  <c r="DF23" i="23" s="1"/>
  <c r="DG23" i="23" s="1"/>
  <c r="D59" i="26"/>
  <c r="G56" i="24"/>
  <c r="AN48" i="24"/>
  <c r="D57" i="23"/>
  <c r="B26" i="26"/>
  <c r="J26" i="26" s="1"/>
  <c r="D25" i="26"/>
  <c r="F25" i="26"/>
  <c r="E25" i="26"/>
  <c r="G25" i="26"/>
  <c r="H25" i="26"/>
  <c r="J21" i="26"/>
  <c r="DG24" i="26"/>
  <c r="DG30" i="26"/>
  <c r="DG29" i="26"/>
  <c r="DG35" i="26"/>
  <c r="AU28" i="26"/>
  <c r="AV27" i="26"/>
  <c r="E52" i="26"/>
  <c r="G56" i="26"/>
  <c r="AN47" i="26"/>
  <c r="DY36" i="26"/>
  <c r="DP36" i="26" s="1"/>
  <c r="DY35" i="26"/>
  <c r="DP35" i="26" s="1"/>
  <c r="DY34" i="26"/>
  <c r="DP34" i="26" s="1"/>
  <c r="DY33" i="26"/>
  <c r="DP33" i="26" s="1"/>
  <c r="DY32" i="26"/>
  <c r="DP32" i="26" s="1"/>
  <c r="DY31" i="26"/>
  <c r="DP31" i="26" s="1"/>
  <c r="DY30" i="26"/>
  <c r="DP30" i="26" s="1"/>
  <c r="DP29" i="26"/>
  <c r="DY28" i="26"/>
  <c r="DP28" i="26" s="1"/>
  <c r="DY27" i="26"/>
  <c r="DP27" i="26" s="1"/>
  <c r="DY26" i="26"/>
  <c r="DP26" i="26" s="1"/>
  <c r="DY25" i="26"/>
  <c r="DP25" i="26" s="1"/>
  <c r="DY24" i="26"/>
  <c r="DP24" i="26" s="1"/>
  <c r="DY23" i="26"/>
  <c r="DZ20" i="26"/>
  <c r="DQ20" i="26"/>
  <c r="J22" i="26"/>
  <c r="DG25" i="26"/>
  <c r="DG31" i="26"/>
  <c r="DG33" i="26"/>
  <c r="DG36" i="26"/>
  <c r="J20" i="26"/>
  <c r="DG23" i="26"/>
  <c r="J23" i="26"/>
  <c r="DG26" i="26"/>
  <c r="J25" i="26"/>
  <c r="DG28" i="26"/>
  <c r="I25" i="26"/>
  <c r="J24" i="26"/>
  <c r="DG27" i="26"/>
  <c r="DG32" i="26"/>
  <c r="DG34" i="26"/>
  <c r="I23" i="25"/>
  <c r="CW26" i="25"/>
  <c r="CW30" i="25"/>
  <c r="CW34" i="25"/>
  <c r="I20" i="25"/>
  <c r="CW23" i="25"/>
  <c r="I24" i="25"/>
  <c r="CW27" i="25"/>
  <c r="CW31" i="25"/>
  <c r="CW35" i="25"/>
  <c r="B26" i="25"/>
  <c r="D25" i="25"/>
  <c r="F25" i="25"/>
  <c r="E25" i="25"/>
  <c r="G25" i="25"/>
  <c r="AV27" i="25"/>
  <c r="AU28" i="25"/>
  <c r="G56" i="25"/>
  <c r="E52" i="25"/>
  <c r="AN48" i="25"/>
  <c r="DO36" i="25"/>
  <c r="DO35" i="25"/>
  <c r="DF35" i="25" s="1"/>
  <c r="DO34" i="25"/>
  <c r="DF34" i="25" s="1"/>
  <c r="DO33" i="25"/>
  <c r="DF33" i="25" s="1"/>
  <c r="DO32" i="25"/>
  <c r="DF32" i="25" s="1"/>
  <c r="DO31" i="25"/>
  <c r="DF31" i="25" s="1"/>
  <c r="DO30" i="25"/>
  <c r="DF30" i="25" s="1"/>
  <c r="DO29" i="25"/>
  <c r="DF29" i="25" s="1"/>
  <c r="DO28" i="25"/>
  <c r="DF28" i="25" s="1"/>
  <c r="DO27" i="25"/>
  <c r="DF27" i="25" s="1"/>
  <c r="DO26" i="25"/>
  <c r="DF26" i="25" s="1"/>
  <c r="DO25" i="25"/>
  <c r="DF25" i="25" s="1"/>
  <c r="DO24" i="25"/>
  <c r="DF24" i="25" s="1"/>
  <c r="DO23" i="25"/>
  <c r="DF23" i="25" s="1"/>
  <c r="DP20" i="25"/>
  <c r="DY22" i="25" s="1"/>
  <c r="DQ22" i="25" s="1"/>
  <c r="DG20" i="25"/>
  <c r="I21" i="25"/>
  <c r="CW24" i="25"/>
  <c r="I25" i="25"/>
  <c r="CW28" i="25"/>
  <c r="CW32" i="25"/>
  <c r="H25" i="25"/>
  <c r="I22" i="25"/>
  <c r="CW25" i="25"/>
  <c r="I26" i="25"/>
  <c r="CW29" i="25"/>
  <c r="CW33" i="25"/>
  <c r="AV27" i="24"/>
  <c r="AU28" i="24"/>
  <c r="I20" i="24"/>
  <c r="CW23" i="24"/>
  <c r="I24" i="24"/>
  <c r="CW27" i="24"/>
  <c r="CW31" i="24"/>
  <c r="DO36" i="24"/>
  <c r="DF36" i="24" s="1"/>
  <c r="DO35" i="24"/>
  <c r="DF35" i="24" s="1"/>
  <c r="DO34" i="24"/>
  <c r="DF34" i="24" s="1"/>
  <c r="DO33" i="24"/>
  <c r="DF33" i="24" s="1"/>
  <c r="DO32" i="24"/>
  <c r="DF32" i="24" s="1"/>
  <c r="DO31" i="24"/>
  <c r="DF31" i="24" s="1"/>
  <c r="DO30" i="24"/>
  <c r="DF30" i="24" s="1"/>
  <c r="DO29" i="24"/>
  <c r="DF29" i="24" s="1"/>
  <c r="DO28" i="24"/>
  <c r="DF28" i="24" s="1"/>
  <c r="DO27" i="24"/>
  <c r="DF27" i="24" s="1"/>
  <c r="DO26" i="24"/>
  <c r="DF26" i="24" s="1"/>
  <c r="DO25" i="24"/>
  <c r="DF25" i="24" s="1"/>
  <c r="DO24" i="24"/>
  <c r="DF24" i="24" s="1"/>
  <c r="DO23" i="24"/>
  <c r="DP20" i="24"/>
  <c r="DG20" i="24"/>
  <c r="I21" i="24"/>
  <c r="CW24" i="24"/>
  <c r="I25" i="24"/>
  <c r="CW28" i="24"/>
  <c r="CW33" i="24"/>
  <c r="D57" i="24"/>
  <c r="AK49" i="24"/>
  <c r="CW32" i="24"/>
  <c r="I22" i="24"/>
  <c r="CW25" i="24"/>
  <c r="CW29" i="24"/>
  <c r="CW34" i="24"/>
  <c r="CW36" i="24"/>
  <c r="I23" i="24"/>
  <c r="CW26" i="24"/>
  <c r="CW30" i="24"/>
  <c r="CW35" i="24"/>
  <c r="B26" i="24"/>
  <c r="D25" i="24"/>
  <c r="E25" i="24"/>
  <c r="F25" i="24"/>
  <c r="G25" i="24"/>
  <c r="AV28" i="23"/>
  <c r="AU29" i="23"/>
  <c r="DO36" i="23"/>
  <c r="DF36" i="23" s="1"/>
  <c r="DO35" i="23"/>
  <c r="DF35" i="23" s="1"/>
  <c r="DO34" i="23"/>
  <c r="DF34" i="23" s="1"/>
  <c r="DO33" i="23"/>
  <c r="DF33" i="23" s="1"/>
  <c r="DO32" i="23"/>
  <c r="DF32" i="23" s="1"/>
  <c r="DO31" i="23"/>
  <c r="DF31" i="23" s="1"/>
  <c r="DO30" i="23"/>
  <c r="DF30" i="23" s="1"/>
  <c r="DO29" i="23"/>
  <c r="DF29" i="23" s="1"/>
  <c r="DO28" i="23"/>
  <c r="DF28" i="23" s="1"/>
  <c r="DO27" i="23"/>
  <c r="DF27" i="23" s="1"/>
  <c r="DO26" i="23"/>
  <c r="DF26" i="23" s="1"/>
  <c r="DO25" i="23"/>
  <c r="DF25" i="23" s="1"/>
  <c r="DO24" i="23"/>
  <c r="DF24" i="23" s="1"/>
  <c r="DP20" i="23"/>
  <c r="DG20" i="23"/>
  <c r="I25" i="23"/>
  <c r="CW28" i="23"/>
  <c r="CW33" i="23"/>
  <c r="I23" i="23"/>
  <c r="CW26" i="23"/>
  <c r="B26" i="23"/>
  <c r="I26" i="23" s="1"/>
  <c r="D25" i="23"/>
  <c r="E25" i="23"/>
  <c r="F25" i="23"/>
  <c r="G25" i="23"/>
  <c r="CW32" i="23"/>
  <c r="CW30" i="23"/>
  <c r="CW31" i="23"/>
  <c r="I21" i="23"/>
  <c r="CW24" i="23"/>
  <c r="CW36" i="23"/>
  <c r="CW34" i="23"/>
  <c r="CW35" i="23"/>
  <c r="I24" i="23"/>
  <c r="CW27" i="23"/>
  <c r="CW29" i="23"/>
  <c r="I22" i="23"/>
  <c r="CW25" i="23"/>
  <c r="DE36" i="22"/>
  <c r="CV36" i="22" s="1"/>
  <c r="DE35" i="22"/>
  <c r="CV35" i="22" s="1"/>
  <c r="DE34" i="22"/>
  <c r="CV34" i="22" s="1"/>
  <c r="DE33" i="22"/>
  <c r="CV33" i="22" s="1"/>
  <c r="DE32" i="22"/>
  <c r="CV32" i="22" s="1"/>
  <c r="DE31" i="22"/>
  <c r="CV31" i="22" s="1"/>
  <c r="DE30" i="22"/>
  <c r="CV30" i="22" s="1"/>
  <c r="DE26" i="22"/>
  <c r="CV26" i="22" s="1"/>
  <c r="CW26" i="22" s="1"/>
  <c r="DE29" i="22"/>
  <c r="CV29" i="22" s="1"/>
  <c r="DE25" i="22"/>
  <c r="CV25" i="22" s="1"/>
  <c r="CW25" i="22" s="1"/>
  <c r="DE24" i="22"/>
  <c r="CV24" i="22" s="1"/>
  <c r="CW24" i="22" s="1"/>
  <c r="DF20" i="22"/>
  <c r="DE27" i="22"/>
  <c r="CV27" i="22" s="1"/>
  <c r="DE28" i="22"/>
  <c r="CV28" i="22" s="1"/>
  <c r="DE23" i="22"/>
  <c r="CW20" i="22"/>
  <c r="H21" i="22"/>
  <c r="H25" i="22"/>
  <c r="CM28" i="22"/>
  <c r="H32" i="22"/>
  <c r="CM35" i="22"/>
  <c r="H19" i="22"/>
  <c r="H22" i="22"/>
  <c r="CM25" i="22"/>
  <c r="H26" i="22"/>
  <c r="CM29" i="22"/>
  <c r="H29" i="22"/>
  <c r="CM32" i="22"/>
  <c r="H33" i="22"/>
  <c r="CM36" i="22"/>
  <c r="H23" i="22"/>
  <c r="CM26" i="22"/>
  <c r="H27" i="22"/>
  <c r="CM30" i="22"/>
  <c r="H30" i="22"/>
  <c r="CM33" i="22"/>
  <c r="AV28" i="22"/>
  <c r="AU29" i="22"/>
  <c r="H24" i="22"/>
  <c r="CM27" i="22"/>
  <c r="H28" i="22"/>
  <c r="CM31" i="22"/>
  <c r="H31" i="22"/>
  <c r="CM34" i="22"/>
  <c r="DY22" i="23" l="1"/>
  <c r="DQ22" i="23" s="1"/>
  <c r="DY23" i="23"/>
  <c r="DP23" i="23" s="1"/>
  <c r="DQ23" i="23" s="1"/>
  <c r="D59" i="23"/>
  <c r="K22" i="26"/>
  <c r="DQ25" i="26"/>
  <c r="K26" i="26"/>
  <c r="DQ29" i="26"/>
  <c r="DQ33" i="26"/>
  <c r="AV28" i="26"/>
  <c r="AU29" i="26"/>
  <c r="B27" i="26"/>
  <c r="K27" i="26" s="1"/>
  <c r="D26" i="26"/>
  <c r="F26" i="26"/>
  <c r="E26" i="26"/>
  <c r="G26" i="26"/>
  <c r="H26" i="26"/>
  <c r="I26" i="26"/>
  <c r="EI36" i="26"/>
  <c r="DZ36" i="26" s="1"/>
  <c r="EI35" i="26"/>
  <c r="DZ35" i="26" s="1"/>
  <c r="EI34" i="26"/>
  <c r="DZ34" i="26" s="1"/>
  <c r="EI33" i="26"/>
  <c r="DZ33" i="26" s="1"/>
  <c r="EI32" i="26"/>
  <c r="DZ32" i="26" s="1"/>
  <c r="EI31" i="26"/>
  <c r="DZ31" i="26" s="1"/>
  <c r="EI30" i="26"/>
  <c r="DZ30" i="26" s="1"/>
  <c r="EI29" i="26"/>
  <c r="DZ29" i="26" s="1"/>
  <c r="EI28" i="26"/>
  <c r="DZ28" i="26" s="1"/>
  <c r="EI27" i="26"/>
  <c r="DZ27" i="26" s="1"/>
  <c r="EI26" i="26"/>
  <c r="DZ26" i="26" s="1"/>
  <c r="EI25" i="26"/>
  <c r="DZ25" i="26" s="1"/>
  <c r="EI24" i="26"/>
  <c r="DZ24" i="26" s="1"/>
  <c r="EI23" i="26"/>
  <c r="EA20" i="26"/>
  <c r="EJ20" i="26"/>
  <c r="K23" i="26"/>
  <c r="DQ26" i="26"/>
  <c r="DQ30" i="26"/>
  <c r="DQ34" i="26"/>
  <c r="K20" i="26"/>
  <c r="DQ23" i="26"/>
  <c r="K24" i="26"/>
  <c r="DQ27" i="26"/>
  <c r="DQ31" i="26"/>
  <c r="DQ35" i="26"/>
  <c r="K21" i="26"/>
  <c r="DQ24" i="26"/>
  <c r="K25" i="26"/>
  <c r="DQ28" i="26"/>
  <c r="DQ32" i="26"/>
  <c r="DQ36" i="26"/>
  <c r="DY36" i="25"/>
  <c r="DY35" i="25"/>
  <c r="DP35" i="25" s="1"/>
  <c r="DY34" i="25"/>
  <c r="DP34" i="25" s="1"/>
  <c r="DY33" i="25"/>
  <c r="DP33" i="25" s="1"/>
  <c r="DY32" i="25"/>
  <c r="DP32" i="25" s="1"/>
  <c r="DY31" i="25"/>
  <c r="DP31" i="25" s="1"/>
  <c r="DY30" i="25"/>
  <c r="DP30" i="25" s="1"/>
  <c r="DY29" i="25"/>
  <c r="DP29" i="25" s="1"/>
  <c r="DY28" i="25"/>
  <c r="DP28" i="25" s="1"/>
  <c r="DY27" i="25"/>
  <c r="DP27" i="25" s="1"/>
  <c r="DY26" i="25"/>
  <c r="DP26" i="25" s="1"/>
  <c r="DY25" i="25"/>
  <c r="DP25" i="25" s="1"/>
  <c r="DQ20" i="25"/>
  <c r="DY24" i="25"/>
  <c r="DP24" i="25" s="1"/>
  <c r="DY23" i="25"/>
  <c r="DP23" i="25" s="1"/>
  <c r="DZ20" i="25"/>
  <c r="EI22" i="25" s="1"/>
  <c r="EA22" i="25" s="1"/>
  <c r="J23" i="25"/>
  <c r="DG26" i="25"/>
  <c r="DG30" i="25"/>
  <c r="DG34" i="25"/>
  <c r="B27" i="25"/>
  <c r="D26" i="25"/>
  <c r="F26" i="25"/>
  <c r="E26" i="25"/>
  <c r="G26" i="25"/>
  <c r="H26" i="25"/>
  <c r="J20" i="25"/>
  <c r="DG23" i="25"/>
  <c r="J24" i="25"/>
  <c r="DG27" i="25"/>
  <c r="DG31" i="25"/>
  <c r="DG35" i="25"/>
  <c r="J21" i="25"/>
  <c r="DG24" i="25"/>
  <c r="J25" i="25"/>
  <c r="DG28" i="25"/>
  <c r="DG32" i="25"/>
  <c r="J22" i="25"/>
  <c r="DG25" i="25"/>
  <c r="J26" i="25"/>
  <c r="DG29" i="25"/>
  <c r="DG33" i="25"/>
  <c r="AV28" i="25"/>
  <c r="AU29" i="25"/>
  <c r="B27" i="24"/>
  <c r="J27" i="24" s="1"/>
  <c r="D26" i="24"/>
  <c r="E26" i="24"/>
  <c r="F26" i="24"/>
  <c r="G26" i="24"/>
  <c r="H26" i="24"/>
  <c r="J20" i="24"/>
  <c r="DG23" i="24"/>
  <c r="J24" i="24"/>
  <c r="DG27" i="24"/>
  <c r="DG31" i="24"/>
  <c r="DG34" i="24"/>
  <c r="AV28" i="24"/>
  <c r="AU29" i="24"/>
  <c r="I26" i="24"/>
  <c r="J21" i="24"/>
  <c r="DG24" i="24"/>
  <c r="J25" i="24"/>
  <c r="DG28" i="24"/>
  <c r="DG35" i="24"/>
  <c r="D59" i="24"/>
  <c r="AK51" i="24"/>
  <c r="J22" i="24"/>
  <c r="DG25" i="24"/>
  <c r="J26" i="24"/>
  <c r="DG29" i="24"/>
  <c r="DG32" i="24"/>
  <c r="DG36" i="24"/>
  <c r="DY33" i="24"/>
  <c r="DP33" i="24" s="1"/>
  <c r="DY31" i="24"/>
  <c r="DP31" i="24" s="1"/>
  <c r="DY30" i="24"/>
  <c r="DP30" i="24" s="1"/>
  <c r="DY29" i="24"/>
  <c r="DP29" i="24" s="1"/>
  <c r="DY28" i="24"/>
  <c r="DP28" i="24" s="1"/>
  <c r="DY27" i="24"/>
  <c r="DP27" i="24" s="1"/>
  <c r="DY36" i="24"/>
  <c r="DP36" i="24" s="1"/>
  <c r="DY32" i="24"/>
  <c r="DP32" i="24" s="1"/>
  <c r="DY35" i="24"/>
  <c r="DP35" i="24" s="1"/>
  <c r="DY34" i="24"/>
  <c r="DP34" i="24" s="1"/>
  <c r="DY26" i="24"/>
  <c r="DP26" i="24" s="1"/>
  <c r="DY25" i="24"/>
  <c r="DP25" i="24" s="1"/>
  <c r="DY24" i="24"/>
  <c r="DP24" i="24" s="1"/>
  <c r="DZ20" i="24"/>
  <c r="DY23" i="24"/>
  <c r="DQ20" i="24"/>
  <c r="J23" i="24"/>
  <c r="DG26" i="24"/>
  <c r="DG30" i="24"/>
  <c r="DG33" i="24"/>
  <c r="DG30" i="23"/>
  <c r="DG34" i="23"/>
  <c r="J21" i="23"/>
  <c r="DG24" i="23"/>
  <c r="J24" i="23"/>
  <c r="DG27" i="23"/>
  <c r="DG31" i="23"/>
  <c r="DG35" i="23"/>
  <c r="B27" i="23"/>
  <c r="D26" i="23"/>
  <c r="E26" i="23"/>
  <c r="F26" i="23"/>
  <c r="G26" i="23"/>
  <c r="H26" i="23"/>
  <c r="J22" i="23"/>
  <c r="DG25" i="23"/>
  <c r="J25" i="23"/>
  <c r="DG28" i="23"/>
  <c r="DG32" i="23"/>
  <c r="DG36" i="23"/>
  <c r="DY36" i="23"/>
  <c r="DP36" i="23" s="1"/>
  <c r="DY35" i="23"/>
  <c r="DP35" i="23" s="1"/>
  <c r="DY34" i="23"/>
  <c r="DP34" i="23" s="1"/>
  <c r="DY33" i="23"/>
  <c r="DP33" i="23" s="1"/>
  <c r="DY32" i="23"/>
  <c r="DP32" i="23" s="1"/>
  <c r="DY31" i="23"/>
  <c r="DP31" i="23" s="1"/>
  <c r="DY30" i="23"/>
  <c r="DP30" i="23" s="1"/>
  <c r="DY29" i="23"/>
  <c r="DP29" i="23" s="1"/>
  <c r="DY28" i="23"/>
  <c r="DP28" i="23" s="1"/>
  <c r="DY27" i="23"/>
  <c r="DP27" i="23" s="1"/>
  <c r="DY26" i="23"/>
  <c r="DP26" i="23" s="1"/>
  <c r="DY25" i="23"/>
  <c r="DP25" i="23" s="1"/>
  <c r="DY24" i="23"/>
  <c r="DP24" i="23" s="1"/>
  <c r="DZ20" i="23"/>
  <c r="DQ20" i="23"/>
  <c r="J23" i="23"/>
  <c r="DG26" i="23"/>
  <c r="J26" i="23"/>
  <c r="DG29" i="23"/>
  <c r="DG33" i="23"/>
  <c r="AV29" i="23"/>
  <c r="AU30" i="23"/>
  <c r="I25" i="22"/>
  <c r="CW28" i="22"/>
  <c r="I22" i="22"/>
  <c r="I29" i="22"/>
  <c r="CW32" i="22"/>
  <c r="I33" i="22"/>
  <c r="CW36" i="22"/>
  <c r="I24" i="22"/>
  <c r="CW27" i="22"/>
  <c r="I26" i="22"/>
  <c r="CW29" i="22"/>
  <c r="I30" i="22"/>
  <c r="CW33" i="22"/>
  <c r="AV29" i="22"/>
  <c r="AU30" i="22"/>
  <c r="DO36" i="22"/>
  <c r="DF36" i="22" s="1"/>
  <c r="DO35" i="22"/>
  <c r="DF35" i="22" s="1"/>
  <c r="DO34" i="22"/>
  <c r="DF34" i="22" s="1"/>
  <c r="DO33" i="22"/>
  <c r="DF33" i="22" s="1"/>
  <c r="DO32" i="22"/>
  <c r="DF32" i="22" s="1"/>
  <c r="DO31" i="22"/>
  <c r="DF31" i="22" s="1"/>
  <c r="DO30" i="22"/>
  <c r="DF30" i="22" s="1"/>
  <c r="DO29" i="22"/>
  <c r="DF29" i="22" s="1"/>
  <c r="DO28" i="22"/>
  <c r="DF28" i="22" s="1"/>
  <c r="DO27" i="22"/>
  <c r="DF27" i="22" s="1"/>
  <c r="DO26" i="22"/>
  <c r="DF26" i="22" s="1"/>
  <c r="DO25" i="22"/>
  <c r="DF25" i="22" s="1"/>
  <c r="DG20" i="22"/>
  <c r="DP20" i="22"/>
  <c r="DO24" i="22"/>
  <c r="DF24" i="22" s="1"/>
  <c r="DO23" i="22"/>
  <c r="I19" i="22"/>
  <c r="I27" i="22"/>
  <c r="CW30" i="22"/>
  <c r="I31" i="22"/>
  <c r="CW34" i="22"/>
  <c r="I21" i="22"/>
  <c r="I23" i="22"/>
  <c r="I28" i="22"/>
  <c r="CW31" i="22"/>
  <c r="I32" i="22"/>
  <c r="CW35" i="22"/>
  <c r="EI22" i="23" l="1"/>
  <c r="EA22" i="23" s="1"/>
  <c r="EI23" i="23"/>
  <c r="DZ23" i="23" s="1"/>
  <c r="EA23" i="23" s="1"/>
  <c r="L23" i="26"/>
  <c r="EA26" i="26"/>
  <c r="L27" i="26"/>
  <c r="EA30" i="26"/>
  <c r="EA34" i="26"/>
  <c r="L20" i="26"/>
  <c r="EA23" i="26"/>
  <c r="L24" i="26"/>
  <c r="EA27" i="26"/>
  <c r="EA31" i="26"/>
  <c r="EA35" i="26"/>
  <c r="AV29" i="26"/>
  <c r="AU30" i="26"/>
  <c r="L21" i="26"/>
  <c r="EA24" i="26"/>
  <c r="L25" i="26"/>
  <c r="EA28" i="26"/>
  <c r="EA32" i="26"/>
  <c r="EA36" i="26"/>
  <c r="B28" i="26"/>
  <c r="L28" i="26" s="1"/>
  <c r="D27" i="26"/>
  <c r="G27" i="26"/>
  <c r="F27" i="26"/>
  <c r="E27" i="26"/>
  <c r="H27" i="26"/>
  <c r="I27" i="26"/>
  <c r="J27" i="26"/>
  <c r="ES36" i="26"/>
  <c r="EJ36" i="26" s="1"/>
  <c r="ES35" i="26"/>
  <c r="EJ35" i="26" s="1"/>
  <c r="ES34" i="26"/>
  <c r="EJ34" i="26" s="1"/>
  <c r="ES33" i="26"/>
  <c r="EJ33" i="26" s="1"/>
  <c r="ES29" i="26"/>
  <c r="EJ29" i="26" s="1"/>
  <c r="ES32" i="26"/>
  <c r="EJ32" i="26" s="1"/>
  <c r="ES28" i="26"/>
  <c r="EJ28" i="26" s="1"/>
  <c r="ES31" i="26"/>
  <c r="EJ31" i="26" s="1"/>
  <c r="ES27" i="26"/>
  <c r="EJ27" i="26" s="1"/>
  <c r="ES26" i="26"/>
  <c r="EJ26" i="26" s="1"/>
  <c r="ES25" i="26"/>
  <c r="EJ25" i="26" s="1"/>
  <c r="ES24" i="26"/>
  <c r="EJ24" i="26" s="1"/>
  <c r="ES23" i="26"/>
  <c r="ES30" i="26"/>
  <c r="EJ30" i="26" s="1"/>
  <c r="ET20" i="26"/>
  <c r="EK20" i="26"/>
  <c r="L22" i="26"/>
  <c r="EA25" i="26"/>
  <c r="L26" i="26"/>
  <c r="EA29" i="26"/>
  <c r="EA33" i="26"/>
  <c r="B28" i="25"/>
  <c r="D27" i="25"/>
  <c r="F27" i="25"/>
  <c r="E27" i="25"/>
  <c r="G27" i="25"/>
  <c r="H27" i="25"/>
  <c r="I27" i="25"/>
  <c r="K20" i="25"/>
  <c r="DQ23" i="25"/>
  <c r="K23" i="25"/>
  <c r="DQ26" i="25"/>
  <c r="K27" i="25"/>
  <c r="DQ30" i="25"/>
  <c r="DQ34" i="25"/>
  <c r="AV29" i="25"/>
  <c r="AU30" i="25"/>
  <c r="K21" i="25"/>
  <c r="DQ24" i="25"/>
  <c r="K24" i="25"/>
  <c r="DQ27" i="25"/>
  <c r="K28" i="25"/>
  <c r="DQ31" i="25"/>
  <c r="DQ35" i="25"/>
  <c r="K25" i="25"/>
  <c r="DQ28" i="25"/>
  <c r="DQ32" i="25"/>
  <c r="J27" i="25"/>
  <c r="EI36" i="25"/>
  <c r="EI35" i="25"/>
  <c r="DZ35" i="25" s="1"/>
  <c r="EI34" i="25"/>
  <c r="DZ34" i="25" s="1"/>
  <c r="EI33" i="25"/>
  <c r="DZ33" i="25" s="1"/>
  <c r="EI32" i="25"/>
  <c r="DZ32" i="25" s="1"/>
  <c r="EI31" i="25"/>
  <c r="DZ31" i="25" s="1"/>
  <c r="EI30" i="25"/>
  <c r="DZ30" i="25" s="1"/>
  <c r="EI29" i="25"/>
  <c r="DZ29" i="25" s="1"/>
  <c r="EI28" i="25"/>
  <c r="DZ28" i="25" s="1"/>
  <c r="EI27" i="25"/>
  <c r="DZ27" i="25" s="1"/>
  <c r="EI26" i="25"/>
  <c r="DZ26" i="25" s="1"/>
  <c r="EI25" i="25"/>
  <c r="DZ25" i="25" s="1"/>
  <c r="EI24" i="25"/>
  <c r="DZ24" i="25" s="1"/>
  <c r="EI23" i="25"/>
  <c r="DZ23" i="25" s="1"/>
  <c r="EJ20" i="25"/>
  <c r="ES22" i="25" s="1"/>
  <c r="EK22" i="25" s="1"/>
  <c r="EA20" i="25"/>
  <c r="K22" i="25"/>
  <c r="DQ25" i="25"/>
  <c r="K26" i="25"/>
  <c r="DQ29" i="25"/>
  <c r="DQ33" i="25"/>
  <c r="K22" i="24"/>
  <c r="DQ25" i="24"/>
  <c r="DQ32" i="24"/>
  <c r="K26" i="24"/>
  <c r="DQ29" i="24"/>
  <c r="K20" i="24"/>
  <c r="DQ23" i="24"/>
  <c r="K23" i="24"/>
  <c r="DQ26" i="24"/>
  <c r="DQ36" i="24"/>
  <c r="K27" i="24"/>
  <c r="DQ30" i="24"/>
  <c r="EI36" i="24"/>
  <c r="DZ36" i="24" s="1"/>
  <c r="EI35" i="24"/>
  <c r="DZ35" i="24" s="1"/>
  <c r="EI34" i="24"/>
  <c r="DZ34" i="24" s="1"/>
  <c r="EI33" i="24"/>
  <c r="DZ33" i="24" s="1"/>
  <c r="EI32" i="24"/>
  <c r="DZ32" i="24" s="1"/>
  <c r="EI31" i="24"/>
  <c r="DZ31" i="24" s="1"/>
  <c r="EI30" i="24"/>
  <c r="DZ30" i="24" s="1"/>
  <c r="EI29" i="24"/>
  <c r="DZ29" i="24" s="1"/>
  <c r="EI28" i="24"/>
  <c r="DZ28" i="24" s="1"/>
  <c r="EI27" i="24"/>
  <c r="DZ27" i="24" s="1"/>
  <c r="EI26" i="24"/>
  <c r="DZ26" i="24" s="1"/>
  <c r="EI25" i="24"/>
  <c r="DZ25" i="24" s="1"/>
  <c r="EI24" i="24"/>
  <c r="DZ24" i="24" s="1"/>
  <c r="EI23" i="24"/>
  <c r="EJ20" i="24"/>
  <c r="EA20" i="24"/>
  <c r="DQ34" i="24"/>
  <c r="K24" i="24"/>
  <c r="DQ27" i="24"/>
  <c r="DQ31" i="24"/>
  <c r="B28" i="24"/>
  <c r="D27" i="24"/>
  <c r="F27" i="24"/>
  <c r="E27" i="24"/>
  <c r="G27" i="24"/>
  <c r="H27" i="24"/>
  <c r="I27" i="24"/>
  <c r="K21" i="24"/>
  <c r="DQ24" i="24"/>
  <c r="DQ35" i="24"/>
  <c r="K25" i="24"/>
  <c r="DQ28" i="24"/>
  <c r="DQ33" i="24"/>
  <c r="AV29" i="24"/>
  <c r="AU30" i="24"/>
  <c r="AV30" i="23"/>
  <c r="AU31" i="23"/>
  <c r="K22" i="23"/>
  <c r="DQ25" i="23"/>
  <c r="K26" i="23"/>
  <c r="DQ29" i="23"/>
  <c r="DQ33" i="23"/>
  <c r="K23" i="23"/>
  <c r="DQ26" i="23"/>
  <c r="K27" i="23"/>
  <c r="DQ30" i="23"/>
  <c r="DQ34" i="23"/>
  <c r="B28" i="23"/>
  <c r="D27" i="23"/>
  <c r="E27" i="23"/>
  <c r="F27" i="23"/>
  <c r="G27" i="23"/>
  <c r="H27" i="23"/>
  <c r="I27" i="23"/>
  <c r="J27" i="23"/>
  <c r="EI36" i="23"/>
  <c r="DZ36" i="23" s="1"/>
  <c r="EI35" i="23"/>
  <c r="DZ35" i="23" s="1"/>
  <c r="EI34" i="23"/>
  <c r="DZ34" i="23" s="1"/>
  <c r="EI33" i="23"/>
  <c r="DZ33" i="23" s="1"/>
  <c r="EI32" i="23"/>
  <c r="DZ32" i="23" s="1"/>
  <c r="EI31" i="23"/>
  <c r="DZ31" i="23" s="1"/>
  <c r="EI30" i="23"/>
  <c r="DZ30" i="23" s="1"/>
  <c r="EI29" i="23"/>
  <c r="DZ29" i="23" s="1"/>
  <c r="EI28" i="23"/>
  <c r="DZ28" i="23" s="1"/>
  <c r="EI27" i="23"/>
  <c r="DZ27" i="23" s="1"/>
  <c r="EI26" i="23"/>
  <c r="DZ26" i="23" s="1"/>
  <c r="EI25" i="23"/>
  <c r="DZ25" i="23" s="1"/>
  <c r="EI24" i="23"/>
  <c r="DZ24" i="23" s="1"/>
  <c r="EJ20" i="23"/>
  <c r="EA20" i="23"/>
  <c r="DQ27" i="23"/>
  <c r="K24" i="23"/>
  <c r="K28" i="23"/>
  <c r="DQ31" i="23"/>
  <c r="DQ35" i="23"/>
  <c r="K21" i="23"/>
  <c r="DQ24" i="23"/>
  <c r="K25" i="23"/>
  <c r="DQ28" i="23"/>
  <c r="DQ32" i="23"/>
  <c r="DQ36" i="23"/>
  <c r="J25" i="22"/>
  <c r="DG28" i="22"/>
  <c r="J29" i="22"/>
  <c r="DG32" i="22"/>
  <c r="J33" i="22"/>
  <c r="DG36" i="22"/>
  <c r="J19" i="22"/>
  <c r="J22" i="22"/>
  <c r="DG25" i="22"/>
  <c r="J26" i="22"/>
  <c r="DG29" i="22"/>
  <c r="J30" i="22"/>
  <c r="DG33" i="22"/>
  <c r="J21" i="22"/>
  <c r="DG24" i="22"/>
  <c r="J23" i="22"/>
  <c r="DG26" i="22"/>
  <c r="J27" i="22"/>
  <c r="DG30" i="22"/>
  <c r="DG34" i="22"/>
  <c r="J31" i="22"/>
  <c r="AU31" i="22"/>
  <c r="AV30" i="22"/>
  <c r="DY36" i="22"/>
  <c r="DP36" i="22" s="1"/>
  <c r="DY35" i="22"/>
  <c r="DP35" i="22" s="1"/>
  <c r="DY34" i="22"/>
  <c r="DP34" i="22" s="1"/>
  <c r="DY33" i="22"/>
  <c r="DP33" i="22" s="1"/>
  <c r="DY32" i="22"/>
  <c r="DP32" i="22" s="1"/>
  <c r="DY31" i="22"/>
  <c r="DP31" i="22" s="1"/>
  <c r="DY30" i="22"/>
  <c r="DP30" i="22" s="1"/>
  <c r="DY29" i="22"/>
  <c r="DP29" i="22" s="1"/>
  <c r="DY28" i="22"/>
  <c r="DP28" i="22" s="1"/>
  <c r="DY27" i="22"/>
  <c r="DP27" i="22" s="1"/>
  <c r="DY26" i="22"/>
  <c r="DP26" i="22" s="1"/>
  <c r="DY25" i="22"/>
  <c r="DP25" i="22" s="1"/>
  <c r="DY24" i="22"/>
  <c r="DP24" i="22" s="1"/>
  <c r="DY23" i="22"/>
  <c r="DZ20" i="22"/>
  <c r="DQ20" i="22"/>
  <c r="J24" i="22"/>
  <c r="DG27" i="22"/>
  <c r="J28" i="22"/>
  <c r="DG31" i="22"/>
  <c r="J32" i="22"/>
  <c r="DG35" i="22"/>
  <c r="ES23" i="23" l="1"/>
  <c r="EJ23" i="23" s="1"/>
  <c r="EK23" i="23" s="1"/>
  <c r="ES22" i="23"/>
  <c r="EK22" i="23" s="1"/>
  <c r="M27" i="26"/>
  <c r="EK30" i="26"/>
  <c r="M23" i="26"/>
  <c r="EK26" i="26"/>
  <c r="EK32" i="26"/>
  <c r="EK34" i="26"/>
  <c r="M20" i="26"/>
  <c r="EK23" i="26"/>
  <c r="M24" i="26"/>
  <c r="EK27" i="26"/>
  <c r="M26" i="26"/>
  <c r="EK29" i="26"/>
  <c r="EK35" i="26"/>
  <c r="M21" i="26"/>
  <c r="EK24" i="26"/>
  <c r="M28" i="26"/>
  <c r="EK31" i="26"/>
  <c r="EK33" i="26"/>
  <c r="EK36" i="26"/>
  <c r="AV30" i="26"/>
  <c r="AU31" i="26"/>
  <c r="FC36" i="26"/>
  <c r="ET36" i="26" s="1"/>
  <c r="FC35" i="26"/>
  <c r="ET35" i="26" s="1"/>
  <c r="FC34" i="26"/>
  <c r="ET34" i="26" s="1"/>
  <c r="FC33" i="26"/>
  <c r="ET33" i="26" s="1"/>
  <c r="FC29" i="26"/>
  <c r="ET29" i="26" s="1"/>
  <c r="FC32" i="26"/>
  <c r="ET32" i="26" s="1"/>
  <c r="FC28" i="26"/>
  <c r="ET28" i="26" s="1"/>
  <c r="FC31" i="26"/>
  <c r="ET31" i="26" s="1"/>
  <c r="FC27" i="26"/>
  <c r="ET27" i="26" s="1"/>
  <c r="FC30" i="26"/>
  <c r="ET30" i="26" s="1"/>
  <c r="FC26" i="26"/>
  <c r="ET26" i="26" s="1"/>
  <c r="FC25" i="26"/>
  <c r="ET25" i="26" s="1"/>
  <c r="FC24" i="26"/>
  <c r="ET24" i="26" s="1"/>
  <c r="EU20" i="26"/>
  <c r="FC23" i="26"/>
  <c r="FD20" i="26"/>
  <c r="M22" i="26"/>
  <c r="EK25" i="26"/>
  <c r="M25" i="26"/>
  <c r="EK28" i="26"/>
  <c r="B29" i="26"/>
  <c r="M29" i="26" s="1"/>
  <c r="D28" i="26"/>
  <c r="G28" i="26"/>
  <c r="E28" i="26"/>
  <c r="F28" i="26"/>
  <c r="H28" i="26"/>
  <c r="I28" i="26"/>
  <c r="J28" i="26"/>
  <c r="K28" i="26"/>
  <c r="L20" i="25"/>
  <c r="EA23" i="25"/>
  <c r="L24" i="25"/>
  <c r="EA27" i="25"/>
  <c r="L28" i="25"/>
  <c r="EA31" i="25"/>
  <c r="EA35" i="25"/>
  <c r="L21" i="25"/>
  <c r="EA24" i="25"/>
  <c r="L25" i="25"/>
  <c r="EA28" i="25"/>
  <c r="EA32" i="25"/>
  <c r="ES35" i="25"/>
  <c r="EJ35" i="25" s="1"/>
  <c r="ES34" i="25"/>
  <c r="EJ34" i="25" s="1"/>
  <c r="ES33" i="25"/>
  <c r="EJ33" i="25" s="1"/>
  <c r="ES32" i="25"/>
  <c r="EJ32" i="25" s="1"/>
  <c r="ES31" i="25"/>
  <c r="EJ31" i="25" s="1"/>
  <c r="ES30" i="25"/>
  <c r="EJ30" i="25" s="1"/>
  <c r="ES29" i="25"/>
  <c r="EJ29" i="25" s="1"/>
  <c r="ES28" i="25"/>
  <c r="EJ28" i="25" s="1"/>
  <c r="ES27" i="25"/>
  <c r="EJ27" i="25" s="1"/>
  <c r="ES26" i="25"/>
  <c r="EJ26" i="25" s="1"/>
  <c r="ES25" i="25"/>
  <c r="EJ25" i="25" s="1"/>
  <c r="ES24" i="25"/>
  <c r="EJ24" i="25" s="1"/>
  <c r="ES23" i="25"/>
  <c r="EJ23" i="25" s="1"/>
  <c r="ES36" i="25"/>
  <c r="EK20" i="25"/>
  <c r="ET20" i="25"/>
  <c r="FC22" i="25" s="1"/>
  <c r="EU22" i="25" s="1"/>
  <c r="L22" i="25"/>
  <c r="EA25" i="25"/>
  <c r="L26" i="25"/>
  <c r="EA29" i="25"/>
  <c r="EA33" i="25"/>
  <c r="AV30" i="25"/>
  <c r="AU31" i="25"/>
  <c r="L23" i="25"/>
  <c r="EA26" i="25"/>
  <c r="L27" i="25"/>
  <c r="EA30" i="25"/>
  <c r="EA34" i="25"/>
  <c r="B29" i="25"/>
  <c r="D28" i="25"/>
  <c r="E28" i="25"/>
  <c r="F28" i="25"/>
  <c r="G28" i="25"/>
  <c r="H28" i="25"/>
  <c r="I28" i="25"/>
  <c r="J28" i="25"/>
  <c r="B29" i="24"/>
  <c r="D28" i="24"/>
  <c r="E28" i="24"/>
  <c r="F28" i="24"/>
  <c r="G28" i="24"/>
  <c r="H28" i="24"/>
  <c r="I28" i="24"/>
  <c r="J28" i="24"/>
  <c r="L20" i="24"/>
  <c r="EA23" i="24"/>
  <c r="L24" i="24"/>
  <c r="EA27" i="24"/>
  <c r="L28" i="24"/>
  <c r="EA31" i="24"/>
  <c r="EA35" i="24"/>
  <c r="L21" i="24"/>
  <c r="EA24" i="24"/>
  <c r="L25" i="24"/>
  <c r="EA28" i="24"/>
  <c r="L29" i="24"/>
  <c r="EA32" i="24"/>
  <c r="EA36" i="24"/>
  <c r="AV30" i="24"/>
  <c r="AU31" i="24"/>
  <c r="L22" i="24"/>
  <c r="EA25" i="24"/>
  <c r="L26" i="24"/>
  <c r="EA29" i="24"/>
  <c r="EA33" i="24"/>
  <c r="K28" i="24"/>
  <c r="ES35" i="24"/>
  <c r="EJ35" i="24" s="1"/>
  <c r="ES31" i="24"/>
  <c r="EJ31" i="24" s="1"/>
  <c r="ES34" i="24"/>
  <c r="EJ34" i="24" s="1"/>
  <c r="ES33" i="24"/>
  <c r="EJ33" i="24" s="1"/>
  <c r="ES30" i="24"/>
  <c r="EJ30" i="24" s="1"/>
  <c r="ES29" i="24"/>
  <c r="EJ29" i="24" s="1"/>
  <c r="ES28" i="24"/>
  <c r="EJ28" i="24" s="1"/>
  <c r="ES27" i="24"/>
  <c r="EJ27" i="24" s="1"/>
  <c r="ES26" i="24"/>
  <c r="EJ26" i="24" s="1"/>
  <c r="ES25" i="24"/>
  <c r="EJ25" i="24" s="1"/>
  <c r="ES24" i="24"/>
  <c r="EJ24" i="24" s="1"/>
  <c r="ES23" i="24"/>
  <c r="ES36" i="24"/>
  <c r="EJ36" i="24" s="1"/>
  <c r="ES32" i="24"/>
  <c r="EJ32" i="24" s="1"/>
  <c r="ET20" i="24"/>
  <c r="EK20" i="24"/>
  <c r="L23" i="24"/>
  <c r="EA26" i="24"/>
  <c r="L27" i="24"/>
  <c r="EA30" i="24"/>
  <c r="EA34" i="24"/>
  <c r="L22" i="23"/>
  <c r="EA25" i="23"/>
  <c r="L25" i="23"/>
  <c r="EA28" i="23"/>
  <c r="EA32" i="23"/>
  <c r="EA36" i="23"/>
  <c r="ES35" i="23"/>
  <c r="EJ35" i="23" s="1"/>
  <c r="ES31" i="23"/>
  <c r="EJ31" i="23" s="1"/>
  <c r="ES27" i="23"/>
  <c r="EJ27" i="23" s="1"/>
  <c r="ES26" i="23"/>
  <c r="EJ26" i="23" s="1"/>
  <c r="ES25" i="23"/>
  <c r="EJ25" i="23" s="1"/>
  <c r="ES34" i="23"/>
  <c r="EJ34" i="23" s="1"/>
  <c r="ES30" i="23"/>
  <c r="EJ30" i="23" s="1"/>
  <c r="ES33" i="23"/>
  <c r="EJ33" i="23" s="1"/>
  <c r="ES29" i="23"/>
  <c r="EJ29" i="23" s="1"/>
  <c r="ES36" i="23"/>
  <c r="EJ36" i="23" s="1"/>
  <c r="ES32" i="23"/>
  <c r="EJ32" i="23" s="1"/>
  <c r="ES28" i="23"/>
  <c r="EJ28" i="23" s="1"/>
  <c r="ES24" i="23"/>
  <c r="EJ24" i="23" s="1"/>
  <c r="ET20" i="23"/>
  <c r="EK20" i="23"/>
  <c r="L23" i="23"/>
  <c r="EA26" i="23"/>
  <c r="L26" i="23"/>
  <c r="EA29" i="23"/>
  <c r="EA33" i="23"/>
  <c r="B29" i="23"/>
  <c r="D28" i="23"/>
  <c r="F28" i="23"/>
  <c r="E28" i="23"/>
  <c r="G28" i="23"/>
  <c r="H28" i="23"/>
  <c r="I28" i="23"/>
  <c r="J28" i="23"/>
  <c r="AV31" i="23"/>
  <c r="AU32" i="23"/>
  <c r="L27" i="23"/>
  <c r="EA30" i="23"/>
  <c r="EA34" i="23"/>
  <c r="L21" i="23"/>
  <c r="EA24" i="23"/>
  <c r="L24" i="23"/>
  <c r="EA27" i="23"/>
  <c r="L28" i="23"/>
  <c r="EA31" i="23"/>
  <c r="EA35" i="23"/>
  <c r="K24" i="22"/>
  <c r="DQ27" i="22"/>
  <c r="K28" i="22"/>
  <c r="DQ31" i="22"/>
  <c r="K32" i="22"/>
  <c r="DQ35" i="22"/>
  <c r="K21" i="22"/>
  <c r="DQ24" i="22"/>
  <c r="K25" i="22"/>
  <c r="DQ28" i="22"/>
  <c r="K29" i="22"/>
  <c r="DQ32" i="22"/>
  <c r="K33" i="22"/>
  <c r="DQ36" i="22"/>
  <c r="K19" i="22"/>
  <c r="K22" i="22"/>
  <c r="DQ25" i="22"/>
  <c r="K26" i="22"/>
  <c r="DQ29" i="22"/>
  <c r="K30" i="22"/>
  <c r="DQ33" i="22"/>
  <c r="AU32" i="22"/>
  <c r="AV31" i="22"/>
  <c r="EI36" i="22"/>
  <c r="DZ36" i="22" s="1"/>
  <c r="EI35" i="22"/>
  <c r="DZ35" i="22" s="1"/>
  <c r="EI34" i="22"/>
  <c r="DZ34" i="22" s="1"/>
  <c r="EI33" i="22"/>
  <c r="DZ33" i="22" s="1"/>
  <c r="EI32" i="22"/>
  <c r="DZ32" i="22" s="1"/>
  <c r="EI31" i="22"/>
  <c r="DZ31" i="22" s="1"/>
  <c r="EI30" i="22"/>
  <c r="DZ30" i="22" s="1"/>
  <c r="EI29" i="22"/>
  <c r="DZ29" i="22" s="1"/>
  <c r="EI28" i="22"/>
  <c r="DZ28" i="22" s="1"/>
  <c r="EI27" i="22"/>
  <c r="DZ27" i="22" s="1"/>
  <c r="EI26" i="22"/>
  <c r="DZ26" i="22" s="1"/>
  <c r="EI25" i="22"/>
  <c r="DZ25" i="22" s="1"/>
  <c r="EI24" i="22"/>
  <c r="DZ24" i="22" s="1"/>
  <c r="EI23" i="22"/>
  <c r="EA20" i="22"/>
  <c r="EJ20" i="22"/>
  <c r="K23" i="22"/>
  <c r="DQ26" i="22"/>
  <c r="K27" i="22"/>
  <c r="DQ30" i="22"/>
  <c r="K31" i="22"/>
  <c r="DQ34" i="22"/>
  <c r="FC22" i="23" l="1"/>
  <c r="EU22" i="23" s="1"/>
  <c r="FC23" i="23"/>
  <c r="ET23" i="23" s="1"/>
  <c r="EU23" i="23" s="1"/>
  <c r="N20" i="26"/>
  <c r="EU23" i="26"/>
  <c r="N23" i="26"/>
  <c r="EU26" i="26"/>
  <c r="N25" i="26"/>
  <c r="EU28" i="26"/>
  <c r="AV31" i="26"/>
  <c r="AU32" i="26"/>
  <c r="N27" i="26"/>
  <c r="EU30" i="26"/>
  <c r="N29" i="26"/>
  <c r="EU32" i="26"/>
  <c r="EU34" i="26"/>
  <c r="B30" i="26"/>
  <c r="N30" i="26" s="1"/>
  <c r="F29" i="26"/>
  <c r="E29" i="26"/>
  <c r="D29" i="26"/>
  <c r="G29" i="26"/>
  <c r="H29" i="26"/>
  <c r="I29" i="26"/>
  <c r="J29" i="26"/>
  <c r="K29" i="26"/>
  <c r="L29" i="26"/>
  <c r="N21" i="26"/>
  <c r="EU24" i="26"/>
  <c r="N24" i="26"/>
  <c r="EU27" i="26"/>
  <c r="N26" i="26"/>
  <c r="EU29" i="26"/>
  <c r="EU35" i="26"/>
  <c r="FN20" i="26"/>
  <c r="FE20" i="26"/>
  <c r="N22" i="26"/>
  <c r="EU25" i="26"/>
  <c r="N28" i="26"/>
  <c r="EU31" i="26"/>
  <c r="EU33" i="26"/>
  <c r="EU36" i="26"/>
  <c r="B30" i="25"/>
  <c r="M30" i="25" s="1"/>
  <c r="D29" i="25"/>
  <c r="F29" i="25"/>
  <c r="E29" i="25"/>
  <c r="G29" i="25"/>
  <c r="H29" i="25"/>
  <c r="I29" i="25"/>
  <c r="J29" i="25"/>
  <c r="K29" i="25"/>
  <c r="FC36" i="25"/>
  <c r="FC35" i="25"/>
  <c r="ET35" i="25" s="1"/>
  <c r="FC34" i="25"/>
  <c r="ET34" i="25" s="1"/>
  <c r="FC33" i="25"/>
  <c r="ET33" i="25" s="1"/>
  <c r="FC32" i="25"/>
  <c r="ET32" i="25" s="1"/>
  <c r="FC31" i="25"/>
  <c r="ET31" i="25" s="1"/>
  <c r="FC30" i="25"/>
  <c r="ET30" i="25" s="1"/>
  <c r="FC29" i="25"/>
  <c r="ET29" i="25" s="1"/>
  <c r="FC28" i="25"/>
  <c r="ET28" i="25" s="1"/>
  <c r="FC27" i="25"/>
  <c r="ET27" i="25" s="1"/>
  <c r="FC26" i="25"/>
  <c r="ET26" i="25" s="1"/>
  <c r="FC25" i="25"/>
  <c r="ET25" i="25" s="1"/>
  <c r="FC24" i="25"/>
  <c r="ET24" i="25" s="1"/>
  <c r="FC23" i="25"/>
  <c r="ET23" i="25" s="1"/>
  <c r="FD20" i="25"/>
  <c r="EU20" i="25"/>
  <c r="M21" i="25"/>
  <c r="EK24" i="25"/>
  <c r="M25" i="25"/>
  <c r="EK28" i="25"/>
  <c r="M29" i="25"/>
  <c r="EK32" i="25"/>
  <c r="AV31" i="25"/>
  <c r="AU32" i="25"/>
  <c r="M22" i="25"/>
  <c r="EK25" i="25"/>
  <c r="M26" i="25"/>
  <c r="EK29" i="25"/>
  <c r="EK33" i="25"/>
  <c r="M23" i="25"/>
  <c r="EK26" i="25"/>
  <c r="M27" i="25"/>
  <c r="EK30" i="25"/>
  <c r="EK34" i="25"/>
  <c r="L29" i="25"/>
  <c r="M20" i="25"/>
  <c r="EK23" i="25"/>
  <c r="M24" i="25"/>
  <c r="EK27" i="25"/>
  <c r="M28" i="25"/>
  <c r="EK31" i="25"/>
  <c r="EK35" i="25"/>
  <c r="EK36" i="24"/>
  <c r="M23" i="24"/>
  <c r="EK26" i="24"/>
  <c r="M27" i="24"/>
  <c r="EK30" i="24"/>
  <c r="EK35" i="24"/>
  <c r="B30" i="24"/>
  <c r="M30" i="24" s="1"/>
  <c r="F29" i="24"/>
  <c r="E29" i="24"/>
  <c r="D29" i="24"/>
  <c r="G29" i="24"/>
  <c r="H29" i="24"/>
  <c r="I29" i="24"/>
  <c r="J29" i="24"/>
  <c r="K29" i="24"/>
  <c r="M20" i="24"/>
  <c r="EK23" i="24"/>
  <c r="M24" i="24"/>
  <c r="EK27" i="24"/>
  <c r="EK33" i="24"/>
  <c r="FC36" i="24"/>
  <c r="ET36" i="24" s="1"/>
  <c r="FC35" i="24"/>
  <c r="ET35" i="24" s="1"/>
  <c r="FC34" i="24"/>
  <c r="ET34" i="24" s="1"/>
  <c r="FC33" i="24"/>
  <c r="ET33" i="24" s="1"/>
  <c r="FC32" i="24"/>
  <c r="ET32" i="24" s="1"/>
  <c r="FC31" i="24"/>
  <c r="ET31" i="24" s="1"/>
  <c r="FC30" i="24"/>
  <c r="ET30" i="24" s="1"/>
  <c r="FC29" i="24"/>
  <c r="ET29" i="24" s="1"/>
  <c r="FC28" i="24"/>
  <c r="ET28" i="24" s="1"/>
  <c r="FC27" i="24"/>
  <c r="ET27" i="24" s="1"/>
  <c r="FC26" i="24"/>
  <c r="ET26" i="24" s="1"/>
  <c r="FC25" i="24"/>
  <c r="ET25" i="24" s="1"/>
  <c r="FC24" i="24"/>
  <c r="ET24" i="24" s="1"/>
  <c r="FC23" i="24"/>
  <c r="FD20" i="24"/>
  <c r="EU20" i="24"/>
  <c r="M21" i="24"/>
  <c r="EK24" i="24"/>
  <c r="M25" i="24"/>
  <c r="EK28" i="24"/>
  <c r="EK34" i="24"/>
  <c r="AV31" i="24"/>
  <c r="AU32" i="24"/>
  <c r="M29" i="24"/>
  <c r="EK32" i="24"/>
  <c r="M22" i="24"/>
  <c r="EK25" i="24"/>
  <c r="M26" i="24"/>
  <c r="EK29" i="24"/>
  <c r="M28" i="24"/>
  <c r="EK31" i="24"/>
  <c r="B30" i="23"/>
  <c r="M30" i="23" s="1"/>
  <c r="D29" i="23"/>
  <c r="E29" i="23"/>
  <c r="F29" i="23"/>
  <c r="G29" i="23"/>
  <c r="H29" i="23"/>
  <c r="I29" i="23"/>
  <c r="J29" i="23"/>
  <c r="K29" i="23"/>
  <c r="EK36" i="23"/>
  <c r="EK34" i="23"/>
  <c r="M28" i="23"/>
  <c r="EK31" i="23"/>
  <c r="M21" i="23"/>
  <c r="EK24" i="23"/>
  <c r="M26" i="23"/>
  <c r="EK29" i="23"/>
  <c r="M22" i="23"/>
  <c r="EK25" i="23"/>
  <c r="EK35" i="23"/>
  <c r="M25" i="23"/>
  <c r="EK28" i="23"/>
  <c r="EK33" i="23"/>
  <c r="M23" i="23"/>
  <c r="EK26" i="23"/>
  <c r="AV32" i="23"/>
  <c r="AU33" i="23"/>
  <c r="FC36" i="23"/>
  <c r="ET36" i="23" s="1"/>
  <c r="FC35" i="23"/>
  <c r="ET35" i="23" s="1"/>
  <c r="FC34" i="23"/>
  <c r="ET34" i="23" s="1"/>
  <c r="FC33" i="23"/>
  <c r="ET33" i="23" s="1"/>
  <c r="FC32" i="23"/>
  <c r="ET32" i="23" s="1"/>
  <c r="FC31" i="23"/>
  <c r="ET31" i="23" s="1"/>
  <c r="FC30" i="23"/>
  <c r="ET30" i="23" s="1"/>
  <c r="FC29" i="23"/>
  <c r="ET29" i="23" s="1"/>
  <c r="FC28" i="23"/>
  <c r="ET28" i="23" s="1"/>
  <c r="FC27" i="23"/>
  <c r="ET27" i="23" s="1"/>
  <c r="FC26" i="23"/>
  <c r="ET26" i="23" s="1"/>
  <c r="FC25" i="23"/>
  <c r="ET25" i="23" s="1"/>
  <c r="FC24" i="23"/>
  <c r="ET24" i="23" s="1"/>
  <c r="FD20" i="23"/>
  <c r="EU20" i="23"/>
  <c r="M29" i="23"/>
  <c r="EK32" i="23"/>
  <c r="M27" i="23"/>
  <c r="EK30" i="23"/>
  <c r="M24" i="23"/>
  <c r="EK27" i="23"/>
  <c r="L29" i="23"/>
  <c r="L19" i="22"/>
  <c r="L22" i="22"/>
  <c r="EA25" i="22"/>
  <c r="L26" i="22"/>
  <c r="EA29" i="22"/>
  <c r="L30" i="22"/>
  <c r="EA33" i="22"/>
  <c r="L23" i="22"/>
  <c r="EA26" i="22"/>
  <c r="L27" i="22"/>
  <c r="EA30" i="22"/>
  <c r="L31" i="22"/>
  <c r="EA34" i="22"/>
  <c r="L24" i="22"/>
  <c r="EA27" i="22"/>
  <c r="L28" i="22"/>
  <c r="EA31" i="22"/>
  <c r="L32" i="22"/>
  <c r="EA35" i="22"/>
  <c r="ES36" i="22"/>
  <c r="EJ36" i="22" s="1"/>
  <c r="ES35" i="22"/>
  <c r="EJ35" i="22" s="1"/>
  <c r="ES34" i="22"/>
  <c r="EJ34" i="22" s="1"/>
  <c r="ES33" i="22"/>
  <c r="EJ33" i="22" s="1"/>
  <c r="ES32" i="22"/>
  <c r="EJ32" i="22" s="1"/>
  <c r="ES31" i="22"/>
  <c r="EJ31" i="22" s="1"/>
  <c r="ES30" i="22"/>
  <c r="EJ30" i="22" s="1"/>
  <c r="ES26" i="22"/>
  <c r="EJ26" i="22" s="1"/>
  <c r="ES29" i="22"/>
  <c r="EJ29" i="22" s="1"/>
  <c r="ES25" i="22"/>
  <c r="EJ25" i="22" s="1"/>
  <c r="ES24" i="22"/>
  <c r="EJ24" i="22" s="1"/>
  <c r="ET20" i="22"/>
  <c r="ES28" i="22"/>
  <c r="EJ28" i="22" s="1"/>
  <c r="ES23" i="22"/>
  <c r="EK20" i="22"/>
  <c r="ES27" i="22"/>
  <c r="EJ27" i="22" s="1"/>
  <c r="L21" i="22"/>
  <c r="EA24" i="22"/>
  <c r="L25" i="22"/>
  <c r="EA28" i="22"/>
  <c r="L29" i="22"/>
  <c r="EA32" i="22"/>
  <c r="L33" i="22"/>
  <c r="EA36" i="22"/>
  <c r="AU33" i="22"/>
  <c r="AV32" i="22"/>
  <c r="AV32" i="26" l="1"/>
  <c r="AU33" i="26"/>
  <c r="FO20" i="26"/>
  <c r="FX20" i="26"/>
  <c r="B31" i="26"/>
  <c r="D30" i="26"/>
  <c r="E30" i="26"/>
  <c r="F30" i="26"/>
  <c r="G30" i="26"/>
  <c r="H30" i="26"/>
  <c r="I30" i="26"/>
  <c r="J30" i="26"/>
  <c r="K30" i="26"/>
  <c r="L30" i="26"/>
  <c r="M30" i="26"/>
  <c r="AV32" i="25"/>
  <c r="AU33" i="25"/>
  <c r="N20" i="25"/>
  <c r="EU23" i="25"/>
  <c r="N24" i="25"/>
  <c r="EU27" i="25"/>
  <c r="N28" i="25"/>
  <c r="EU31" i="25"/>
  <c r="N21" i="25"/>
  <c r="EU24" i="25"/>
  <c r="N25" i="25"/>
  <c r="EU28" i="25"/>
  <c r="N29" i="25"/>
  <c r="EU32" i="25"/>
  <c r="EU35" i="25"/>
  <c r="B31" i="25"/>
  <c r="N31" i="25" s="1"/>
  <c r="D30" i="25"/>
  <c r="E30" i="25"/>
  <c r="F30" i="25"/>
  <c r="G30" i="25"/>
  <c r="H30" i="25"/>
  <c r="I30" i="25"/>
  <c r="J30" i="25"/>
  <c r="K30" i="25"/>
  <c r="L30" i="25"/>
  <c r="N22" i="25"/>
  <c r="EU25" i="25"/>
  <c r="N26" i="25"/>
  <c r="EU29" i="25"/>
  <c r="N30" i="25"/>
  <c r="EU33" i="25"/>
  <c r="FE20" i="25"/>
  <c r="FN20" i="25"/>
  <c r="N23" i="25"/>
  <c r="EU26" i="25"/>
  <c r="N27" i="25"/>
  <c r="EU30" i="25"/>
  <c r="EU34" i="25"/>
  <c r="N21" i="24"/>
  <c r="EU24" i="24"/>
  <c r="N25" i="24"/>
  <c r="EU28" i="24"/>
  <c r="N28" i="24"/>
  <c r="EU31" i="24"/>
  <c r="EU35" i="24"/>
  <c r="N22" i="24"/>
  <c r="EU25" i="24"/>
  <c r="N26" i="24"/>
  <c r="EU29" i="24"/>
  <c r="N29" i="24"/>
  <c r="EU32" i="24"/>
  <c r="EU36" i="24"/>
  <c r="FN20" i="24"/>
  <c r="FE20" i="24"/>
  <c r="N23" i="24"/>
  <c r="EU26" i="24"/>
  <c r="N27" i="24"/>
  <c r="EU30" i="24"/>
  <c r="N30" i="24"/>
  <c r="EU33" i="24"/>
  <c r="AV32" i="24"/>
  <c r="AU33" i="24"/>
  <c r="EU23" i="24"/>
  <c r="N24" i="24"/>
  <c r="EU27" i="24"/>
  <c r="EU34" i="24"/>
  <c r="B31" i="24"/>
  <c r="N31" i="24" s="1"/>
  <c r="D30" i="24"/>
  <c r="E30" i="24"/>
  <c r="F30" i="24"/>
  <c r="G30" i="24"/>
  <c r="H30" i="24"/>
  <c r="I30" i="24"/>
  <c r="J30" i="24"/>
  <c r="K30" i="24"/>
  <c r="L30" i="24"/>
  <c r="N23" i="23"/>
  <c r="EU26" i="23"/>
  <c r="N27" i="23"/>
  <c r="EU30" i="23"/>
  <c r="EU34" i="23"/>
  <c r="N21" i="23"/>
  <c r="EU24" i="23"/>
  <c r="N24" i="23"/>
  <c r="EU27" i="23"/>
  <c r="N28" i="23"/>
  <c r="EU31" i="23"/>
  <c r="EU35" i="23"/>
  <c r="B31" i="23"/>
  <c r="D30" i="23"/>
  <c r="E30" i="23"/>
  <c r="F30" i="23"/>
  <c r="G30" i="23"/>
  <c r="H30" i="23"/>
  <c r="I30" i="23"/>
  <c r="J30" i="23"/>
  <c r="K30" i="23"/>
  <c r="L30" i="23"/>
  <c r="N22" i="23"/>
  <c r="EU25" i="23"/>
  <c r="N25" i="23"/>
  <c r="EU28" i="23"/>
  <c r="N29" i="23"/>
  <c r="EU32" i="23"/>
  <c r="EU36" i="23"/>
  <c r="FN20" i="23"/>
  <c r="FE20" i="23"/>
  <c r="N26" i="23"/>
  <c r="EU29" i="23"/>
  <c r="N30" i="23"/>
  <c r="EU33" i="23"/>
  <c r="AV33" i="23"/>
  <c r="AU34" i="23"/>
  <c r="FC36" i="22"/>
  <c r="ET36" i="22" s="1"/>
  <c r="FC35" i="22"/>
  <c r="ET35" i="22" s="1"/>
  <c r="FC34" i="22"/>
  <c r="ET34" i="22" s="1"/>
  <c r="FC33" i="22"/>
  <c r="ET33" i="22" s="1"/>
  <c r="FC32" i="22"/>
  <c r="ET32" i="22" s="1"/>
  <c r="FC31" i="22"/>
  <c r="ET31" i="22" s="1"/>
  <c r="FC30" i="22"/>
  <c r="ET30" i="22" s="1"/>
  <c r="FC29" i="22"/>
  <c r="ET29" i="22" s="1"/>
  <c r="FC28" i="22"/>
  <c r="ET28" i="22" s="1"/>
  <c r="FC27" i="22"/>
  <c r="ET27" i="22" s="1"/>
  <c r="FC26" i="22"/>
  <c r="ET26" i="22" s="1"/>
  <c r="FC25" i="22"/>
  <c r="ET25" i="22" s="1"/>
  <c r="EU20" i="22"/>
  <c r="FD20" i="22"/>
  <c r="FC24" i="22"/>
  <c r="ET24" i="22" s="1"/>
  <c r="FC23" i="22"/>
  <c r="M26" i="22"/>
  <c r="EK29" i="22"/>
  <c r="M28" i="22"/>
  <c r="EK31" i="22"/>
  <c r="M32" i="22"/>
  <c r="EK35" i="22"/>
  <c r="AU34" i="22"/>
  <c r="AV33" i="22"/>
  <c r="M19" i="22"/>
  <c r="M23" i="22"/>
  <c r="EK26" i="22"/>
  <c r="M29" i="22"/>
  <c r="EK32" i="22"/>
  <c r="M33" i="22"/>
  <c r="EK36" i="22"/>
  <c r="M25" i="22"/>
  <c r="EK28" i="22"/>
  <c r="M21" i="22"/>
  <c r="EK24" i="22"/>
  <c r="M30" i="22"/>
  <c r="EK33" i="22"/>
  <c r="M24" i="22"/>
  <c r="EK27" i="22"/>
  <c r="M22" i="22"/>
  <c r="EK25" i="22"/>
  <c r="M27" i="22"/>
  <c r="EK30" i="22"/>
  <c r="M31" i="22"/>
  <c r="EK34" i="22"/>
  <c r="B32" i="26" l="1"/>
  <c r="D31" i="26"/>
  <c r="E31" i="26"/>
  <c r="G31" i="26"/>
  <c r="F31" i="26"/>
  <c r="H31" i="26"/>
  <c r="I31" i="26"/>
  <c r="J31" i="26"/>
  <c r="K31" i="26"/>
  <c r="L31" i="26"/>
  <c r="M31" i="26"/>
  <c r="N31" i="26"/>
  <c r="AV33" i="26"/>
  <c r="AU34" i="26"/>
  <c r="GH20" i="26"/>
  <c r="FY20" i="26"/>
  <c r="AV33" i="25"/>
  <c r="AU34" i="25"/>
  <c r="B32" i="25"/>
  <c r="D31" i="25"/>
  <c r="E31" i="25"/>
  <c r="F31" i="25"/>
  <c r="G31" i="25"/>
  <c r="H31" i="25"/>
  <c r="I31" i="25"/>
  <c r="J31" i="25"/>
  <c r="K31" i="25"/>
  <c r="L31" i="25"/>
  <c r="M31" i="25"/>
  <c r="FX20" i="25"/>
  <c r="FO20" i="25"/>
  <c r="B32" i="24"/>
  <c r="D31" i="24"/>
  <c r="F31" i="24"/>
  <c r="E31" i="24"/>
  <c r="G31" i="24"/>
  <c r="H31" i="24"/>
  <c r="I31" i="24"/>
  <c r="J31" i="24"/>
  <c r="K31" i="24"/>
  <c r="L31" i="24"/>
  <c r="M31" i="24"/>
  <c r="AV33" i="24"/>
  <c r="AU34" i="24"/>
  <c r="FX20" i="24"/>
  <c r="FO20" i="24"/>
  <c r="AV34" i="23"/>
  <c r="AU35" i="23"/>
  <c r="B32" i="23"/>
  <c r="D31" i="23"/>
  <c r="E31" i="23"/>
  <c r="F31" i="23"/>
  <c r="G31" i="23"/>
  <c r="H31" i="23"/>
  <c r="I31" i="23"/>
  <c r="J31" i="23"/>
  <c r="K31" i="23"/>
  <c r="L31" i="23"/>
  <c r="M31" i="23"/>
  <c r="N31" i="23"/>
  <c r="FX20" i="23"/>
  <c r="FO20" i="23"/>
  <c r="FN20" i="22"/>
  <c r="FE20" i="22"/>
  <c r="N23" i="22"/>
  <c r="EU26" i="22"/>
  <c r="N27" i="22"/>
  <c r="EU30" i="22"/>
  <c r="N31" i="22"/>
  <c r="EU34" i="22"/>
  <c r="N24" i="22"/>
  <c r="EU27" i="22"/>
  <c r="N28" i="22"/>
  <c r="EU31" i="22"/>
  <c r="N32" i="22"/>
  <c r="EU35" i="22"/>
  <c r="N19" i="22"/>
  <c r="N25" i="22"/>
  <c r="EU28" i="22"/>
  <c r="N29" i="22"/>
  <c r="EU32" i="22"/>
  <c r="N33" i="22"/>
  <c r="EU36" i="22"/>
  <c r="AU35" i="22"/>
  <c r="AV34" i="22"/>
  <c r="N21" i="22"/>
  <c r="EU24" i="22"/>
  <c r="N22" i="22"/>
  <c r="EU25" i="22"/>
  <c r="N26" i="22"/>
  <c r="EU29" i="22"/>
  <c r="N30" i="22"/>
  <c r="EU33" i="22"/>
  <c r="AU35" i="26" l="1"/>
  <c r="AV34" i="26"/>
  <c r="GI20" i="26"/>
  <c r="GR20" i="26"/>
  <c r="B33" i="26"/>
  <c r="D32" i="26"/>
  <c r="F32" i="26"/>
  <c r="E32" i="26"/>
  <c r="G32" i="26"/>
  <c r="H32" i="26"/>
  <c r="I32" i="26"/>
  <c r="J32" i="26"/>
  <c r="K32" i="26"/>
  <c r="L32" i="26"/>
  <c r="M32" i="26"/>
  <c r="N32" i="26"/>
  <c r="AV34" i="25"/>
  <c r="AU35" i="25"/>
  <c r="B33" i="25"/>
  <c r="D32" i="25"/>
  <c r="F32" i="25"/>
  <c r="E32" i="25"/>
  <c r="G32" i="25"/>
  <c r="H32" i="25"/>
  <c r="I32" i="25"/>
  <c r="J32" i="25"/>
  <c r="K32" i="25"/>
  <c r="L32" i="25"/>
  <c r="M32" i="25"/>
  <c r="N32" i="25"/>
  <c r="FY20" i="25"/>
  <c r="GH20" i="25"/>
  <c r="GH20" i="24"/>
  <c r="FY20" i="24"/>
  <c r="AV34" i="24"/>
  <c r="AU35" i="24"/>
  <c r="B33" i="24"/>
  <c r="D32" i="24"/>
  <c r="E32" i="24"/>
  <c r="F32" i="24"/>
  <c r="G32" i="24"/>
  <c r="H32" i="24"/>
  <c r="I32" i="24"/>
  <c r="J32" i="24"/>
  <c r="K32" i="24"/>
  <c r="L32" i="24"/>
  <c r="M32" i="24"/>
  <c r="N32" i="24"/>
  <c r="B33" i="23"/>
  <c r="D32" i="23"/>
  <c r="E32" i="23"/>
  <c r="F32" i="23"/>
  <c r="G32" i="23"/>
  <c r="H32" i="23"/>
  <c r="I32" i="23"/>
  <c r="J32" i="23"/>
  <c r="K32" i="23"/>
  <c r="L32" i="23"/>
  <c r="M32" i="23"/>
  <c r="N32" i="23"/>
  <c r="AV35" i="23"/>
  <c r="AU36" i="23"/>
  <c r="GH20" i="23"/>
  <c r="FY20" i="23"/>
  <c r="AU36" i="22"/>
  <c r="AV35" i="22"/>
  <c r="FO20" i="22"/>
  <c r="FX20" i="22"/>
  <c r="B34" i="26" l="1"/>
  <c r="D33" i="26"/>
  <c r="F33" i="26"/>
  <c r="E33" i="26"/>
  <c r="G33" i="26"/>
  <c r="H33" i="26"/>
  <c r="I33" i="26"/>
  <c r="J33" i="26"/>
  <c r="K33" i="26"/>
  <c r="L33" i="26"/>
  <c r="M33" i="26"/>
  <c r="N33" i="26"/>
  <c r="HB20" i="26"/>
  <c r="GS20" i="26"/>
  <c r="AU36" i="26"/>
  <c r="AV35" i="26"/>
  <c r="AV35" i="25"/>
  <c r="AU36" i="25"/>
  <c r="GR20" i="25"/>
  <c r="GI20" i="25"/>
  <c r="B34" i="25"/>
  <c r="B34" i="24"/>
  <c r="F33" i="24"/>
  <c r="E33" i="24"/>
  <c r="D33" i="24"/>
  <c r="G33" i="24"/>
  <c r="H33" i="24"/>
  <c r="I33" i="24"/>
  <c r="J33" i="24"/>
  <c r="K33" i="24"/>
  <c r="L33" i="24"/>
  <c r="M33" i="24"/>
  <c r="N33" i="24"/>
  <c r="AV35" i="24"/>
  <c r="AU36" i="24"/>
  <c r="GR20" i="24"/>
  <c r="GI20" i="24"/>
  <c r="GR20" i="23"/>
  <c r="GI20" i="23"/>
  <c r="AV36" i="23"/>
  <c r="AU37" i="23"/>
  <c r="B34" i="23"/>
  <c r="D33" i="23"/>
  <c r="F33" i="23"/>
  <c r="E33" i="23"/>
  <c r="G33" i="23"/>
  <c r="H33" i="23"/>
  <c r="I33" i="23"/>
  <c r="J33" i="23"/>
  <c r="K33" i="23"/>
  <c r="L33" i="23"/>
  <c r="M33" i="23"/>
  <c r="N33" i="23"/>
  <c r="GH20" i="22"/>
  <c r="FY20" i="22"/>
  <c r="AU37" i="22"/>
  <c r="AV36" i="22"/>
  <c r="AU37" i="26" l="1"/>
  <c r="AV36" i="26"/>
  <c r="HC20" i="26"/>
  <c r="HL20" i="26"/>
  <c r="B35" i="26"/>
  <c r="B35" i="25"/>
  <c r="AV36" i="25"/>
  <c r="AU37" i="25"/>
  <c r="GS20" i="25"/>
  <c r="HB20" i="25"/>
  <c r="AU37" i="24"/>
  <c r="AV36" i="24"/>
  <c r="HB20" i="24"/>
  <c r="GS20" i="24"/>
  <c r="B35" i="24"/>
  <c r="B35" i="23"/>
  <c r="AU38" i="23"/>
  <c r="AV37" i="23"/>
  <c r="HB20" i="23"/>
  <c r="GS20" i="23"/>
  <c r="AU38" i="22"/>
  <c r="AV37" i="22"/>
  <c r="GI20" i="22"/>
  <c r="GR20" i="22"/>
  <c r="B36" i="26" l="1"/>
  <c r="H52" i="26"/>
  <c r="I52" i="26"/>
  <c r="HV20" i="26"/>
  <c r="HM20" i="26"/>
  <c r="AU38" i="26"/>
  <c r="AV37" i="26"/>
  <c r="AU38" i="25"/>
  <c r="AV37" i="25"/>
  <c r="HL20" i="25"/>
  <c r="HC20" i="25"/>
  <c r="B36" i="25"/>
  <c r="AU38" i="24"/>
  <c r="AV37" i="24"/>
  <c r="B36" i="24"/>
  <c r="H52" i="24"/>
  <c r="AL49" i="24" s="1"/>
  <c r="I52" i="24"/>
  <c r="HL20" i="24"/>
  <c r="HC20" i="24"/>
  <c r="AU39" i="23"/>
  <c r="AV38" i="23"/>
  <c r="HL20" i="23"/>
  <c r="HC20" i="23"/>
  <c r="B36" i="23"/>
  <c r="I52" i="23"/>
  <c r="H52" i="23"/>
  <c r="AU39" i="22"/>
  <c r="AV38" i="22"/>
  <c r="HB20" i="22"/>
  <c r="GS20" i="22"/>
  <c r="AL51" i="23" l="1"/>
  <c r="AN51" i="23"/>
  <c r="AL49" i="23"/>
  <c r="AN49" i="23"/>
  <c r="HW20" i="26"/>
  <c r="AV38" i="26"/>
  <c r="AU39" i="26"/>
  <c r="B37" i="26"/>
  <c r="E59" i="26"/>
  <c r="G59" i="26"/>
  <c r="AL50" i="26"/>
  <c r="AN50" i="26"/>
  <c r="E57" i="26"/>
  <c r="G57" i="26"/>
  <c r="AN48" i="26"/>
  <c r="AL48" i="26"/>
  <c r="AU39" i="25"/>
  <c r="AV38" i="25"/>
  <c r="B37" i="25"/>
  <c r="HM20" i="25"/>
  <c r="HV20" i="25"/>
  <c r="G57" i="24"/>
  <c r="E57" i="24"/>
  <c r="AN49" i="24"/>
  <c r="B37" i="24"/>
  <c r="HV20" i="24"/>
  <c r="HM20" i="24"/>
  <c r="AV38" i="24"/>
  <c r="AU39" i="24"/>
  <c r="G59" i="24"/>
  <c r="E59" i="24"/>
  <c r="AL51" i="24"/>
  <c r="AN51" i="24"/>
  <c r="G57" i="23"/>
  <c r="E57" i="23"/>
  <c r="B37" i="23"/>
  <c r="AV39" i="23"/>
  <c r="AU40" i="23"/>
  <c r="HV20" i="23"/>
  <c r="HM20" i="23"/>
  <c r="HC20" i="22"/>
  <c r="HL20" i="22"/>
  <c r="AU40" i="22"/>
  <c r="AV39" i="22"/>
  <c r="AM49" i="23" l="1"/>
  <c r="AN50" i="23"/>
  <c r="AM51" i="23"/>
  <c r="AL50" i="23"/>
  <c r="E58" i="24"/>
  <c r="F57" i="26"/>
  <c r="AM48" i="26"/>
  <c r="AL49" i="26"/>
  <c r="G58" i="26"/>
  <c r="F59" i="26"/>
  <c r="E58" i="26"/>
  <c r="AN49" i="26"/>
  <c r="AM50" i="26"/>
  <c r="AV39" i="26"/>
  <c r="AU40" i="26"/>
  <c r="HW20" i="25"/>
  <c r="AV39" i="25"/>
  <c r="AU40" i="25"/>
  <c r="AL50" i="24"/>
  <c r="F59" i="24"/>
  <c r="G58" i="24"/>
  <c r="AM49" i="24"/>
  <c r="AM51" i="24"/>
  <c r="AN50" i="24"/>
  <c r="AV39" i="24"/>
  <c r="AU40" i="24"/>
  <c r="HW20" i="24"/>
  <c r="F57" i="24"/>
  <c r="AV40" i="23"/>
  <c r="HW20" i="23"/>
  <c r="F57" i="23"/>
  <c r="AV40" i="22"/>
  <c r="HV20" i="22"/>
  <c r="HM20" i="22"/>
  <c r="AM50" i="23" l="1"/>
  <c r="AN56" i="23" s="1"/>
  <c r="AN57" i="23" s="1"/>
  <c r="F58" i="26"/>
  <c r="AM49" i="26"/>
  <c r="AV40" i="26"/>
  <c r="AV40" i="25"/>
  <c r="AM50" i="24"/>
  <c r="F58" i="24"/>
  <c r="D64" i="24" s="1"/>
  <c r="D68" i="24" s="1"/>
  <c r="AV40" i="24"/>
  <c r="HW20" i="22"/>
  <c r="AB74" i="23" l="1"/>
  <c r="AB78" i="23" s="1"/>
  <c r="P12" i="23" s="1"/>
  <c r="AN56" i="26"/>
  <c r="AN57" i="26" s="1"/>
  <c r="AN56" i="24"/>
  <c r="AN57" i="24" s="1"/>
  <c r="AB74" i="24" s="1"/>
  <c r="D66" i="26"/>
  <c r="P6" i="26" s="1"/>
  <c r="D64" i="26"/>
  <c r="P5" i="26" s="1"/>
  <c r="D70" i="24"/>
  <c r="D69" i="24"/>
  <c r="D66" i="24"/>
  <c r="P6" i="24" s="1"/>
  <c r="P5" i="24"/>
  <c r="AB79" i="23" l="1"/>
  <c r="P11" i="23" s="1"/>
  <c r="AB74" i="26"/>
  <c r="AB78" i="26" s="1"/>
  <c r="P12" i="26" s="1"/>
  <c r="AB78" i="24"/>
  <c r="P12" i="24" s="1"/>
  <c r="D68" i="26"/>
  <c r="P9" i="24"/>
  <c r="P8" i="24"/>
  <c r="P7" i="24"/>
  <c r="AB79" i="26" l="1"/>
  <c r="P11" i="26" s="1"/>
  <c r="AB79" i="24"/>
  <c r="P11" i="24" s="1"/>
  <c r="P7" i="26"/>
  <c r="D69" i="26"/>
  <c r="P8" i="26" s="1"/>
  <c r="D70" i="26"/>
  <c r="P9" i="26" s="1"/>
  <c r="H3" i="2" l="1"/>
  <c r="H6" i="2"/>
  <c r="H4" i="2"/>
  <c r="H5" i="2"/>
  <c r="H7" i="2"/>
  <c r="H8" i="2"/>
  <c r="H9" i="2"/>
  <c r="H2" i="2"/>
  <c r="H13" i="1" s="1"/>
  <c r="O8" i="2" l="1"/>
  <c r="O7" i="2"/>
  <c r="O4" i="2"/>
  <c r="O3" i="2"/>
  <c r="O2" i="2"/>
  <c r="O6" i="2"/>
  <c r="A5" i="6" l="1"/>
  <c r="B20" i="6" l="1"/>
  <c r="B21" i="6" s="1"/>
  <c r="D15" i="6"/>
  <c r="C15" i="6"/>
  <c r="C16" i="6" s="1"/>
  <c r="A15" i="6"/>
  <c r="C9" i="22" l="1"/>
  <c r="C45" i="22" s="1"/>
  <c r="D51" i="22" l="1"/>
  <c r="AM47" i="22"/>
  <c r="F56" i="22"/>
  <c r="AL47" i="22" l="1"/>
  <c r="C11" i="22"/>
  <c r="P10" i="22" s="1"/>
  <c r="F9" i="22"/>
  <c r="E56" i="22"/>
  <c r="E51" i="22"/>
  <c r="D52" i="22"/>
  <c r="E52" i="22" l="1"/>
  <c r="AN47" i="22"/>
  <c r="G56" i="22"/>
  <c r="C46" i="22"/>
  <c r="H51" i="22" s="1"/>
  <c r="D58" i="22" l="1"/>
  <c r="AK49" i="22"/>
  <c r="I51" i="22" l="1"/>
  <c r="AK48" i="22"/>
  <c r="D57" i="22"/>
  <c r="H52" i="22"/>
  <c r="AK50" i="22" l="1"/>
  <c r="AN48" i="22"/>
  <c r="G57" i="22"/>
  <c r="AL48" i="22"/>
  <c r="E57" i="22"/>
  <c r="I52" i="22"/>
  <c r="D59" i="22"/>
  <c r="F57" i="22" l="1"/>
  <c r="AM48" i="22"/>
  <c r="AN50" i="22"/>
  <c r="AN49" i="22" s="1"/>
  <c r="AL50" i="22"/>
  <c r="AL49" i="22" s="1"/>
  <c r="AM49" i="22" l="1"/>
  <c r="AM50" i="22"/>
  <c r="AN56" i="22" l="1"/>
  <c r="AN57" i="22" l="1"/>
  <c r="AB74" i="22" s="1"/>
  <c r="AB78" i="22" s="1"/>
  <c r="P12" i="22" s="1"/>
  <c r="V29" i="31"/>
  <c r="O29" i="31"/>
  <c r="G29" i="31"/>
  <c r="U30" i="31"/>
  <c r="Q30" i="31"/>
  <c r="M30" i="31"/>
  <c r="P29" i="31"/>
  <c r="H29" i="31"/>
  <c r="U27" i="31"/>
  <c r="G25" i="31"/>
  <c r="V24" i="31"/>
  <c r="J27" i="31"/>
  <c r="F27" i="31"/>
  <c r="Q26" i="31"/>
  <c r="T25" i="31"/>
  <c r="P25" i="31"/>
  <c r="S30" i="31"/>
  <c r="G30" i="31"/>
  <c r="R29" i="31"/>
  <c r="N29" i="31"/>
  <c r="J29" i="31"/>
  <c r="P30" i="31"/>
  <c r="H30" i="31"/>
  <c r="V30" i="31"/>
  <c r="U28" i="31"/>
  <c r="Q28" i="31"/>
  <c r="M28" i="31"/>
  <c r="J28" i="31"/>
  <c r="F28" i="31"/>
  <c r="Q27" i="31"/>
  <c r="M27" i="31"/>
  <c r="T26" i="31"/>
  <c r="H26" i="31"/>
  <c r="K29" i="31"/>
  <c r="N28" i="31"/>
  <c r="I30" i="31"/>
  <c r="L29" i="31"/>
  <c r="K25" i="31"/>
  <c r="S29" i="31"/>
  <c r="R28" i="31"/>
  <c r="E30" i="31"/>
  <c r="S25" i="31"/>
  <c r="N27" i="31"/>
  <c r="M26" i="31"/>
  <c r="V28" i="31"/>
  <c r="T29" i="31"/>
  <c r="V27" i="31"/>
  <c r="I26" i="31"/>
  <c r="O30" i="31"/>
  <c r="J30" i="31"/>
  <c r="P26" i="31"/>
  <c r="L25" i="31"/>
  <c r="T30" i="31"/>
  <c r="S28" i="31"/>
  <c r="O28" i="31"/>
  <c r="K28" i="31"/>
  <c r="R30" i="31"/>
  <c r="W29" i="31"/>
  <c r="S24" i="31"/>
  <c r="L28" i="31"/>
  <c r="G28" i="31"/>
  <c r="U26" i="31"/>
  <c r="W24" i="31"/>
  <c r="F30" i="31"/>
  <c r="O24" i="31"/>
  <c r="U29" i="31"/>
  <c r="Q29" i="31"/>
  <c r="M29" i="31"/>
  <c r="I29" i="31"/>
  <c r="E29" i="31"/>
  <c r="T28" i="31"/>
  <c r="P28" i="31"/>
  <c r="F29" i="31"/>
  <c r="O25" i="31"/>
  <c r="R24" i="31"/>
  <c r="H25" i="31"/>
  <c r="W30" i="31"/>
  <c r="E26" i="31"/>
  <c r="K30" i="31"/>
  <c r="L30" i="31"/>
  <c r="L26" i="31"/>
  <c r="E27" i="31"/>
  <c r="R27" i="31"/>
  <c r="I27" i="31"/>
  <c r="W28" i="31"/>
  <c r="N30" i="31"/>
  <c r="J23" i="31"/>
  <c r="Q22" i="31"/>
  <c r="U22" i="31"/>
  <c r="I22" i="31"/>
  <c r="T21" i="31"/>
  <c r="S20" i="31"/>
  <c r="O23" i="31"/>
  <c r="E28" i="31"/>
  <c r="S26" i="31"/>
  <c r="O26" i="31"/>
  <c r="K26" i="31"/>
  <c r="G26" i="31"/>
  <c r="T20" i="31"/>
  <c r="L20" i="31"/>
  <c r="H20" i="31"/>
  <c r="O20" i="31"/>
  <c r="W26" i="31"/>
  <c r="R23" i="31"/>
  <c r="H28" i="31"/>
  <c r="S27" i="31"/>
  <c r="O27" i="31"/>
  <c r="K27" i="31"/>
  <c r="G27" i="31"/>
  <c r="V26" i="31"/>
  <c r="R26" i="31"/>
  <c r="N26" i="31"/>
  <c r="J26" i="31"/>
  <c r="F26" i="31"/>
  <c r="H21" i="31"/>
  <c r="K23" i="31"/>
  <c r="G23" i="31"/>
  <c r="V22" i="31"/>
  <c r="R22" i="31"/>
  <c r="N22" i="31"/>
  <c r="J22" i="31"/>
  <c r="F22" i="31"/>
  <c r="U21" i="31"/>
  <c r="Q21" i="31"/>
  <c r="M21" i="31"/>
  <c r="I21" i="31"/>
  <c r="E21" i="31"/>
  <c r="P20" i="31"/>
  <c r="M24" i="31"/>
  <c r="T23" i="31"/>
  <c r="U25" i="31"/>
  <c r="Q25" i="31"/>
  <c r="M25" i="31"/>
  <c r="I25" i="31"/>
  <c r="E25" i="31"/>
  <c r="T24" i="31"/>
  <c r="P24" i="31"/>
  <c r="L24" i="31"/>
  <c r="H24" i="31"/>
  <c r="E22" i="31"/>
  <c r="T27" i="31"/>
  <c r="P27" i="31"/>
  <c r="W25" i="31"/>
  <c r="W27" i="31"/>
  <c r="I28" i="31"/>
  <c r="L27" i="31"/>
  <c r="V25" i="31"/>
  <c r="R25" i="31"/>
  <c r="N25" i="31"/>
  <c r="J25" i="31"/>
  <c r="U24" i="31"/>
  <c r="Q24" i="31"/>
  <c r="N23" i="31"/>
  <c r="F23" i="31"/>
  <c r="L21" i="31"/>
  <c r="V23" i="31"/>
  <c r="H23" i="31"/>
  <c r="I24" i="31"/>
  <c r="S23" i="31"/>
  <c r="O21" i="31"/>
  <c r="U20" i="31"/>
  <c r="M20" i="31"/>
  <c r="W20" i="31"/>
  <c r="U23" i="31"/>
  <c r="Q23" i="31"/>
  <c r="M23" i="31"/>
  <c r="T22" i="31"/>
  <c r="L22" i="31"/>
  <c r="K20" i="31"/>
  <c r="J20" i="31"/>
  <c r="R20" i="31"/>
  <c r="P23" i="31"/>
  <c r="L23" i="31"/>
  <c r="W21" i="31"/>
  <c r="G21" i="31"/>
  <c r="S21" i="31"/>
  <c r="K21" i="31"/>
  <c r="K24" i="31"/>
  <c r="G24" i="31"/>
  <c r="E24" i="31"/>
  <c r="F21" i="31"/>
  <c r="F24" i="31"/>
  <c r="G20" i="31"/>
  <c r="H27" i="31"/>
  <c r="F25" i="31"/>
  <c r="W23" i="31"/>
  <c r="M22" i="31"/>
  <c r="P21" i="31"/>
  <c r="S22" i="31"/>
  <c r="O22" i="31"/>
  <c r="K22" i="31"/>
  <c r="G22" i="31"/>
  <c r="V21" i="31"/>
  <c r="R21" i="31"/>
  <c r="N21" i="31"/>
  <c r="J21" i="31"/>
  <c r="Q20" i="31"/>
  <c r="I20" i="31"/>
  <c r="J24" i="31"/>
  <c r="I23" i="31"/>
  <c r="P22" i="31"/>
  <c r="H22" i="31"/>
  <c r="N20" i="31"/>
  <c r="F20" i="31"/>
  <c r="V20" i="31"/>
  <c r="E23" i="31"/>
  <c r="W22" i="31"/>
  <c r="N24" i="31"/>
  <c r="E20" i="31"/>
  <c r="G59" i="31"/>
  <c r="AB79" i="22" l="1"/>
  <c r="P11" i="22" s="1"/>
  <c r="E59" i="31"/>
  <c r="F59" i="31" s="1"/>
  <c r="E57" i="31"/>
  <c r="G57" i="31"/>
  <c r="E58" i="31" l="1"/>
  <c r="F57" i="31"/>
  <c r="G58" i="31"/>
  <c r="F58" i="31" l="1"/>
  <c r="D64" i="31" s="1"/>
  <c r="D68" i="31" s="1"/>
  <c r="D66" i="31" l="1"/>
  <c r="P6" i="31" s="1"/>
  <c r="P5" i="31"/>
  <c r="DP23" i="22"/>
  <c r="K20" i="22" s="1"/>
  <c r="EJ23" i="22"/>
  <c r="EK23" i="22" s="1"/>
  <c r="ET23" i="22"/>
  <c r="EU23" i="22" s="1"/>
  <c r="AX23" i="22"/>
  <c r="BH23" i="22"/>
  <c r="BR23" i="22"/>
  <c r="BS23" i="22" s="1"/>
  <c r="CL23" i="22"/>
  <c r="CV23" i="22"/>
  <c r="CW23" i="22" s="1"/>
  <c r="DF23" i="22"/>
  <c r="DZ23" i="22"/>
  <c r="CB23" i="22"/>
  <c r="G20" i="22" s="1"/>
  <c r="P7" i="31" l="1"/>
  <c r="D69" i="31"/>
  <c r="P8" i="31" s="1"/>
  <c r="D70" i="31"/>
  <c r="P9" i="31" s="1"/>
  <c r="H20" i="22"/>
  <c r="CM23" i="22"/>
  <c r="L20" i="22"/>
  <c r="D20" i="22"/>
  <c r="E59" i="22" s="1"/>
  <c r="E58" i="22" s="1"/>
  <c r="CC23" i="22"/>
  <c r="M20" i="22"/>
  <c r="EA23" i="22"/>
  <c r="DG23" i="22"/>
  <c r="I20" i="22"/>
  <c r="E20" i="22"/>
  <c r="G59" i="22" s="1"/>
  <c r="AY23" i="22"/>
  <c r="N20" i="22"/>
  <c r="DQ23" i="22"/>
  <c r="J20" i="22"/>
  <c r="F20" i="22"/>
  <c r="BI23" i="22"/>
  <c r="G58" i="22" l="1"/>
  <c r="F58" i="22" s="1"/>
  <c r="F59" i="22"/>
  <c r="M20" i="23"/>
  <c r="L20" i="23"/>
  <c r="I20" i="23"/>
  <c r="H20" i="23"/>
  <c r="N20" i="23"/>
  <c r="J20" i="23"/>
  <c r="E20" i="23"/>
  <c r="G59" i="23" s="1"/>
  <c r="D20" i="23"/>
  <c r="E59" i="23" s="1"/>
  <c r="E58" i="23" s="1"/>
  <c r="G20" i="23"/>
  <c r="K20" i="23"/>
  <c r="F20" i="23"/>
  <c r="AX36" i="25"/>
  <c r="D33" i="25" s="1"/>
  <c r="BH36" i="25"/>
  <c r="BI36" i="25" s="1"/>
  <c r="BR36" i="25"/>
  <c r="F33" i="25" s="1"/>
  <c r="CL36" i="25"/>
  <c r="H33" i="25" s="1"/>
  <c r="CV36" i="25"/>
  <c r="I33" i="25" s="1"/>
  <c r="DF36" i="25"/>
  <c r="DG36" i="25" s="1"/>
  <c r="DP36" i="25"/>
  <c r="K33" i="25" s="1"/>
  <c r="DZ36" i="25"/>
  <c r="L33" i="25" s="1"/>
  <c r="EJ36" i="25"/>
  <c r="CB36" i="25"/>
  <c r="G33" i="25" s="1"/>
  <c r="ET36" i="25"/>
  <c r="EU36" i="25" s="1"/>
  <c r="BS36" i="25" l="1"/>
  <c r="G58" i="23"/>
  <c r="F58" i="23" s="1"/>
  <c r="F59" i="23"/>
  <c r="D66" i="22"/>
  <c r="P6" i="22" s="1"/>
  <c r="D64" i="22"/>
  <c r="CC36" i="25"/>
  <c r="DQ36" i="25"/>
  <c r="M33" i="25"/>
  <c r="EA36" i="25"/>
  <c r="CM36" i="25"/>
  <c r="N33" i="25"/>
  <c r="EK36" i="25"/>
  <c r="J33" i="25"/>
  <c r="CW36" i="25"/>
  <c r="E33" i="25"/>
  <c r="AY36" i="25"/>
  <c r="D66" i="23" l="1"/>
  <c r="P6" i="23" s="1"/>
  <c r="D64" i="23"/>
  <c r="P5" i="22"/>
  <c r="D68" i="22"/>
  <c r="P5" i="23" l="1"/>
  <c r="D68" i="23"/>
  <c r="D69" i="22"/>
  <c r="P8" i="22" s="1"/>
  <c r="P7" i="22"/>
  <c r="D70" i="22"/>
  <c r="P9" i="22" s="1"/>
  <c r="P7" i="23" l="1"/>
  <c r="D69" i="23"/>
  <c r="P8" i="23" s="1"/>
  <c r="D70" i="23"/>
  <c r="P9" i="23" s="1"/>
  <c r="AK49" i="25"/>
  <c r="D57" i="25"/>
  <c r="H52" i="25" l="1"/>
  <c r="G57" i="25" l="1"/>
  <c r="E57" i="25"/>
  <c r="AL49" i="25"/>
  <c r="AN49" i="25"/>
  <c r="AK51" i="25" l="1"/>
  <c r="D59" i="25"/>
  <c r="I52" i="25"/>
  <c r="AM49" i="25"/>
  <c r="F57" i="25"/>
  <c r="E59" i="25" l="1"/>
  <c r="E58" i="25" s="1"/>
  <c r="AL51" i="25"/>
  <c r="AL50" i="25" s="1"/>
  <c r="G59" i="25"/>
  <c r="G58" i="25" s="1"/>
  <c r="AN51" i="25"/>
  <c r="F58" i="25" l="1"/>
  <c r="D64" i="25" s="1"/>
  <c r="AM51" i="25"/>
  <c r="AN50" i="25"/>
  <c r="AM50" i="25" s="1"/>
  <c r="AN56" i="25" s="1"/>
  <c r="F59" i="25"/>
  <c r="D66" i="25" l="1"/>
  <c r="P6" i="25" s="1"/>
  <c r="P5" i="25"/>
  <c r="D68" i="25"/>
  <c r="P7" i="25" s="1"/>
  <c r="AN57" i="25"/>
  <c r="AB74" i="25" s="1"/>
  <c r="AB78" i="25" s="1"/>
  <c r="P12" i="25" s="1"/>
  <c r="AB79" i="25" l="1"/>
  <c r="P11" i="25" s="1"/>
  <c r="D70" i="25"/>
  <c r="P9" i="25" s="1"/>
  <c r="D69" i="25"/>
  <c r="P8" i="25" s="1"/>
  <c r="P13" i="2" a="1"/>
  <c r="P9" i="2" a="1"/>
  <c r="P4" i="2" a="1"/>
  <c r="P8" i="2" a="1"/>
  <c r="P2" i="2" a="1"/>
  <c r="P7" i="2" a="1"/>
  <c r="P6" i="2" a="1"/>
  <c r="P5" i="2" a="1"/>
  <c r="P3" i="2" a="1"/>
  <c r="P12" i="2" a="1"/>
  <c r="P9" i="2" l="1"/>
  <c r="P12" i="2"/>
  <c r="P13" i="2"/>
  <c r="F14" i="1" s="1"/>
  <c r="P5" i="2"/>
  <c r="P8" i="2"/>
  <c r="F17" i="1" s="1"/>
  <c r="P7" i="2"/>
  <c r="F16" i="1" s="1"/>
  <c r="H16" i="1" s="1"/>
  <c r="P4" i="2"/>
  <c r="P3" i="2"/>
  <c r="P2" i="2"/>
  <c r="F8" i="1" s="1"/>
  <c r="B5" i="6" s="1"/>
  <c r="P6" i="2"/>
  <c r="F15" i="1" s="1"/>
  <c r="O12" i="1" s="1"/>
  <c r="H14" i="1" l="1"/>
  <c r="E20" i="6" s="1"/>
  <c r="F10" i="1"/>
  <c r="F9" i="1"/>
  <c r="F12" i="1"/>
  <c r="N8" i="1" s="1"/>
  <c r="H15" i="1"/>
  <c r="G21" i="6" s="1"/>
  <c r="H17" i="1"/>
  <c r="H15" i="6" s="1"/>
  <c r="F11" i="1"/>
  <c r="D25" i="6"/>
  <c r="H10" i="1" l="1"/>
  <c r="F15" i="6" s="1"/>
  <c r="H9" i="1"/>
  <c r="E15" i="6" s="1"/>
  <c r="E21" i="6"/>
  <c r="H12" i="1"/>
  <c r="C20" i="6" s="1"/>
  <c r="A7" i="6"/>
  <c r="A8" i="6"/>
  <c r="G20" i="6"/>
  <c r="H16" i="6"/>
  <c r="G15" i="6"/>
  <c r="H11" i="1"/>
  <c r="N11" i="1"/>
  <c r="N12" i="1"/>
  <c r="A9" i="6"/>
  <c r="E16" i="6" l="1"/>
  <c r="F16" i="6"/>
  <c r="C21" i="6"/>
  <c r="F18" i="1"/>
  <c r="B25" i="6"/>
  <c r="A25" i="6"/>
  <c r="H18" i="1" l="1"/>
  <c r="I15" i="6" s="1"/>
  <c r="I16" i="6" l="1"/>
  <c r="U70" i="47"/>
  <c r="AJ53" i="47" s="1"/>
  <c r="U54" i="47" l="1"/>
  <c r="V70" i="47"/>
  <c r="AJ54" i="47"/>
  <c r="AK53" i="47" l="1"/>
  <c r="V54" i="47"/>
  <c r="AK54" i="47"/>
  <c r="W70" i="47"/>
  <c r="AL53" i="47" l="1"/>
  <c r="AL54" i="47"/>
  <c r="W54" i="47"/>
  <c r="X70" i="47"/>
  <c r="AM53" i="47" l="1"/>
  <c r="Y70" i="47"/>
  <c r="X54" i="47"/>
  <c r="AM54" i="47"/>
  <c r="AN53" i="47" l="1"/>
  <c r="AN54" i="47"/>
  <c r="Y54" i="47"/>
  <c r="Z70" i="47"/>
  <c r="AO53" i="47" l="1"/>
  <c r="Z54" i="47"/>
  <c r="AO54" i="47"/>
  <c r="AA70" i="47"/>
  <c r="AB70" i="47" l="1"/>
  <c r="AP53" i="47"/>
  <c r="AA54" i="47"/>
  <c r="AP54" i="47"/>
  <c r="AQ54" i="47" l="1"/>
  <c r="AB54" i="47"/>
  <c r="AQ53" i="47"/>
  <c r="AC70" i="47"/>
  <c r="AD70" i="47" s="1"/>
  <c r="AE70" i="47" s="1"/>
  <c r="AF70" i="47" s="1"/>
  <c r="AG70" i="47" s="1"/>
  <c r="AH70" i="47" s="1"/>
  <c r="AI70" i="47" s="1"/>
  <c r="AJ70"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1" authorId="0" shapeId="0" xr:uid="{00000000-0006-0000-0500-000001000000}">
      <text>
        <r>
          <rPr>
            <b/>
            <sz val="9"/>
            <color indexed="81"/>
            <rFont val="Tahoma"/>
            <family val="2"/>
          </rPr>
          <t>Windows User:</t>
        </r>
        <r>
          <rPr>
            <sz val="9"/>
            <color indexed="81"/>
            <rFont val="Tahoma"/>
            <family val="2"/>
          </rPr>
          <t xml:space="preserve">
REPLACE NAME TO NEW MODEL NAME</t>
        </r>
      </text>
    </comment>
    <comment ref="I3" authorId="0" shapeId="0" xr:uid="{00000000-0006-0000-0500-000002000000}">
      <text>
        <r>
          <rPr>
            <b/>
            <sz val="12"/>
            <color indexed="81"/>
            <rFont val="Tahoma"/>
            <family val="2"/>
          </rPr>
          <t>Windows User:</t>
        </r>
        <r>
          <rPr>
            <sz val="12"/>
            <color indexed="81"/>
            <rFont val="Tahoma"/>
            <family val="2"/>
          </rPr>
          <t xml:space="preserve">
(Righ click on tab name, press "Move or Copy…", check box that says "Create a copy"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IT26" authorId="0" shapeId="0" xr:uid="{00000000-0006-0000-0900-000001000000}">
      <text>
        <r>
          <rPr>
            <b/>
            <sz val="9"/>
            <color indexed="81"/>
            <rFont val="Tahoma"/>
            <family val="2"/>
          </rPr>
          <t>Windows User:</t>
        </r>
        <r>
          <rPr>
            <sz val="9"/>
            <color indexed="81"/>
            <rFont val="Tahoma"/>
            <family val="2"/>
          </rPr>
          <t xml:space="preserve">
EQUIVALENT TO 0.508" BTM BLADE AND 2.388 SECOND LAST BLADE</t>
        </r>
      </text>
    </comment>
    <comment ref="IT31" authorId="0" shapeId="0" xr:uid="{00000000-0006-0000-0900-000002000000}">
      <text>
        <r>
          <rPr>
            <b/>
            <sz val="9"/>
            <color indexed="81"/>
            <rFont val="Tahoma"/>
            <family val="2"/>
          </rPr>
          <t>Windows User:</t>
        </r>
        <r>
          <rPr>
            <sz val="9"/>
            <color indexed="81"/>
            <rFont val="Tahoma"/>
            <family val="2"/>
          </rPr>
          <t xml:space="preserve">
EQUIVALENT TO 0.508" BTM BLADE AND 2.388 SECOND LAST BLADE</t>
        </r>
      </text>
    </comment>
    <comment ref="IT36" authorId="0" shapeId="0" xr:uid="{00000000-0006-0000-0900-000003000000}">
      <text>
        <r>
          <rPr>
            <b/>
            <sz val="9"/>
            <color indexed="81"/>
            <rFont val="Tahoma"/>
            <family val="2"/>
          </rPr>
          <t>Windows User:</t>
        </r>
        <r>
          <rPr>
            <sz val="9"/>
            <color indexed="81"/>
            <rFont val="Tahoma"/>
            <family val="2"/>
          </rPr>
          <t xml:space="preserve">
EQUIVALENT TO 0.508" BTM BLADE AND 2.388 SECOND LAST BLADE</t>
        </r>
      </text>
    </comment>
    <comment ref="IT41" authorId="0" shapeId="0" xr:uid="{00000000-0006-0000-0900-000004000000}">
      <text>
        <r>
          <rPr>
            <b/>
            <sz val="9"/>
            <color indexed="81"/>
            <rFont val="Tahoma"/>
            <family val="2"/>
          </rPr>
          <t>Windows User:</t>
        </r>
        <r>
          <rPr>
            <sz val="9"/>
            <color indexed="81"/>
            <rFont val="Tahoma"/>
            <family val="2"/>
          </rPr>
          <t xml:space="preserve">
EQUIVALENT TO 0.508" BTM BLADE AND 2.388 SECOND LAST BLADE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IT36" authorId="0" shapeId="0" xr:uid="{00000000-0006-0000-0C00-000001000000}">
      <text>
        <r>
          <rPr>
            <b/>
            <sz val="9"/>
            <color indexed="81"/>
            <rFont val="Tahoma"/>
            <family val="2"/>
          </rPr>
          <t>Windows User:</t>
        </r>
        <r>
          <rPr>
            <sz val="9"/>
            <color indexed="81"/>
            <rFont val="Tahoma"/>
            <family val="2"/>
          </rPr>
          <t xml:space="preserve">
EQUIVALENT TO 0.508" BTM BLADE AND 2.388 SECOND LAST BLADE</t>
        </r>
      </text>
    </comment>
    <comment ref="IT41" authorId="0" shapeId="0" xr:uid="{00000000-0006-0000-0C00-000002000000}">
      <text>
        <r>
          <rPr>
            <b/>
            <sz val="9"/>
            <color indexed="81"/>
            <rFont val="Tahoma"/>
            <family val="2"/>
          </rPr>
          <t>Windows User:</t>
        </r>
        <r>
          <rPr>
            <sz val="9"/>
            <color indexed="81"/>
            <rFont val="Tahoma"/>
            <family val="2"/>
          </rPr>
          <t xml:space="preserve">
EQUIVALENT TO 0.508" BTM BLADE AND 2.388 SECOND LAST BLADE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P100" authorId="0" shapeId="0" xr:uid="{E2B132DF-19E1-4961-ABBF-4084D1A20741}">
      <text>
        <r>
          <rPr>
            <b/>
            <sz val="9"/>
            <color indexed="81"/>
            <rFont val="Tahoma"/>
            <family val="2"/>
          </rPr>
          <t>Windows User:</t>
        </r>
        <r>
          <rPr>
            <sz val="9"/>
            <color indexed="81"/>
            <rFont val="Tahoma"/>
            <family val="2"/>
          </rPr>
          <t xml:space="preserve">
=P96*P97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P100" authorId="0" shapeId="0" xr:uid="{0364429A-62D4-4FC6-93A2-C4A7919BCCB9}">
      <text>
        <r>
          <rPr>
            <b/>
            <sz val="9"/>
            <color indexed="81"/>
            <rFont val="Tahoma"/>
            <family val="2"/>
          </rPr>
          <t>Windows User:</t>
        </r>
        <r>
          <rPr>
            <sz val="9"/>
            <color indexed="81"/>
            <rFont val="Tahoma"/>
            <family val="2"/>
          </rPr>
          <t xml:space="preserve">
=P96*P97</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<sst xmlns="http://schemas.openxmlformats.org/spreadsheetml/2006/main" count="4285" uniqueCount="319">
  <si>
    <t>FPM</t>
  </si>
  <si>
    <t>Louver Division</t>
  </si>
  <si>
    <t>INPUTS</t>
  </si>
  <si>
    <t>Model:</t>
  </si>
  <si>
    <t>Louver Width:</t>
  </si>
  <si>
    <t>Louver Height:</t>
  </si>
  <si>
    <t>Air Direction:</t>
  </si>
  <si>
    <t>DE635</t>
  </si>
  <si>
    <t>DE439</t>
  </si>
  <si>
    <t>INTAKE</t>
  </si>
  <si>
    <t>EXHAUST</t>
  </si>
  <si>
    <t>OUTPUTS</t>
  </si>
  <si>
    <t>Free Area:</t>
  </si>
  <si>
    <t>Free Area %:</t>
  </si>
  <si>
    <t>Free Area Velocity:</t>
  </si>
  <si>
    <t>Pressure Drop:</t>
  </si>
  <si>
    <t>%</t>
  </si>
  <si>
    <t>Section Height
inches (mm)</t>
  </si>
  <si>
    <t>Section Width - inches (mm)</t>
  </si>
  <si>
    <t>Free Area Inputs</t>
  </si>
  <si>
    <t># Jambs</t>
  </si>
  <si>
    <t>Jamb Width</t>
  </si>
  <si>
    <t># C-Chan</t>
  </si>
  <si>
    <t>C-Chan Width</t>
  </si>
  <si>
    <t># Strips</t>
  </si>
  <si>
    <t>Strip Width</t>
  </si>
  <si>
    <t>Missing Length</t>
  </si>
  <si>
    <t>Multiplier Width</t>
  </si>
  <si>
    <t>Blade Qty</t>
  </si>
  <si>
    <t>Space Between Head, A (in)</t>
  </si>
  <si>
    <t>Space Between Blades, B (in)</t>
  </si>
  <si>
    <t>Space Between Btm Blade, C (in)</t>
  </si>
  <si>
    <t>Jamb Width (in)</t>
  </si>
  <si>
    <t>Stiffner Width (in)</t>
  </si>
  <si>
    <t>C-Channel Width (in)</t>
  </si>
  <si>
    <t>Width</t>
  </si>
  <si>
    <t>Height</t>
  </si>
  <si>
    <t>Col</t>
  </si>
  <si>
    <t>Row</t>
  </si>
  <si>
    <t>MODEL:</t>
  </si>
  <si>
    <t>INPUT VALUES:</t>
  </si>
  <si>
    <t>WIDTH</t>
  </si>
  <si>
    <t>HEIGHT</t>
  </si>
  <si>
    <t>AIR VOLUME</t>
  </si>
  <si>
    <t>AIR DIRECTION</t>
  </si>
  <si>
    <t>sq.ft</t>
  </si>
  <si>
    <t>FREE AREA:</t>
  </si>
  <si>
    <t>FACE AREA:</t>
  </si>
  <si>
    <t>ft.min</t>
  </si>
  <si>
    <t>Air Volume:</t>
  </si>
  <si>
    <t>Water Penetration Point:</t>
  </si>
  <si>
    <t>Water Penetration:</t>
  </si>
  <si>
    <t>Model</t>
  </si>
  <si>
    <t>JE443</t>
  </si>
  <si>
    <t>ZE439</t>
  </si>
  <si>
    <t>ZE445</t>
  </si>
  <si>
    <t>NJE2</t>
  </si>
  <si>
    <t>NSE1</t>
  </si>
  <si>
    <t>QA645</t>
  </si>
  <si>
    <t>QA1245</t>
  </si>
  <si>
    <t>RSE5</t>
  </si>
  <si>
    <t>N/A</t>
  </si>
  <si>
    <t>FREE AREA PERCENTAGE</t>
  </si>
  <si>
    <t>SECTION HEIGHT</t>
  </si>
  <si>
    <t>RETURN VALUES</t>
  </si>
  <si>
    <t>4" Deep, 39° Blade Extruded Drainable Louver</t>
  </si>
  <si>
    <t>Summary</t>
  </si>
  <si>
    <t>Performance</t>
  </si>
  <si>
    <t>Actual</t>
  </si>
  <si>
    <t>Nominal</t>
  </si>
  <si>
    <t>Free Area %</t>
  </si>
  <si>
    <t>Interpolation:</t>
  </si>
  <si>
    <t>SECTION WIDTH</t>
  </si>
  <si>
    <t>ACTUAL OR NOMINAL</t>
  </si>
  <si>
    <t>SECTIONS WIDE</t>
  </si>
  <si>
    <t>SECTIONS HIGH</t>
  </si>
  <si>
    <t>APPROX SECTION</t>
  </si>
  <si>
    <t>Bounds:</t>
  </si>
  <si>
    <t>Low</t>
  </si>
  <si>
    <t>High</t>
  </si>
  <si>
    <t>RESULTS</t>
  </si>
  <si>
    <t>FREE AREA %:</t>
  </si>
  <si>
    <t>AIR SPEED:</t>
  </si>
  <si>
    <t>PRESSURE DROP:</t>
  </si>
  <si>
    <t>Free Area Calculation Using % FREE AREA</t>
  </si>
  <si>
    <t>MASS ADDED</t>
  </si>
  <si>
    <t>lb</t>
  </si>
  <si>
    <t>Intake</t>
  </si>
  <si>
    <t>Exhaust</t>
  </si>
  <si>
    <t>Page 1 of 1</t>
  </si>
  <si>
    <t>Section Weight:</t>
  </si>
  <si>
    <t>Total Weight:</t>
  </si>
  <si>
    <r>
      <t>For more information visit www.</t>
    </r>
    <r>
      <rPr>
        <b/>
        <sz val="8"/>
        <color theme="0" tint="-0.499984740745262"/>
        <rFont val="Arial"/>
        <family val="2"/>
      </rPr>
      <t>priceindustries</t>
    </r>
    <r>
      <rPr>
        <sz val="8"/>
        <color theme="0" tint="-0.499984740745262"/>
        <rFont val="Arial"/>
        <family val="2"/>
      </rPr>
      <t>.com</t>
    </r>
  </si>
  <si>
    <t>Free Area</t>
  </si>
  <si>
    <t>Pressure Intake</t>
  </si>
  <si>
    <t>Pressure Exhaust</t>
  </si>
  <si>
    <t>Free Area Velocity</t>
  </si>
  <si>
    <t>Section Weight</t>
  </si>
  <si>
    <t>Total Weight</t>
  </si>
  <si>
    <t>in.w.g</t>
  </si>
  <si>
    <t>Approx Sections</t>
  </si>
  <si>
    <t>6" Deep, 35° Blade Extruded Drainable Louver</t>
  </si>
  <si>
    <t>Model Description:</t>
  </si>
  <si>
    <t>Images</t>
  </si>
  <si>
    <t>OUTPUT VALUES</t>
  </si>
  <si>
    <t>Dimensions:</t>
  </si>
  <si>
    <t>Inch</t>
  </si>
  <si>
    <t>mm</t>
  </si>
  <si>
    <t>QA845</t>
  </si>
  <si>
    <t>QAF845</t>
  </si>
  <si>
    <t>QAF1245</t>
  </si>
  <si>
    <t>6" Deep, 45° Flat Blade Formed Acoustical Louver</t>
  </si>
  <si>
    <t>8" Deep, 45° Airfoil Blade Formed Acoustical Louver</t>
  </si>
  <si>
    <t>12" Deep, 45° Airfoil Blade Formed Acoustical Louver</t>
  </si>
  <si>
    <t>12" Deep, 45° Flat Blade Formed Acoustical Louver</t>
  </si>
  <si>
    <t>8" Deep, 45° Flat Blade Formed Acoustical Louver</t>
  </si>
  <si>
    <t>SECTIONING</t>
  </si>
  <si>
    <t>Units:</t>
  </si>
  <si>
    <t>9" x 9.5"</t>
  </si>
  <si>
    <t>9" x 10.125"</t>
  </si>
  <si>
    <t>9" x 10.5"</t>
  </si>
  <si>
    <t>6" x 5.8125"</t>
  </si>
  <si>
    <t>8" x 14"</t>
  </si>
  <si>
    <t>SECTION HEIGHT (in)</t>
  </si>
  <si>
    <t>SECTION WIDTH (in)</t>
  </si>
  <si>
    <t>RSE1</t>
  </si>
  <si>
    <t>SHEETDATA</t>
  </si>
  <si>
    <t>Output Name</t>
  </si>
  <si>
    <t>Output Value</t>
  </si>
  <si>
    <t>SUMMARY PICTURES</t>
  </si>
  <si>
    <t>MODEL RESULT</t>
  </si>
  <si>
    <t>4" Deep, 39° Fixed Blade Extruded Non-Drainable Louver</t>
  </si>
  <si>
    <t>4" Deep, 45° Fixed Blade Extruded Non-Drainable Louver</t>
  </si>
  <si>
    <t>4" Deep, 43° J-Blade Extruded Stationary Louver</t>
  </si>
  <si>
    <t>2" Deep, 30° Fixed Blade Extruded Non-Drainable Louver</t>
  </si>
  <si>
    <t>1.5" Deep, 29° Fixed Blade Extruded Non-Drainable Louver</t>
  </si>
  <si>
    <t>5" Deep, 39° Blade Extruded Rain Storm Louver</t>
  </si>
  <si>
    <t>* Effect of screens not accounted for in performance values.</t>
  </si>
  <si>
    <t>Sectioning</t>
  </si>
  <si>
    <t>Sections Wide</t>
  </si>
  <si>
    <t>Sections High</t>
  </si>
  <si>
    <t>Air Direction</t>
  </si>
  <si>
    <t>Approximate Sections Wide</t>
  </si>
  <si>
    <t>Approximate Total Sections</t>
  </si>
  <si>
    <t>Contact: LouversDesign_WPG@priceindustries.com</t>
  </si>
  <si>
    <t>Email: LouversDesign_WPG@priceindustries.com</t>
  </si>
  <si>
    <t>Sizing</t>
  </si>
  <si>
    <t xml:space="preserve">Approximate Sections High </t>
  </si>
  <si>
    <t>DO NOT TOUCH</t>
  </si>
  <si>
    <t>INSTRUCTIONS:</t>
  </si>
  <si>
    <t>~CHANGE TAB NAME TO NEW MODEL NAME</t>
  </si>
  <si>
    <t>~CHANGE MODEL NAME IN C1</t>
  </si>
  <si>
    <t>XXXXX</t>
  </si>
  <si>
    <t>~CHANGE ALL WEIGHT VALUES IN Q45:AJ64</t>
  </si>
  <si>
    <t>~CHANGE SECTIONING RULES IN C8 and F8</t>
  </si>
  <si>
    <t>~CHANGE PRESSURE EQNS. IN D67 AND D68</t>
  </si>
  <si>
    <t>~REPLACE CHART FOR FREE AREA INPUTS IR20:IW39</t>
  </si>
  <si>
    <t># C-Channel</t>
  </si>
  <si>
    <t>Added Weight</t>
  </si>
  <si>
    <t>LOUVER WEIGHT (lb)</t>
  </si>
  <si>
    <t xml:space="preserve">~CREATE COPY OF THIS TAB </t>
  </si>
  <si>
    <t>** Contact Louvers department for exact sectioning sizes when required.</t>
  </si>
  <si>
    <t>W</t>
  </si>
  <si>
    <t>H</t>
  </si>
  <si>
    <t>MINIMUM WIDTH:</t>
  </si>
  <si>
    <t>MINIMUM HEIGHT:</t>
  </si>
  <si>
    <t>~CHANGE LOWEST DIMENSIONS IN F11 AND F12</t>
  </si>
  <si>
    <t xml:space="preserve">Overview: </t>
  </si>
  <si>
    <t>The purpose of this document is to outline how to properly modify/add models to this calculator.</t>
  </si>
  <si>
    <t>Purpose:</t>
  </si>
  <si>
    <t>This section will outline the different Tabs present on the calculator</t>
  </si>
  <si>
    <t>Approximate Total Sections:</t>
  </si>
  <si>
    <t>EXAMPLE WITH ERRORS:</t>
  </si>
  <si>
    <t>SHEET DATA</t>
  </si>
  <si>
    <t>EXAMPLE OF NEW MODEL</t>
  </si>
  <si>
    <t>WORKSHEET INSTRUCTIONS</t>
  </si>
  <si>
    <t>VALUES TO CHANGE</t>
  </si>
  <si>
    <t>SIZES</t>
  </si>
  <si>
    <t>EXAMPLE WITH WARNING DIALOG</t>
  </si>
  <si>
    <t>For Special Smaller Sizes Contact Louvers Department.</t>
  </si>
  <si>
    <t>LOCKDOWN PROCEDURE</t>
  </si>
  <si>
    <t>Effect of screens not accounted for in performance values.</t>
  </si>
  <si>
    <t>lbs/in</t>
  </si>
  <si>
    <t>B Flange Weight</t>
  </si>
  <si>
    <t>lbs</t>
  </si>
  <si>
    <t>Linear Weight:</t>
  </si>
  <si>
    <t>SCREEN WEIGHT (lbs)</t>
  </si>
  <si>
    <t>B FLANGE WEIGHT (lbs)</t>
  </si>
  <si>
    <t>LOUVER WEIGHT (lbs)</t>
  </si>
  <si>
    <t>Lbs/in^2</t>
  </si>
  <si>
    <t>lbs/in^2</t>
  </si>
  <si>
    <t>WEIGHT ADDED</t>
  </si>
  <si>
    <t>Screen Weight:</t>
  </si>
  <si>
    <t>Louver Weight:</t>
  </si>
  <si>
    <t>B Flange Weight:</t>
  </si>
  <si>
    <t>Perimeter:</t>
  </si>
  <si>
    <t>in</t>
  </si>
  <si>
    <t>Area:</t>
  </si>
  <si>
    <t>in^2</t>
  </si>
  <si>
    <t>Performance of louvers manufactured by Price are tested in accordance with AMCA Publication 500-L.</t>
  </si>
  <si>
    <t>Steps</t>
  </si>
  <si>
    <t>Save "PerformanceCalc_V_X.X MASTER" As "PerformanceCalc_V_X.X Upload"</t>
  </si>
  <si>
    <t>Copy lock key on "CALCULATOR" tab and then delete the code.</t>
  </si>
  <si>
    <t>Lock down all Tabs using code. Click on "Review" at top of page, then "Protect Sheet"</t>
  </si>
  <si>
    <t>Ensure all boxes are unchecked except "Select unlocked cells". Enter key, press "Ok", enter key again and press "Ok."</t>
  </si>
  <si>
    <t>Hide all tabs except "CALCULATOR" and "SUMMARY"</t>
  </si>
  <si>
    <t>Right click on a Tab, press "Hide."</t>
  </si>
  <si>
    <t>Lock down workbook so that users can not unhide tabs. Press "Review" at top of page, then "Protect Workbook"</t>
  </si>
  <si>
    <t>Ensure "Structure" checked, enter key, press "Ok", enter key again and press "Ok."</t>
  </si>
  <si>
    <t>B FLANGE WEIGHT (lbs) and SCREEN WEIGHT (lbs)</t>
  </si>
  <si>
    <t>Estimated Section Weight:</t>
  </si>
  <si>
    <t>Estimated Total Weight:</t>
  </si>
  <si>
    <t>Standard Section Weight:</t>
  </si>
  <si>
    <t>Standard Total Weight:</t>
  </si>
  <si>
    <t>DATA ENTRY:</t>
  </si>
  <si>
    <t>PRINT SUMMARY:</t>
  </si>
  <si>
    <t>Revision Log</t>
  </si>
  <si>
    <t>Version:</t>
  </si>
  <si>
    <t>Author:</t>
  </si>
  <si>
    <t>SBO</t>
  </si>
  <si>
    <t>Date:</t>
  </si>
  <si>
    <t>Revision Description:</t>
  </si>
  <si>
    <t>Initial Release</t>
  </si>
  <si>
    <t>**NOTE: Make sure to change version number on "DATA ENTRY" tab. **</t>
  </si>
  <si>
    <t>Performance Data Sheet</t>
  </si>
  <si>
    <t>SELECT MODEL</t>
  </si>
  <si>
    <t>SELECT AIR DIRECTION</t>
  </si>
  <si>
    <t>Sizing:</t>
  </si>
  <si>
    <t>SELECT SIZING TYPE</t>
  </si>
  <si>
    <t>SELECT UNITS</t>
  </si>
  <si>
    <t>7" x 5.4375"</t>
  </si>
  <si>
    <t>12" x 14.75"</t>
  </si>
  <si>
    <t>12" x 19.75"</t>
  </si>
  <si>
    <t>12" x 16.75"</t>
  </si>
  <si>
    <t>12" x 20.75"</t>
  </si>
  <si>
    <t>12" x 15.75"</t>
  </si>
  <si>
    <t>Minimum Sizes (in)</t>
  </si>
  <si>
    <t>Minimum Sizes (mm)</t>
  </si>
  <si>
    <t>229 x 242 mm</t>
  </si>
  <si>
    <t>229 x 258 mm</t>
  </si>
  <si>
    <t>229 x 241 mm</t>
  </si>
  <si>
    <t>229 x 267 mm</t>
  </si>
  <si>
    <t>178 x 139 mm</t>
  </si>
  <si>
    <t>153 x 148 mm</t>
  </si>
  <si>
    <t>305 x 375 mm</t>
  </si>
  <si>
    <t>305 x 425 mm</t>
  </si>
  <si>
    <t>305 x 527 mm</t>
  </si>
  <si>
    <t>305 x 400 mm</t>
  </si>
  <si>
    <t>305 x 502 mm</t>
  </si>
  <si>
    <t>204 x 356 mm</t>
  </si>
  <si>
    <t>sq.m</t>
  </si>
  <si>
    <t>kg</t>
  </si>
  <si>
    <t>Job Name:</t>
  </si>
  <si>
    <t>Unit Tag:</t>
  </si>
  <si>
    <t>ENTER JOB NAME</t>
  </si>
  <si>
    <t>ENTER UNIT TAG</t>
  </si>
  <si>
    <t>Optional:</t>
  </si>
  <si>
    <t>Added metric conversions for Data Entry and Print Summary Pages, changed Air Volume to L/s when entering in mm, added Job name and Unit tag inputs.</t>
  </si>
  <si>
    <t>Conversion:</t>
  </si>
  <si>
    <t>L/s to CFM:</t>
  </si>
  <si>
    <t>CFM to L/s:</t>
  </si>
  <si>
    <t>Conversions:</t>
  </si>
  <si>
    <t>m/s</t>
  </si>
  <si>
    <t>Pa</t>
  </si>
  <si>
    <t>Added DE445M and ZE445M models</t>
  </si>
  <si>
    <t>Maximum Sizes (in)</t>
  </si>
  <si>
    <t>Maximum Sizes (mm)</t>
  </si>
  <si>
    <t>MAXIMUM WIDTH:</t>
  </si>
  <si>
    <t>MAXIMUM HEIGHT:</t>
  </si>
  <si>
    <t>Total Sq.Ft:</t>
  </si>
  <si>
    <t>Mechanical Louver Square Footage</t>
  </si>
  <si>
    <t>TCB</t>
  </si>
  <si>
    <t>Updated minor weight discrepancies for DE635; Revised precision for metric input/output</t>
  </si>
  <si>
    <t>Added face area velocity parameter per request from mech group in Toronto</t>
  </si>
  <si>
    <t>Notes:</t>
  </si>
  <si>
    <t>(Free Area Velocity)</t>
  </si>
  <si>
    <t>Face Area Velocity:</t>
  </si>
  <si>
    <t>Face Area Velocity</t>
  </si>
  <si>
    <t>Face Area [sqft]</t>
  </si>
  <si>
    <t>Face Area Vel [FPM]</t>
  </si>
  <si>
    <t>Face Area</t>
  </si>
  <si>
    <t>Face Area:</t>
  </si>
  <si>
    <t>Added face area parameter to data entry tab and as return value on model tabs. Correct face area ouput value on print summary</t>
  </si>
  <si>
    <t>KX445</t>
  </si>
  <si>
    <t>KX645</t>
  </si>
  <si>
    <t>TCB / GA</t>
  </si>
  <si>
    <t>10" x 7.375"</t>
  </si>
  <si>
    <t>10" x 9.625"</t>
  </si>
  <si>
    <t>254 x 244 mm</t>
  </si>
  <si>
    <t>254 x 187 mm</t>
  </si>
  <si>
    <t>Free Area Inputs (Width)</t>
  </si>
  <si>
    <t>Free Area Inputs (Height)</t>
  </si>
  <si>
    <t>Effective Height (in)</t>
  </si>
  <si>
    <t>Total Jamb Width</t>
  </si>
  <si>
    <t xml:space="preserve">Stiffener Width 
(L &gt; =54") </t>
  </si>
  <si>
    <t>Final Blade Height (in)</t>
  </si>
  <si>
    <t>B=Space Between Blades (in)</t>
  </si>
  <si>
    <t>C=Space Between Btm Blade (in)</t>
  </si>
  <si>
    <t>Effective Width (in)</t>
  </si>
  <si>
    <r>
      <t>Free Area Chart</t>
    </r>
    <r>
      <rPr>
        <b/>
        <sz val="14"/>
        <color theme="1"/>
        <rFont val="Arial"/>
        <family val="2"/>
      </rPr>
      <t xml:space="preserve">  -  ft</t>
    </r>
    <r>
      <rPr>
        <b/>
        <vertAlign val="superscript"/>
        <sz val="14"/>
        <color theme="1"/>
        <rFont val="Arial"/>
        <family val="2"/>
      </rPr>
      <t>2</t>
    </r>
    <r>
      <rPr>
        <b/>
        <sz val="14"/>
        <color theme="1"/>
        <rFont val="Arial"/>
        <family val="2"/>
      </rPr>
      <t xml:space="preserve"> (m</t>
    </r>
    <r>
      <rPr>
        <b/>
        <vertAlign val="superscript"/>
        <sz val="14"/>
        <color theme="1"/>
        <rFont val="Arial"/>
        <family val="2"/>
      </rPr>
      <t>2</t>
    </r>
    <r>
      <rPr>
        <b/>
        <sz val="14"/>
        <color theme="1"/>
        <rFont val="Arial"/>
        <family val="2"/>
      </rPr>
      <t>)</t>
    </r>
  </si>
  <si>
    <t>Section Height
in (mm)</t>
  </si>
  <si>
    <t>Section Width</t>
  </si>
  <si>
    <t>in (mm)</t>
  </si>
  <si>
    <t>[FOR TOTAL MULTI-SECTION ASSY]</t>
  </si>
  <si>
    <t>4" Deep, 45° Fixed Blade Kitchen Exhaust Louver</t>
  </si>
  <si>
    <t>Row/Col Location</t>
  </si>
  <si>
    <t>Size</t>
  </si>
  <si>
    <t>6" Deep, 45° Fixed Blade Kitchen Exhaust Louver</t>
  </si>
  <si>
    <t>Removed DE445M &amp; ZE445M. Added KX445 &amp; KX645.</t>
  </si>
  <si>
    <t>Version: 1.6</t>
  </si>
  <si>
    <t>Weight Difference
Sanity Check (WIDTH):</t>
  </si>
  <si>
    <t>Weight Difference
Sanity Check (HEIGHT):</t>
  </si>
  <si>
    <t>WEIGHT ADDED
(PER HEIGHT)</t>
  </si>
  <si>
    <t>ENTER AIR VOLUME</t>
  </si>
  <si>
    <t>Standard Section Weight (lbs)</t>
  </si>
  <si>
    <t>Standard Total Weight (lbs)</t>
  </si>
  <si>
    <t>ENTER WIDTH</t>
  </si>
  <si>
    <t>ENTER HEIGHT</t>
  </si>
  <si>
    <t>v1.6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</si>
</sst>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00"/>
    <numFmt numFmtId="166" formatCode="0.00000"/>
    <numFmt numFmtId="167" formatCode="0.0000"/>
    <numFmt numFmtId="168" formatCode="0.000000"/>
    <numFmt numFmtId="169" formatCode="\(0\)"/>
    <numFmt numFmtId="170" formatCode="\(0.00\)"/>
    <numFmt numFmtId="171" formatCode="\(0.0\)"/>
    <numFmt numFmtId="172" formatCode="yyyy/mm/dd;@"/>
  </numFmts>
  <fonts count="55" x14ac:knownFonts="1">
    <font>
      <sz val="11"/>
      <color theme="1"/>
      <name val="Calibri"/>
      <family val="2"/>
      <scheme val="minor"/>
    </font>
    <font>
      <sz val="16"/>
      <color theme="1"/>
      <name val="Calibri"/>
      <family val="2"/>
      <scheme val="minor"/>
    </font>
    <font>
      <sz val="18"/>
      <color theme="1"/>
      <name val="Calibri"/>
      <family val="2"/>
      <scheme val="minor"/>
    </font>
    <font>
      <sz val="24"/>
      <color theme="1"/>
      <name val="Calibri"/>
      <family val="2"/>
      <scheme val="minor"/>
    </font>
    <font>
      <b/>
      <sz val="20"/>
      <color theme="1"/>
      <name val="Arial"/>
      <family val="2"/>
    </font>
    <font>
      <sz val="11"/>
      <color theme="1"/>
      <name val="Arial"/>
      <family val="2"/>
    </font>
    <font>
      <b/>
      <sz val="11"/>
      <color theme="1"/>
      <name val="Arial"/>
      <family val="2"/>
    </font>
    <font>
      <b/>
      <sz val="14"/>
      <color theme="1"/>
      <name val="Arial"/>
      <family val="2"/>
    </font>
    <font>
      <b/>
      <sz val="11"/>
      <name val="Arial"/>
      <family val="2"/>
    </font>
    <font>
      <sz val="11"/>
      <name val="Arial"/>
      <family val="2"/>
    </font>
    <font>
      <sz val="11"/>
      <color theme="1"/>
      <name val="Calibri"/>
      <family val="2"/>
      <scheme val="minor"/>
    </font>
    <font>
      <b/>
      <sz val="11"/>
      <color theme="1"/>
      <name val="Calibri"/>
      <family val="2"/>
      <scheme val="minor"/>
    </font>
    <font>
      <sz val="12"/>
      <color theme="1"/>
      <name val="Calibri"/>
      <family val="2"/>
      <scheme val="minor"/>
    </font>
    <font>
      <b/>
      <sz val="18"/>
      <color theme="1"/>
      <name val="Calibri"/>
      <family val="2"/>
      <scheme val="minor"/>
    </font>
    <font>
      <sz val="14"/>
      <color theme="1"/>
      <name val="Calibri"/>
      <family val="2"/>
      <scheme val="minor"/>
    </font>
    <font>
      <b/>
      <sz val="16"/>
      <color theme="1"/>
      <name val="Calibri"/>
      <family val="2"/>
      <scheme val="minor"/>
    </font>
    <font>
      <sz val="14"/>
      <color theme="1"/>
      <name val="Arial"/>
      <family val="2"/>
    </font>
    <font>
      <sz val="22"/>
      <color theme="1"/>
      <name val="Arial"/>
      <family val="2"/>
    </font>
    <font>
      <sz val="10"/>
      <color theme="1"/>
      <name val="Arial"/>
      <family val="2"/>
    </font>
    <font>
      <sz val="10"/>
      <name val="Arial"/>
      <family val="2"/>
    </font>
    <font>
      <b/>
      <sz val="14"/>
      <color theme="1"/>
      <name val="Calibri"/>
      <family val="2"/>
      <scheme val="minor"/>
    </font>
    <font>
      <b/>
      <sz val="12"/>
      <color theme="1"/>
      <name val="Calibri"/>
      <family val="2"/>
      <scheme val="minor"/>
    </font>
    <font>
      <u/>
      <sz val="16"/>
      <color theme="1"/>
      <name val="Calibri"/>
      <family val="2"/>
      <scheme val="minor"/>
    </font>
    <font>
      <sz val="9"/>
      <color theme="1"/>
      <name val="Calibri"/>
      <family val="2"/>
      <scheme val="minor"/>
    </font>
    <font>
      <sz val="9"/>
      <color theme="1"/>
      <name val="Arial"/>
      <family val="2"/>
    </font>
    <font>
      <i/>
      <sz val="9"/>
      <color theme="1"/>
      <name val="Arial"/>
      <family val="2"/>
    </font>
    <font>
      <b/>
      <sz val="16"/>
      <color theme="1"/>
      <name val="Arial"/>
      <family val="2"/>
    </font>
    <font>
      <sz val="8"/>
      <color theme="1"/>
      <name val="Arial"/>
      <family val="2"/>
    </font>
    <font>
      <sz val="8"/>
      <color theme="0" tint="-0.499984740745262"/>
      <name val="Arial"/>
      <family val="2"/>
    </font>
    <font>
      <b/>
      <sz val="8"/>
      <color theme="0" tint="-0.499984740745262"/>
      <name val="Arial"/>
      <family val="2"/>
    </font>
    <font>
      <sz val="10"/>
      <color rgb="FF000000"/>
      <name val="Calibri"/>
      <family val="2"/>
      <scheme val="minor"/>
    </font>
    <font>
      <b/>
      <sz val="9"/>
      <color indexed="81"/>
      <name val="Tahoma"/>
      <family val="2"/>
    </font>
    <font>
      <sz val="9"/>
      <color indexed="81"/>
      <name val="Tahoma"/>
      <family val="2"/>
    </font>
    <font>
      <sz val="11"/>
      <name val="Calibri"/>
      <family val="2"/>
      <scheme val="minor"/>
    </font>
    <font>
      <b/>
      <i/>
      <sz val="14"/>
      <color theme="1"/>
      <name val="Calibri"/>
      <family val="2"/>
      <scheme val="minor"/>
    </font>
    <font>
      <u/>
      <sz val="11"/>
      <color theme="1"/>
      <name val="Calibri"/>
      <family val="2"/>
      <scheme val="minor"/>
    </font>
    <font>
      <u/>
      <sz val="18"/>
      <color theme="1"/>
      <name val="Calibri"/>
      <family val="2"/>
      <scheme val="minor"/>
    </font>
    <font>
      <sz val="14"/>
      <name val="Courier New"/>
      <family val="3"/>
    </font>
    <font>
      <sz val="11"/>
      <color rgb="FFFF0000"/>
      <name val="Calibri"/>
      <family val="2"/>
      <scheme val="minor"/>
    </font>
    <font>
      <b/>
      <sz val="11"/>
      <name val="Calibri"/>
      <family val="2"/>
      <scheme val="minor"/>
    </font>
    <font>
      <b/>
      <sz val="12"/>
      <color indexed="81"/>
      <name val="Tahoma"/>
      <family val="2"/>
    </font>
    <font>
      <sz val="12"/>
      <color indexed="81"/>
      <name val="Tahoma"/>
      <family val="2"/>
    </font>
    <font>
      <b/>
      <u/>
      <sz val="14"/>
      <color theme="1"/>
      <name val="Calibri"/>
      <family val="2"/>
      <scheme val="minor"/>
    </font>
    <font>
      <sz val="14"/>
      <name val="Calibri"/>
      <family val="2"/>
      <scheme val="minor"/>
    </font>
    <font>
      <sz val="22"/>
      <color theme="1"/>
      <name val="Calibri"/>
      <family val="2"/>
      <scheme val="minor"/>
    </font>
    <font>
      <b/>
      <u/>
      <sz val="11"/>
      <color theme="1"/>
      <name val="Calibri"/>
      <family val="2"/>
      <scheme val="minor"/>
    </font>
    <font>
      <b/>
      <u/>
      <sz val="16"/>
      <color theme="1"/>
      <name val="Calibri"/>
      <family val="2"/>
      <scheme val="minor"/>
    </font>
    <font>
      <u/>
      <sz val="14"/>
      <color theme="1"/>
      <name val="Calibri"/>
      <family val="2"/>
      <scheme val="minor"/>
    </font>
    <font>
      <b/>
      <u/>
      <sz val="18"/>
      <color theme="1"/>
      <name val="Calibri"/>
      <family val="2"/>
      <scheme val="minor"/>
    </font>
    <font>
      <u/>
      <sz val="12"/>
      <color theme="1"/>
      <name val="Calibri"/>
      <family val="2"/>
      <scheme val="minor"/>
    </font>
    <font>
      <b/>
      <i/>
      <sz val="9"/>
      <color theme="1"/>
      <name val="Arial"/>
      <family val="2"/>
    </font>
    <font>
      <b/>
      <vertAlign val="superscript"/>
      <sz val="14"/>
      <color theme="1"/>
      <name val="Arial"/>
      <family val="2"/>
    </font>
    <font>
      <b/>
      <sz val="20"/>
      <name val="Arial"/>
      <family val="2"/>
    </font>
    <font>
      <u/>
      <sz val="11"/>
      <name val="Calibri"/>
      <family val="2"/>
      <scheme val="minor"/>
    </font>
    <font>
      <b/>
      <sz val="16"/>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rgb="FF00B050"/>
        <bgColor indexed="64"/>
      </patternFill>
    </fill>
    <fill>
      <patternFill patternType="solid">
        <fgColor theme="1"/>
        <bgColor indexed="64"/>
      </patternFill>
    </fill>
  </fills>
  <borders count="16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medium">
        <color indexed="64"/>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medium">
        <color indexed="64"/>
      </bottom>
      <diagonal/>
    </border>
    <border>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indexed="64"/>
      </right>
      <top style="medium">
        <color theme="0"/>
      </top>
      <bottom style="medium">
        <color theme="0"/>
      </bottom>
      <diagonal/>
    </border>
    <border>
      <left/>
      <right style="thin">
        <color indexed="64"/>
      </right>
      <top/>
      <bottom style="medium">
        <color theme="0"/>
      </bottom>
      <diagonal/>
    </border>
    <border>
      <left/>
      <right style="thin">
        <color indexed="64"/>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bottom style="thin">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thin">
        <color auto="1"/>
      </left>
      <right style="thin">
        <color theme="0"/>
      </right>
      <top style="thin">
        <color auto="1"/>
      </top>
      <bottom style="thin">
        <color auto="1"/>
      </bottom>
      <diagonal/>
    </border>
    <border>
      <left style="thin">
        <color auto="1"/>
      </left>
      <right style="thin">
        <color theme="0"/>
      </right>
      <top style="thin">
        <color auto="1"/>
      </top>
      <bottom style="thin">
        <color theme="0"/>
      </bottom>
      <diagonal/>
    </border>
    <border>
      <left/>
      <right style="thin">
        <color indexed="64"/>
      </right>
      <top style="thin">
        <color indexed="64"/>
      </top>
      <bottom style="thin">
        <color theme="0"/>
      </bottom>
      <diagonal/>
    </border>
    <border>
      <left style="thin">
        <color theme="0"/>
      </left>
      <right style="medium">
        <color indexed="64"/>
      </right>
      <top style="thin">
        <color auto="1"/>
      </top>
      <bottom style="thin">
        <color auto="1"/>
      </bottom>
      <diagonal/>
    </border>
    <border>
      <left style="thin">
        <color theme="0"/>
      </left>
      <right style="medium">
        <color indexed="64"/>
      </right>
      <top style="thin">
        <color auto="1"/>
      </top>
      <bottom style="thin">
        <color theme="0"/>
      </bottom>
      <diagonal/>
    </border>
    <border>
      <left style="thin">
        <color theme="0"/>
      </left>
      <right style="medium">
        <color indexed="64"/>
      </right>
      <top/>
      <bottom style="thin">
        <color auto="1"/>
      </bottom>
      <diagonal/>
    </border>
    <border>
      <left style="thin">
        <color auto="1"/>
      </left>
      <right style="thin">
        <color theme="0"/>
      </right>
      <top/>
      <bottom style="thin">
        <color auto="1"/>
      </bottom>
      <diagonal/>
    </border>
    <border>
      <left/>
      <right style="thin">
        <color auto="1"/>
      </right>
      <top style="thin">
        <color theme="0"/>
      </top>
      <bottom style="medium">
        <color indexed="64"/>
      </bottom>
      <diagonal/>
    </border>
    <border>
      <left style="thin">
        <color auto="1"/>
      </left>
      <right style="thin">
        <color theme="0"/>
      </right>
      <top style="thin">
        <color theme="0"/>
      </top>
      <bottom style="medium">
        <color indexed="64"/>
      </bottom>
      <diagonal/>
    </border>
    <border>
      <left style="thin">
        <color indexed="64"/>
      </left>
      <right style="medium">
        <color indexed="64"/>
      </right>
      <top style="thin">
        <color theme="0"/>
      </top>
      <bottom style="medium">
        <color indexed="64"/>
      </bottom>
      <diagonal/>
    </border>
    <border>
      <left style="thin">
        <color indexed="64"/>
      </left>
      <right style="medium">
        <color indexed="64"/>
      </right>
      <top style="thin">
        <color indexed="64"/>
      </top>
      <bottom style="thin">
        <color theme="0"/>
      </bottom>
      <diagonal/>
    </border>
    <border>
      <left style="medium">
        <color indexed="64"/>
      </left>
      <right style="medium">
        <color indexed="64"/>
      </right>
      <top/>
      <bottom/>
      <diagonal/>
    </border>
    <border>
      <left style="medium">
        <color theme="0"/>
      </left>
      <right/>
      <top style="medium">
        <color theme="0"/>
      </top>
      <bottom style="medium">
        <color theme="0"/>
      </bottom>
      <diagonal/>
    </border>
    <border>
      <left style="medium">
        <color theme="0"/>
      </left>
      <right style="medium">
        <color indexed="64"/>
      </right>
      <top/>
      <bottom style="medium">
        <color theme="0"/>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right style="medium">
        <color theme="0"/>
      </right>
      <top style="medium">
        <color theme="0"/>
      </top>
      <bottom style="medium">
        <color indexed="64"/>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bottom style="medium">
        <color theme="0"/>
      </bottom>
      <diagonal/>
    </border>
    <border>
      <left style="thin">
        <color theme="0"/>
      </left>
      <right style="thin">
        <color theme="0"/>
      </right>
      <top style="thin">
        <color theme="0"/>
      </top>
      <bottom style="thick">
        <color indexed="64"/>
      </bottom>
      <diagonal/>
    </border>
    <border>
      <left style="thin">
        <color theme="0"/>
      </left>
      <right style="thin">
        <color theme="0"/>
      </right>
      <top style="thin">
        <color theme="0" tint="-0.249977111117893"/>
      </top>
      <bottom style="thin">
        <color theme="0"/>
      </bottom>
      <diagonal/>
    </border>
    <border>
      <left/>
      <right/>
      <top style="thin">
        <color theme="0"/>
      </top>
      <bottom/>
      <diagonal/>
    </border>
    <border>
      <left style="thin">
        <color theme="0"/>
      </left>
      <right/>
      <top/>
      <bottom style="thin">
        <color theme="0"/>
      </bottom>
      <diagonal/>
    </border>
    <border>
      <left style="thin">
        <color indexed="64"/>
      </left>
      <right/>
      <top/>
      <bottom style="thick">
        <color indexed="64"/>
      </bottom>
      <diagonal/>
    </border>
    <border>
      <left/>
      <right style="thick">
        <color indexed="64"/>
      </right>
      <top/>
      <bottom style="medium">
        <color indexed="64"/>
      </bottom>
      <diagonal/>
    </border>
    <border>
      <left/>
      <right style="thick">
        <color indexed="64"/>
      </right>
      <top style="medium">
        <color indexed="64"/>
      </top>
      <bottom/>
      <diagonal/>
    </border>
    <border>
      <left/>
      <right style="thick">
        <color indexed="64"/>
      </right>
      <top/>
      <bottom style="thin">
        <color indexed="64"/>
      </bottom>
      <diagonal/>
    </border>
    <border>
      <left/>
      <right style="thick">
        <color indexed="64"/>
      </right>
      <top style="thin">
        <color indexed="64"/>
      </top>
      <bottom/>
      <diagonal/>
    </border>
    <border>
      <left style="medium">
        <color theme="0"/>
      </left>
      <right style="medium">
        <color theme="0"/>
      </right>
      <top/>
      <bottom/>
      <diagonal/>
    </border>
    <border>
      <left style="medium">
        <color indexed="64"/>
      </left>
      <right style="thin">
        <color theme="0"/>
      </right>
      <top/>
      <bottom style="thin">
        <color theme="0"/>
      </bottom>
      <diagonal/>
    </border>
    <border>
      <left/>
      <right style="thin">
        <color theme="0"/>
      </right>
      <top style="thin">
        <color theme="0"/>
      </top>
      <bottom style="medium">
        <color indexed="64"/>
      </bottom>
      <diagonal/>
    </border>
    <border>
      <left style="thin">
        <color theme="0"/>
      </left>
      <right style="medium">
        <color indexed="64"/>
      </right>
      <top/>
      <bottom style="thin">
        <color theme="0"/>
      </bottom>
      <diagonal/>
    </border>
    <border>
      <left style="thin">
        <color theme="0"/>
      </left>
      <right/>
      <top/>
      <bottom/>
      <diagonal/>
    </border>
    <border>
      <left/>
      <right style="thin">
        <color theme="0"/>
      </right>
      <top/>
      <bottom/>
      <diagonal/>
    </border>
    <border>
      <left style="medium">
        <color theme="0"/>
      </left>
      <right style="medium">
        <color theme="0"/>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0"/>
      </top>
      <bottom style="medium">
        <color theme="0"/>
      </bottom>
      <diagonal/>
    </border>
    <border>
      <left style="medium">
        <color indexed="64"/>
      </left>
      <right style="thin">
        <color indexed="64"/>
      </right>
      <top/>
      <bottom style="medium">
        <color theme="0"/>
      </bottom>
      <diagonal/>
    </border>
    <border>
      <left/>
      <right/>
      <top style="medium">
        <color indexed="64"/>
      </top>
      <bottom style="thin">
        <color indexed="64"/>
      </bottom>
      <diagonal/>
    </border>
    <border>
      <left/>
      <right style="medium">
        <color theme="0"/>
      </right>
      <top style="medium">
        <color indexed="64"/>
      </top>
      <bottom style="thin">
        <color indexed="64"/>
      </bottom>
      <diagonal/>
    </border>
    <border>
      <left style="medium">
        <color indexed="64"/>
      </left>
      <right style="thin">
        <color indexed="64"/>
      </right>
      <top style="thin">
        <color indexed="64"/>
      </top>
      <bottom style="medium">
        <color theme="0"/>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theme="0"/>
      </top>
      <bottom style="thin">
        <color theme="0"/>
      </bottom>
      <diagonal/>
    </border>
    <border>
      <left style="medium">
        <color indexed="64"/>
      </left>
      <right style="thin">
        <color theme="0"/>
      </right>
      <top style="thin">
        <color theme="0"/>
      </top>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bottom style="thin">
        <color auto="1"/>
      </bottom>
      <diagonal/>
    </border>
    <border>
      <left style="thin">
        <color theme="0"/>
      </left>
      <right style="thin">
        <color auto="1"/>
      </right>
      <top/>
      <bottom style="thin">
        <color auto="1"/>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theme="0"/>
      </right>
      <top style="medium">
        <color indexed="64"/>
      </top>
      <bottom style="medium">
        <color indexed="64"/>
      </bottom>
      <diagonal/>
    </border>
    <border>
      <left/>
      <right/>
      <top style="thin">
        <color indexed="64"/>
      </top>
      <bottom style="thick">
        <color indexed="64"/>
      </bottom>
      <diagonal/>
    </border>
    <border>
      <left style="medium">
        <color indexed="64"/>
      </left>
      <right style="thin">
        <color indexed="64"/>
      </right>
      <top style="thin">
        <color indexed="64"/>
      </top>
      <bottom/>
      <diagonal/>
    </border>
    <border>
      <left style="medium">
        <color indexed="64"/>
      </left>
      <right style="medium">
        <color theme="0"/>
      </right>
      <top/>
      <bottom style="medium">
        <color theme="0"/>
      </bottom>
      <diagonal/>
    </border>
    <border>
      <left style="medium">
        <color theme="0"/>
      </left>
      <right/>
      <top/>
      <bottom style="medium">
        <color theme="0"/>
      </bottom>
      <diagonal/>
    </border>
    <border>
      <left/>
      <right/>
      <top/>
      <bottom style="medium">
        <color theme="0"/>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theme="0"/>
      </left>
      <right/>
      <top style="thin">
        <color theme="0"/>
      </top>
      <bottom/>
      <diagonal/>
    </border>
    <border>
      <left style="thin">
        <color theme="0"/>
      </left>
      <right style="thin">
        <color theme="0"/>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medium">
        <color theme="0"/>
      </left>
      <right/>
      <top style="medium">
        <color theme="0"/>
      </top>
      <bottom style="medium">
        <color indexed="64"/>
      </bottom>
      <diagonal/>
    </border>
    <border>
      <left style="medium">
        <color theme="0"/>
      </left>
      <right style="medium">
        <color theme="0"/>
      </right>
      <top style="medium">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theme="0"/>
      </bottom>
      <diagonal/>
    </border>
    <border>
      <left style="thin">
        <color indexed="64"/>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thin">
        <color indexed="64"/>
      </right>
      <top style="thin">
        <color indexed="64"/>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thin">
        <color indexed="64"/>
      </right>
      <top style="medium">
        <color theme="0"/>
      </top>
      <bottom style="medium">
        <color theme="0"/>
      </bottom>
      <diagonal/>
    </border>
    <border>
      <left style="thin">
        <color indexed="64"/>
      </left>
      <right style="thin">
        <color indexed="64"/>
      </right>
      <top/>
      <bottom/>
      <diagonal/>
    </border>
    <border>
      <left style="thin">
        <color indexed="64"/>
      </left>
      <right style="medium">
        <color theme="0"/>
      </right>
      <top/>
      <bottom style="medium">
        <color theme="0"/>
      </bottom>
      <diagonal/>
    </border>
    <border>
      <left style="medium">
        <color theme="0"/>
      </left>
      <right style="thin">
        <color indexed="64"/>
      </right>
      <top/>
      <bottom style="medium">
        <color theme="0"/>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thin">
        <color indexed="64"/>
      </right>
      <top style="thin">
        <color indexed="64"/>
      </top>
      <bottom style="thin">
        <color indexed="64"/>
      </bottom>
      <diagonal/>
    </border>
    <border>
      <left style="thin">
        <color indexed="64"/>
      </left>
      <right style="thin">
        <color indexed="64"/>
      </right>
      <top style="thin">
        <color indexed="64"/>
      </top>
      <bottom style="medium">
        <color theme="0"/>
      </bottom>
      <diagonal/>
    </border>
  </borders>
  <cellStyleXfs count="3">
    <xf numFmtId="0" fontId="0" fillId="0" borderId="0"/>
    <xf numFmtId="9" fontId="10" fillId="0" borderId="0" applyFont="0" applyFill="0" applyBorder="0" applyAlignment="0" applyProtection="0"/>
    <xf numFmtId="43" fontId="10" fillId="0" borderId="0" applyFont="0" applyFill="0" applyBorder="0" applyAlignment="0" applyProtection="0"/>
  </cellStyleXfs>
  <cellXfs count="963">
    <xf numFmtId="0" fontId="0" fillId="0" borderId="0" xfId="0"/>
    <xf numFmtId="0" fontId="0" fillId="0" borderId="1" xfId="0" applyBorder="1"/>
    <xf numFmtId="0" fontId="0" fillId="0" borderId="2" xfId="0" applyBorder="1"/>
    <xf numFmtId="0" fontId="0" fillId="0" borderId="4" xfId="0" applyBorder="1"/>
    <xf numFmtId="0" fontId="5" fillId="2" borderId="10" xfId="0" applyFont="1" applyFill="1" applyBorder="1"/>
    <xf numFmtId="0" fontId="5" fillId="2" borderId="0" xfId="0" applyFont="1" applyFill="1"/>
    <xf numFmtId="0" fontId="5" fillId="2" borderId="0" xfId="0" applyFont="1" applyFill="1" applyAlignment="1">
      <alignment horizontal="right"/>
    </xf>
    <xf numFmtId="0" fontId="5" fillId="2" borderId="0" xfId="0" applyFont="1" applyFill="1" applyAlignment="1">
      <alignment horizontal="left"/>
    </xf>
    <xf numFmtId="0" fontId="5" fillId="2" borderId="11" xfId="0" applyFont="1" applyFill="1" applyBorder="1"/>
    <xf numFmtId="0" fontId="5" fillId="2" borderId="0" xfId="0" applyFont="1" applyFill="1" applyAlignment="1">
      <alignment horizontal="center"/>
    </xf>
    <xf numFmtId="0" fontId="6" fillId="2" borderId="19" xfId="0" applyFont="1" applyFill="1" applyBorder="1" applyAlignment="1">
      <alignment horizontal="center" wrapText="1"/>
    </xf>
    <xf numFmtId="1" fontId="6" fillId="2" borderId="19" xfId="0" applyNumberFormat="1" applyFont="1" applyFill="1" applyBorder="1" applyAlignment="1">
      <alignment horizontal="left"/>
    </xf>
    <xf numFmtId="1" fontId="8" fillId="2" borderId="20" xfId="0" applyNumberFormat="1" applyFont="1" applyFill="1" applyBorder="1" applyAlignment="1">
      <alignment horizontal="left"/>
    </xf>
    <xf numFmtId="1" fontId="8" fillId="2" borderId="12" xfId="0" applyNumberFormat="1" applyFont="1" applyFill="1" applyBorder="1" applyAlignment="1">
      <alignment horizontal="left"/>
    </xf>
    <xf numFmtId="1" fontId="8" fillId="2" borderId="19" xfId="0" applyNumberFormat="1" applyFont="1" applyFill="1" applyBorder="1" applyAlignment="1">
      <alignment horizontal="left"/>
    </xf>
    <xf numFmtId="1" fontId="8" fillId="2" borderId="0" xfId="0" applyNumberFormat="1" applyFont="1" applyFill="1" applyAlignment="1">
      <alignment horizontal="left"/>
    </xf>
    <xf numFmtId="0" fontId="6" fillId="2" borderId="12" xfId="0" applyFont="1" applyFill="1" applyBorder="1" applyAlignment="1">
      <alignment horizontal="center"/>
    </xf>
    <xf numFmtId="0" fontId="6" fillId="2" borderId="20" xfId="0" applyFont="1" applyFill="1" applyBorder="1" applyAlignment="1">
      <alignment horizontal="center" wrapText="1"/>
    </xf>
    <xf numFmtId="0" fontId="6" fillId="2" borderId="21" xfId="0" applyFont="1" applyFill="1" applyBorder="1" applyAlignment="1">
      <alignment horizontal="center" wrapText="1"/>
    </xf>
    <xf numFmtId="1" fontId="8" fillId="2" borderId="21" xfId="0" applyNumberFormat="1" applyFont="1" applyFill="1" applyBorder="1" applyAlignment="1">
      <alignment horizontal="left"/>
    </xf>
    <xf numFmtId="2" fontId="5" fillId="2" borderId="19" xfId="0" applyNumberFormat="1" applyFont="1" applyFill="1" applyBorder="1" applyAlignment="1">
      <alignment horizontal="left"/>
    </xf>
    <xf numFmtId="2" fontId="9" fillId="2" borderId="20" xfId="0" applyNumberFormat="1" applyFont="1" applyFill="1" applyBorder="1" applyAlignment="1">
      <alignment horizontal="left"/>
    </xf>
    <xf numFmtId="2" fontId="9" fillId="2" borderId="12" xfId="0" applyNumberFormat="1" applyFont="1" applyFill="1" applyBorder="1" applyAlignment="1">
      <alignment horizontal="left"/>
    </xf>
    <xf numFmtId="164" fontId="9" fillId="2" borderId="12" xfId="0" applyNumberFormat="1" applyFont="1" applyFill="1" applyBorder="1" applyAlignment="1">
      <alignment horizontal="left"/>
    </xf>
    <xf numFmtId="164" fontId="9" fillId="2" borderId="0" xfId="0" applyNumberFormat="1" applyFont="1" applyFill="1" applyAlignment="1">
      <alignment horizontal="left"/>
    </xf>
    <xf numFmtId="0" fontId="5" fillId="3" borderId="12" xfId="0" applyFont="1" applyFill="1" applyBorder="1" applyAlignment="1">
      <alignment horizontal="center"/>
    </xf>
    <xf numFmtId="165" fontId="5" fillId="3" borderId="12" xfId="0" applyNumberFormat="1" applyFont="1" applyFill="1" applyBorder="1" applyAlignment="1">
      <alignment horizontal="center"/>
    </xf>
    <xf numFmtId="1" fontId="8" fillId="0" borderId="19" xfId="0" applyNumberFormat="1" applyFont="1" applyBorder="1" applyAlignment="1">
      <alignment horizontal="left"/>
    </xf>
    <xf numFmtId="1" fontId="8" fillId="0" borderId="20" xfId="0" applyNumberFormat="1" applyFont="1" applyBorder="1" applyAlignment="1">
      <alignment horizontal="left"/>
    </xf>
    <xf numFmtId="2" fontId="9" fillId="0" borderId="20" xfId="0" applyNumberFormat="1" applyFont="1" applyBorder="1" applyAlignment="1">
      <alignment horizontal="left"/>
    </xf>
    <xf numFmtId="2" fontId="9" fillId="0" borderId="12" xfId="0" applyNumberFormat="1" applyFont="1" applyBorder="1" applyAlignment="1">
      <alignment horizontal="left"/>
    </xf>
    <xf numFmtId="2" fontId="5" fillId="2" borderId="0" xfId="0" applyNumberFormat="1" applyFont="1" applyFill="1" applyAlignment="1">
      <alignment horizontal="left"/>
    </xf>
    <xf numFmtId="2" fontId="9" fillId="2" borderId="0" xfId="0" applyNumberFormat="1" applyFont="1" applyFill="1" applyAlignment="1">
      <alignment horizontal="left"/>
    </xf>
    <xf numFmtId="165" fontId="5" fillId="2" borderId="0" xfId="0" applyNumberFormat="1" applyFont="1" applyFill="1" applyAlignment="1">
      <alignment horizontal="center"/>
    </xf>
    <xf numFmtId="2" fontId="9" fillId="0" borderId="0" xfId="0" applyNumberFormat="1" applyFont="1" applyAlignment="1">
      <alignment horizontal="left"/>
    </xf>
    <xf numFmtId="0" fontId="5" fillId="2" borderId="22" xfId="0" applyFont="1" applyFill="1" applyBorder="1"/>
    <xf numFmtId="0" fontId="5" fillId="2" borderId="23" xfId="0" applyFont="1" applyFill="1" applyBorder="1"/>
    <xf numFmtId="0" fontId="5" fillId="2" borderId="23" xfId="0" applyFont="1" applyFill="1" applyBorder="1" applyAlignment="1">
      <alignment horizontal="right"/>
    </xf>
    <xf numFmtId="0" fontId="5" fillId="2" borderId="23" xfId="0" applyFont="1" applyFill="1" applyBorder="1" applyAlignment="1">
      <alignment horizontal="left"/>
    </xf>
    <xf numFmtId="0" fontId="5" fillId="2" borderId="24" xfId="0" applyFont="1" applyFill="1" applyBorder="1"/>
    <xf numFmtId="0" fontId="0" fillId="0" borderId="0" xfId="0" quotePrefix="1" applyAlignment="1">
      <alignment horizontal="right"/>
    </xf>
    <xf numFmtId="0" fontId="2" fillId="4" borderId="17" xfId="0" applyFont="1" applyFill="1" applyBorder="1"/>
    <xf numFmtId="0" fontId="0" fillId="4" borderId="17" xfId="0" applyFill="1" applyBorder="1"/>
    <xf numFmtId="0" fontId="0" fillId="7" borderId="17" xfId="0" applyFill="1" applyBorder="1"/>
    <xf numFmtId="0" fontId="3" fillId="2" borderId="3" xfId="0" applyFont="1" applyFill="1" applyBorder="1"/>
    <xf numFmtId="0" fontId="3" fillId="2" borderId="0" xfId="0" applyFont="1" applyFill="1"/>
    <xf numFmtId="0" fontId="1" fillId="2" borderId="3" xfId="0" applyFont="1" applyFill="1" applyBorder="1"/>
    <xf numFmtId="0" fontId="0" fillId="2" borderId="0" xfId="0" applyFill="1"/>
    <xf numFmtId="0" fontId="0" fillId="2" borderId="3" xfId="0" applyFill="1" applyBorder="1"/>
    <xf numFmtId="0" fontId="0" fillId="2" borderId="5" xfId="0" applyFill="1" applyBorder="1"/>
    <xf numFmtId="0" fontId="0" fillId="2" borderId="6" xfId="0" applyFill="1" applyBorder="1"/>
    <xf numFmtId="0" fontId="14" fillId="0" borderId="0" xfId="0" applyFont="1"/>
    <xf numFmtId="0" fontId="14" fillId="6" borderId="14" xfId="0" applyFont="1" applyFill="1" applyBorder="1" applyAlignment="1">
      <alignment horizontal="right"/>
    </xf>
    <xf numFmtId="0" fontId="14" fillId="6" borderId="14" xfId="0" applyFont="1" applyFill="1" applyBorder="1"/>
    <xf numFmtId="0" fontId="14" fillId="5" borderId="14" xfId="0" applyFont="1" applyFill="1" applyBorder="1"/>
    <xf numFmtId="0" fontId="14" fillId="6" borderId="0" xfId="0" applyFont="1" applyFill="1" applyAlignment="1">
      <alignment horizontal="right"/>
    </xf>
    <xf numFmtId="0" fontId="14" fillId="6" borderId="0" xfId="0" applyFont="1" applyFill="1"/>
    <xf numFmtId="0" fontId="14" fillId="5" borderId="0" xfId="0" applyFont="1" applyFill="1"/>
    <xf numFmtId="0" fontId="14" fillId="5" borderId="0" xfId="0" applyFont="1" applyFill="1" applyAlignment="1">
      <alignment horizontal="right"/>
    </xf>
    <xf numFmtId="0" fontId="0" fillId="4" borderId="2" xfId="0" applyFill="1" applyBorder="1"/>
    <xf numFmtId="0" fontId="0" fillId="7" borderId="2" xfId="0" applyFill="1" applyBorder="1"/>
    <xf numFmtId="0" fontId="0" fillId="7" borderId="27" xfId="0" applyFill="1" applyBorder="1"/>
    <xf numFmtId="0" fontId="14" fillId="5" borderId="13" xfId="0" applyFont="1" applyFill="1" applyBorder="1"/>
    <xf numFmtId="0" fontId="14" fillId="5" borderId="25" xfId="0" applyFont="1" applyFill="1" applyBorder="1"/>
    <xf numFmtId="0" fontId="0" fillId="0" borderId="29" xfId="0" applyBorder="1"/>
    <xf numFmtId="0" fontId="0" fillId="0" borderId="30" xfId="0" applyBorder="1"/>
    <xf numFmtId="0" fontId="0" fillId="0" borderId="28" xfId="0" applyBorder="1"/>
    <xf numFmtId="0" fontId="0" fillId="0" borderId="31" xfId="0" applyBorder="1"/>
    <xf numFmtId="0" fontId="0" fillId="0" borderId="32" xfId="0" applyBorder="1"/>
    <xf numFmtId="0" fontId="0" fillId="0" borderId="33" xfId="0" applyBorder="1"/>
    <xf numFmtId="0" fontId="0" fillId="0" borderId="47" xfId="0" applyBorder="1"/>
    <xf numFmtId="0" fontId="0" fillId="0" borderId="41" xfId="0" applyBorder="1"/>
    <xf numFmtId="0" fontId="0" fillId="0" borderId="48" xfId="0" applyBorder="1"/>
    <xf numFmtId="0" fontId="0" fillId="0" borderId="44" xfId="0" applyBorder="1"/>
    <xf numFmtId="0" fontId="15" fillId="0" borderId="0" xfId="0" applyFont="1"/>
    <xf numFmtId="0" fontId="0" fillId="0" borderId="53" xfId="0" applyBorder="1"/>
    <xf numFmtId="0" fontId="0" fillId="0" borderId="51" xfId="0" applyBorder="1"/>
    <xf numFmtId="0" fontId="0" fillId="0" borderId="52" xfId="0" applyBorder="1"/>
    <xf numFmtId="0" fontId="0" fillId="0" borderId="45" xfId="0" applyBorder="1"/>
    <xf numFmtId="0" fontId="0" fillId="0" borderId="50" xfId="0" applyBorder="1"/>
    <xf numFmtId="0" fontId="0" fillId="0" borderId="56" xfId="0" applyBorder="1"/>
    <xf numFmtId="0" fontId="0" fillId="0" borderId="57" xfId="0" applyBorder="1"/>
    <xf numFmtId="0" fontId="13" fillId="0" borderId="0" xfId="0" applyFont="1"/>
    <xf numFmtId="165" fontId="0" fillId="0" borderId="0" xfId="0" applyNumberFormat="1"/>
    <xf numFmtId="0" fontId="5" fillId="0" borderId="41" xfId="0" applyFont="1" applyBorder="1"/>
    <xf numFmtId="0" fontId="16" fillId="0" borderId="41" xfId="0" applyFont="1" applyBorder="1"/>
    <xf numFmtId="0" fontId="17" fillId="0" borderId="41" xfId="0" applyFont="1" applyBorder="1"/>
    <xf numFmtId="0" fontId="18" fillId="0" borderId="41" xfId="0" applyFont="1" applyBorder="1"/>
    <xf numFmtId="0" fontId="6" fillId="0" borderId="48" xfId="0" applyFont="1" applyBorder="1"/>
    <xf numFmtId="0" fontId="5" fillId="0" borderId="48" xfId="0" applyFont="1" applyBorder="1"/>
    <xf numFmtId="0" fontId="5" fillId="0" borderId="44" xfId="0" applyFont="1" applyBorder="1"/>
    <xf numFmtId="0" fontId="18" fillId="8" borderId="12" xfId="0" applyFont="1" applyFill="1" applyBorder="1" applyAlignment="1">
      <alignment horizontal="center" vertical="center" wrapText="1"/>
    </xf>
    <xf numFmtId="0" fontId="19" fillId="8" borderId="12" xfId="0" applyFont="1" applyFill="1" applyBorder="1" applyAlignment="1">
      <alignment horizontal="center" vertical="top" wrapText="1"/>
    </xf>
    <xf numFmtId="0" fontId="13" fillId="0" borderId="58" xfId="0" applyFont="1" applyBorder="1"/>
    <xf numFmtId="0" fontId="0" fillId="0" borderId="59" xfId="0" applyBorder="1"/>
    <xf numFmtId="0" fontId="0" fillId="0" borderId="60" xfId="0" applyBorder="1"/>
    <xf numFmtId="165" fontId="0" fillId="0" borderId="29" xfId="0" applyNumberFormat="1" applyBorder="1"/>
    <xf numFmtId="165" fontId="0" fillId="0" borderId="30" xfId="0" applyNumberFormat="1" applyBorder="1"/>
    <xf numFmtId="165" fontId="0" fillId="0" borderId="36" xfId="0" applyNumberFormat="1" applyBorder="1"/>
    <xf numFmtId="165" fontId="0" fillId="0" borderId="35" xfId="0" applyNumberFormat="1" applyBorder="1"/>
    <xf numFmtId="165" fontId="0" fillId="0" borderId="34" xfId="0" applyNumberFormat="1" applyBorder="1"/>
    <xf numFmtId="0" fontId="0" fillId="0" borderId="62" xfId="0" applyBorder="1"/>
    <xf numFmtId="0" fontId="0" fillId="0" borderId="63" xfId="0" applyBorder="1"/>
    <xf numFmtId="0" fontId="0" fillId="0" borderId="61" xfId="0" applyBorder="1"/>
    <xf numFmtId="0" fontId="0" fillId="0" borderId="18" xfId="0" applyBorder="1"/>
    <xf numFmtId="0" fontId="0" fillId="0" borderId="64" xfId="0" applyBorder="1"/>
    <xf numFmtId="0" fontId="0" fillId="0" borderId="65" xfId="0" applyBorder="1"/>
    <xf numFmtId="0" fontId="21" fillId="0" borderId="61" xfId="0" applyFont="1" applyBorder="1"/>
    <xf numFmtId="10" fontId="0" fillId="0" borderId="41" xfId="1" applyNumberFormat="1" applyFont="1" applyBorder="1"/>
    <xf numFmtId="0" fontId="12" fillId="0" borderId="41" xfId="0" applyFont="1" applyBorder="1"/>
    <xf numFmtId="0" fontId="20" fillId="0" borderId="47" xfId="0" applyFont="1" applyBorder="1"/>
    <xf numFmtId="0" fontId="22" fillId="0" borderId="47" xfId="0" applyFont="1" applyBorder="1"/>
    <xf numFmtId="0" fontId="0" fillId="0" borderId="12" xfId="0" applyBorder="1" applyAlignment="1">
      <alignment horizontal="right"/>
    </xf>
    <xf numFmtId="0" fontId="0" fillId="0" borderId="69" xfId="0" applyBorder="1" applyAlignment="1">
      <alignment horizontal="right"/>
    </xf>
    <xf numFmtId="0" fontId="0" fillId="0" borderId="54" xfId="0" applyBorder="1" applyAlignment="1">
      <alignment horizontal="right"/>
    </xf>
    <xf numFmtId="0" fontId="0" fillId="0" borderId="70" xfId="0" applyBorder="1" applyAlignment="1">
      <alignment horizontal="right"/>
    </xf>
    <xf numFmtId="0" fontId="0" fillId="0" borderId="20" xfId="0" applyBorder="1" applyAlignment="1">
      <alignment horizontal="right"/>
    </xf>
    <xf numFmtId="0" fontId="0" fillId="0" borderId="71" xfId="0" applyBorder="1" applyAlignment="1">
      <alignment horizontal="right"/>
    </xf>
    <xf numFmtId="0" fontId="0" fillId="0" borderId="72" xfId="0" applyBorder="1" applyAlignment="1">
      <alignment horizontal="right"/>
    </xf>
    <xf numFmtId="0" fontId="0" fillId="0" borderId="73" xfId="0" applyBorder="1" applyAlignment="1">
      <alignment horizontal="right"/>
    </xf>
    <xf numFmtId="0" fontId="0" fillId="0" borderId="74" xfId="0" applyBorder="1" applyAlignment="1">
      <alignment horizontal="right"/>
    </xf>
    <xf numFmtId="0" fontId="0" fillId="0" borderId="18" xfId="0" applyBorder="1" applyAlignment="1">
      <alignment horizontal="right"/>
    </xf>
    <xf numFmtId="0" fontId="0" fillId="0" borderId="39" xfId="0" applyBorder="1" applyAlignment="1">
      <alignment horizontal="right"/>
    </xf>
    <xf numFmtId="0" fontId="0" fillId="0" borderId="75" xfId="0" applyBorder="1" applyAlignment="1">
      <alignment horizontal="right"/>
    </xf>
    <xf numFmtId="0" fontId="0" fillId="0" borderId="52" xfId="0" applyBorder="1" applyAlignment="1">
      <alignment horizontal="right"/>
    </xf>
    <xf numFmtId="0" fontId="0" fillId="0" borderId="76" xfId="0" applyBorder="1" applyAlignment="1">
      <alignment horizontal="right"/>
    </xf>
    <xf numFmtId="0" fontId="0" fillId="0" borderId="55" xfId="0" applyBorder="1" applyAlignment="1">
      <alignment horizontal="right"/>
    </xf>
    <xf numFmtId="0" fontId="0" fillId="0" borderId="77" xfId="0" applyBorder="1" applyAlignment="1">
      <alignment horizontal="right"/>
    </xf>
    <xf numFmtId="0" fontId="0" fillId="0" borderId="78" xfId="0" applyBorder="1" applyAlignment="1">
      <alignment horizontal="right"/>
    </xf>
    <xf numFmtId="0" fontId="0" fillId="0" borderId="37" xfId="0" applyBorder="1" applyAlignment="1">
      <alignment horizontal="right"/>
    </xf>
    <xf numFmtId="0" fontId="0" fillId="0" borderId="38" xfId="0" applyBorder="1" applyAlignment="1">
      <alignment horizontal="right"/>
    </xf>
    <xf numFmtId="0" fontId="0" fillId="0" borderId="79" xfId="0" applyBorder="1" applyAlignment="1">
      <alignment horizontal="right"/>
    </xf>
    <xf numFmtId="2" fontId="12" fillId="0" borderId="41" xfId="0" applyNumberFormat="1" applyFont="1" applyBorder="1"/>
    <xf numFmtId="166" fontId="12" fillId="0" borderId="41" xfId="0" applyNumberFormat="1" applyFont="1" applyBorder="1"/>
    <xf numFmtId="166" fontId="12" fillId="0" borderId="41" xfId="2" applyNumberFormat="1" applyFont="1" applyBorder="1"/>
    <xf numFmtId="0" fontId="0" fillId="0" borderId="47" xfId="0" applyBorder="1" applyAlignment="1">
      <alignment horizontal="right"/>
    </xf>
    <xf numFmtId="10" fontId="0" fillId="0" borderId="48" xfId="1" applyNumberFormat="1" applyFont="1" applyBorder="1"/>
    <xf numFmtId="0" fontId="0" fillId="0" borderId="56" xfId="0" applyBorder="1" applyAlignment="1">
      <alignment horizontal="right"/>
    </xf>
    <xf numFmtId="165" fontId="14" fillId="0" borderId="46" xfId="0" applyNumberFormat="1" applyFont="1" applyBorder="1"/>
    <xf numFmtId="10" fontId="14" fillId="0" borderId="0" xfId="0" applyNumberFormat="1" applyFont="1"/>
    <xf numFmtId="168" fontId="0" fillId="0" borderId="0" xfId="0" applyNumberFormat="1"/>
    <xf numFmtId="167" fontId="14" fillId="0" borderId="46" xfId="0" applyNumberFormat="1" applyFont="1" applyBorder="1"/>
    <xf numFmtId="164" fontId="14" fillId="0" borderId="46" xfId="0" applyNumberFormat="1" applyFont="1" applyBorder="1"/>
    <xf numFmtId="168" fontId="14" fillId="0" borderId="46" xfId="0" applyNumberFormat="1" applyFont="1" applyBorder="1"/>
    <xf numFmtId="168" fontId="14" fillId="0" borderId="47" xfId="0" applyNumberFormat="1" applyFont="1" applyBorder="1"/>
    <xf numFmtId="0" fontId="0" fillId="0" borderId="0" xfId="0" applyAlignment="1">
      <alignment horizontal="left"/>
    </xf>
    <xf numFmtId="0" fontId="0" fillId="0" borderId="0" xfId="0" applyAlignment="1">
      <alignment horizontal="right"/>
    </xf>
    <xf numFmtId="164" fontId="20" fillId="0" borderId="44" xfId="0" applyNumberFormat="1" applyFont="1" applyBorder="1"/>
    <xf numFmtId="164" fontId="20" fillId="0" borderId="41" xfId="0" applyNumberFormat="1" applyFont="1" applyBorder="1"/>
    <xf numFmtId="0" fontId="0" fillId="0" borderId="36" xfId="0" applyBorder="1"/>
    <xf numFmtId="0" fontId="0" fillId="0" borderId="34" xfId="0" applyBorder="1"/>
    <xf numFmtId="0" fontId="0" fillId="0" borderId="35" xfId="0" applyBorder="1"/>
    <xf numFmtId="0" fontId="23" fillId="0" borderId="56" xfId="0" applyFont="1" applyBorder="1" applyAlignment="1">
      <alignment horizontal="right"/>
    </xf>
    <xf numFmtId="2" fontId="0" fillId="0" borderId="29" xfId="0" applyNumberFormat="1" applyBorder="1"/>
    <xf numFmtId="0" fontId="12" fillId="0" borderId="29" xfId="0" applyFont="1" applyBorder="1"/>
    <xf numFmtId="2" fontId="12" fillId="0" borderId="29" xfId="0" applyNumberFormat="1" applyFont="1" applyBorder="1"/>
    <xf numFmtId="2" fontId="12" fillId="0" borderId="29" xfId="2" applyNumberFormat="1" applyFont="1" applyBorder="1"/>
    <xf numFmtId="0" fontId="11" fillId="0" borderId="34" xfId="0" applyFont="1" applyBorder="1"/>
    <xf numFmtId="0" fontId="0" fillId="0" borderId="82" xfId="0" applyBorder="1"/>
    <xf numFmtId="0" fontId="15" fillId="0" borderId="83" xfId="0" applyFont="1" applyBorder="1"/>
    <xf numFmtId="0" fontId="0" fillId="0" borderId="84" xfId="0" applyBorder="1"/>
    <xf numFmtId="0" fontId="0" fillId="0" borderId="85" xfId="0" applyBorder="1"/>
    <xf numFmtId="0" fontId="11" fillId="0" borderId="36" xfId="0" applyFont="1" applyBorder="1"/>
    <xf numFmtId="0" fontId="0" fillId="0" borderId="86" xfId="0" applyBorder="1"/>
    <xf numFmtId="0" fontId="0" fillId="0" borderId="87" xfId="0" applyBorder="1"/>
    <xf numFmtId="0" fontId="25" fillId="0" borderId="41" xfId="0" applyFont="1" applyBorder="1"/>
    <xf numFmtId="0" fontId="26" fillId="0" borderId="41" xfId="0" applyFont="1" applyBorder="1"/>
    <xf numFmtId="0" fontId="16" fillId="0" borderId="44" xfId="0" applyFont="1" applyBorder="1"/>
    <xf numFmtId="0" fontId="5" fillId="0" borderId="89" xfId="0" applyFont="1" applyBorder="1"/>
    <xf numFmtId="0" fontId="27" fillId="0" borderId="41" xfId="0" applyFont="1" applyBorder="1"/>
    <xf numFmtId="1" fontId="14" fillId="5" borderId="0" xfId="0" applyNumberFormat="1" applyFont="1" applyFill="1"/>
    <xf numFmtId="0" fontId="28" fillId="0" borderId="90" xfId="0" applyFont="1" applyBorder="1"/>
    <xf numFmtId="0" fontId="5" fillId="0" borderId="90" xfId="0" applyFont="1" applyBorder="1"/>
    <xf numFmtId="0" fontId="27" fillId="0" borderId="90" xfId="0" applyFont="1" applyBorder="1" applyAlignment="1">
      <alignment horizontal="right"/>
    </xf>
    <xf numFmtId="1" fontId="14" fillId="5" borderId="0" xfId="0" applyNumberFormat="1" applyFont="1" applyFill="1" applyAlignment="1">
      <alignment horizontal="left"/>
    </xf>
    <xf numFmtId="2" fontId="0" fillId="0" borderId="0" xfId="0" applyNumberFormat="1"/>
    <xf numFmtId="0" fontId="0" fillId="0" borderId="88" xfId="0" applyBorder="1" applyAlignment="1">
      <alignment wrapText="1"/>
    </xf>
    <xf numFmtId="9" fontId="0" fillId="0" borderId="0" xfId="1" applyFont="1"/>
    <xf numFmtId="1" fontId="0" fillId="0" borderId="0" xfId="0" applyNumberFormat="1"/>
    <xf numFmtId="0" fontId="30" fillId="0" borderId="0" xfId="0" applyFont="1" applyAlignment="1">
      <alignment horizontal="center" vertical="center" readingOrder="1"/>
    </xf>
    <xf numFmtId="2" fontId="0" fillId="0" borderId="88" xfId="0" applyNumberFormat="1" applyBorder="1" applyAlignment="1">
      <alignment wrapText="1"/>
    </xf>
    <xf numFmtId="0" fontId="14" fillId="6" borderId="14" xfId="0" applyFont="1" applyFill="1" applyBorder="1" applyAlignment="1" applyProtection="1">
      <alignment horizontal="right"/>
      <protection locked="0"/>
    </xf>
    <xf numFmtId="0" fontId="14" fillId="6" borderId="0" xfId="0" applyFont="1" applyFill="1" applyAlignment="1" applyProtection="1">
      <alignment horizontal="right"/>
      <protection locked="0"/>
    </xf>
    <xf numFmtId="0" fontId="14" fillId="6" borderId="23" xfId="0" applyFont="1" applyFill="1" applyBorder="1"/>
    <xf numFmtId="0" fontId="14" fillId="5" borderId="93" xfId="0" applyFont="1" applyFill="1" applyBorder="1"/>
    <xf numFmtId="0" fontId="14" fillId="5" borderId="23" xfId="0" applyFont="1" applyFill="1" applyBorder="1"/>
    <xf numFmtId="0" fontId="14" fillId="5" borderId="11" xfId="0" applyFont="1" applyFill="1" applyBorder="1"/>
    <xf numFmtId="0" fontId="14" fillId="5" borderId="24" xfId="0" applyFont="1" applyFill="1" applyBorder="1"/>
    <xf numFmtId="0" fontId="0" fillId="2" borderId="11" xfId="0" applyFill="1" applyBorder="1"/>
    <xf numFmtId="0" fontId="0" fillId="2" borderId="94" xfId="0" applyFill="1" applyBorder="1"/>
    <xf numFmtId="0" fontId="0" fillId="7" borderId="95" xfId="0" applyFill="1" applyBorder="1"/>
    <xf numFmtId="0" fontId="0" fillId="7" borderId="96" xfId="0" applyFill="1" applyBorder="1"/>
    <xf numFmtId="0" fontId="14" fillId="5" borderId="97" xfId="0" applyFont="1" applyFill="1" applyBorder="1"/>
    <xf numFmtId="2" fontId="5" fillId="0" borderId="19" xfId="0" applyNumberFormat="1" applyFont="1" applyBorder="1" applyAlignment="1">
      <alignment horizontal="left"/>
    </xf>
    <xf numFmtId="164" fontId="9" fillId="0" borderId="12" xfId="0" applyNumberFormat="1" applyFont="1" applyBorder="1" applyAlignment="1">
      <alignment horizontal="left"/>
    </xf>
    <xf numFmtId="0" fontId="5" fillId="0" borderId="0" xfId="0" applyFont="1" applyAlignment="1">
      <alignment horizontal="right"/>
    </xf>
    <xf numFmtId="0" fontId="5" fillId="0" borderId="0" xfId="0" applyFont="1" applyAlignment="1">
      <alignment horizontal="left"/>
    </xf>
    <xf numFmtId="2" fontId="0" fillId="0" borderId="98" xfId="0" applyNumberFormat="1" applyBorder="1"/>
    <xf numFmtId="0" fontId="5" fillId="2" borderId="14" xfId="0" applyFont="1" applyFill="1" applyBorder="1"/>
    <xf numFmtId="0" fontId="5" fillId="2" borderId="17" xfId="0" applyFont="1" applyFill="1" applyBorder="1"/>
    <xf numFmtId="0" fontId="5" fillId="2" borderId="15" xfId="0" applyFont="1" applyFill="1" applyBorder="1"/>
    <xf numFmtId="0" fontId="5" fillId="2" borderId="18" xfId="0" applyFont="1" applyFill="1" applyBorder="1"/>
    <xf numFmtId="2" fontId="5" fillId="10" borderId="19" xfId="0" applyNumberFormat="1" applyFont="1" applyFill="1" applyBorder="1" applyAlignment="1">
      <alignment horizontal="left"/>
    </xf>
    <xf numFmtId="2" fontId="9" fillId="10" borderId="20" xfId="0" applyNumberFormat="1" applyFont="1" applyFill="1" applyBorder="1" applyAlignment="1">
      <alignment horizontal="left"/>
    </xf>
    <xf numFmtId="2" fontId="9" fillId="10" borderId="12" xfId="0" applyNumberFormat="1" applyFont="1" applyFill="1" applyBorder="1" applyAlignment="1">
      <alignment horizontal="left"/>
    </xf>
    <xf numFmtId="164" fontId="9" fillId="10" borderId="12" xfId="0" applyNumberFormat="1" applyFont="1" applyFill="1" applyBorder="1" applyAlignment="1">
      <alignment horizontal="left"/>
    </xf>
    <xf numFmtId="2" fontId="0" fillId="10" borderId="29" xfId="0" applyNumberFormat="1" applyFill="1" applyBorder="1"/>
    <xf numFmtId="0" fontId="6" fillId="2" borderId="17"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3" xfId="0" applyFont="1" applyFill="1" applyBorder="1" applyAlignment="1">
      <alignment horizontal="center" wrapText="1"/>
    </xf>
    <xf numFmtId="0" fontId="6" fillId="2" borderId="16" xfId="0" applyFont="1" applyFill="1" applyBorder="1" applyAlignment="1">
      <alignment horizontal="center" wrapText="1"/>
    </xf>
    <xf numFmtId="0" fontId="0" fillId="0" borderId="100" xfId="0" applyBorder="1"/>
    <xf numFmtId="0" fontId="6" fillId="2" borderId="14" xfId="0" applyFont="1" applyFill="1" applyBorder="1" applyAlignment="1">
      <alignment horizontal="center" wrapText="1"/>
    </xf>
    <xf numFmtId="0" fontId="6" fillId="2" borderId="0" xfId="0" applyFont="1" applyFill="1" applyAlignment="1">
      <alignment horizontal="center" wrapText="1"/>
    </xf>
    <xf numFmtId="0" fontId="6" fillId="2" borderId="17" xfId="0" applyFont="1" applyFill="1" applyBorder="1" applyAlignment="1">
      <alignment horizontal="center" wrapText="1"/>
    </xf>
    <xf numFmtId="0" fontId="6" fillId="2" borderId="18" xfId="0" applyFont="1" applyFill="1" applyBorder="1" applyAlignment="1">
      <alignment horizontal="center" wrapText="1"/>
    </xf>
    <xf numFmtId="0" fontId="6" fillId="2" borderId="19" xfId="0" applyFont="1" applyFill="1" applyBorder="1" applyAlignment="1">
      <alignment horizontal="left" wrapText="1"/>
    </xf>
    <xf numFmtId="0" fontId="6" fillId="2" borderId="21" xfId="0" applyFont="1" applyFill="1" applyBorder="1" applyAlignment="1">
      <alignment horizontal="left" wrapText="1"/>
    </xf>
    <xf numFmtId="0" fontId="0" fillId="0" borderId="104" xfId="0" applyBorder="1"/>
    <xf numFmtId="0" fontId="6" fillId="2" borderId="16" xfId="0" applyFont="1" applyFill="1" applyBorder="1" applyAlignment="1">
      <alignment horizontal="left" vertical="center" wrapText="1"/>
    </xf>
    <xf numFmtId="0" fontId="0" fillId="0" borderId="105" xfId="0" applyBorder="1"/>
    <xf numFmtId="1" fontId="0" fillId="0" borderId="106" xfId="0" applyNumberFormat="1" applyBorder="1"/>
    <xf numFmtId="0" fontId="0" fillId="0" borderId="109" xfId="0" applyBorder="1"/>
    <xf numFmtId="1" fontId="0" fillId="0" borderId="110" xfId="0" applyNumberFormat="1" applyBorder="1"/>
    <xf numFmtId="0" fontId="0" fillId="0" borderId="111" xfId="0" applyBorder="1"/>
    <xf numFmtId="1" fontId="0" fillId="0" borderId="105" xfId="0" applyNumberFormat="1" applyBorder="1"/>
    <xf numFmtId="1" fontId="0" fillId="0" borderId="112" xfId="0" applyNumberFormat="1" applyBorder="1"/>
    <xf numFmtId="1" fontId="0" fillId="0" borderId="107" xfId="0" applyNumberFormat="1" applyBorder="1"/>
    <xf numFmtId="0" fontId="20" fillId="0" borderId="45" xfId="0" applyFont="1" applyBorder="1"/>
    <xf numFmtId="0" fontId="22" fillId="0" borderId="45" xfId="0" applyFont="1" applyBorder="1"/>
    <xf numFmtId="0" fontId="0" fillId="0" borderId="45" xfId="0" applyBorder="1" applyAlignment="1">
      <alignment horizontal="right"/>
    </xf>
    <xf numFmtId="0" fontId="0" fillId="0" borderId="114" xfId="0" applyBorder="1" applyAlignment="1">
      <alignment horizontal="right"/>
    </xf>
    <xf numFmtId="0" fontId="23" fillId="0" borderId="114" xfId="0" applyFont="1" applyBorder="1" applyAlignment="1">
      <alignment horizontal="right"/>
    </xf>
    <xf numFmtId="0" fontId="0" fillId="0" borderId="114" xfId="0" applyBorder="1"/>
    <xf numFmtId="0" fontId="22" fillId="0" borderId="113" xfId="0" applyFont="1" applyBorder="1" applyAlignment="1">
      <alignment horizontal="left"/>
    </xf>
    <xf numFmtId="0" fontId="5" fillId="0" borderId="10" xfId="0" applyFont="1" applyBorder="1"/>
    <xf numFmtId="1" fontId="8" fillId="0" borderId="21" xfId="0" applyNumberFormat="1" applyFont="1" applyBorder="1" applyAlignment="1">
      <alignment horizontal="left"/>
    </xf>
    <xf numFmtId="165" fontId="0" fillId="11" borderId="34" xfId="0" applyNumberFormat="1" applyFill="1" applyBorder="1"/>
    <xf numFmtId="165" fontId="0" fillId="11" borderId="29" xfId="0" applyNumberFormat="1" applyFill="1" applyBorder="1"/>
    <xf numFmtId="2" fontId="5" fillId="11" borderId="19" xfId="0" applyNumberFormat="1" applyFont="1" applyFill="1" applyBorder="1" applyAlignment="1">
      <alignment horizontal="left"/>
    </xf>
    <xf numFmtId="2" fontId="9" fillId="11" borderId="20" xfId="0" applyNumberFormat="1" applyFont="1" applyFill="1" applyBorder="1" applyAlignment="1">
      <alignment horizontal="left"/>
    </xf>
    <xf numFmtId="2" fontId="9" fillId="11" borderId="12" xfId="0" applyNumberFormat="1" applyFont="1" applyFill="1" applyBorder="1" applyAlignment="1">
      <alignment horizontal="left"/>
    </xf>
    <xf numFmtId="164" fontId="9" fillId="11" borderId="12" xfId="0" applyNumberFormat="1" applyFont="1" applyFill="1" applyBorder="1" applyAlignment="1">
      <alignment horizontal="left"/>
    </xf>
    <xf numFmtId="0" fontId="5" fillId="11" borderId="12" xfId="0" applyFont="1" applyFill="1" applyBorder="1" applyAlignment="1">
      <alignment horizontal="center"/>
    </xf>
    <xf numFmtId="165" fontId="5" fillId="11" borderId="12" xfId="0" applyNumberFormat="1" applyFont="1" applyFill="1" applyBorder="1" applyAlignment="1">
      <alignment horizontal="center"/>
    </xf>
    <xf numFmtId="0" fontId="6" fillId="11" borderId="19" xfId="0" applyFont="1" applyFill="1" applyBorder="1" applyAlignment="1">
      <alignment horizontal="left" wrapText="1"/>
    </xf>
    <xf numFmtId="1" fontId="8" fillId="11" borderId="20" xfId="0" applyNumberFormat="1" applyFont="1" applyFill="1" applyBorder="1" applyAlignment="1">
      <alignment horizontal="left"/>
    </xf>
    <xf numFmtId="0" fontId="6" fillId="11" borderId="21" xfId="0" applyFont="1" applyFill="1" applyBorder="1" applyAlignment="1">
      <alignment horizontal="left" wrapText="1"/>
    </xf>
    <xf numFmtId="164" fontId="8" fillId="2" borderId="19" xfId="0" applyNumberFormat="1" applyFont="1" applyFill="1" applyBorder="1" applyAlignment="1">
      <alignment horizontal="left"/>
    </xf>
    <xf numFmtId="2" fontId="0" fillId="2" borderId="29" xfId="0" applyNumberFormat="1" applyFill="1" applyBorder="1"/>
    <xf numFmtId="0" fontId="0" fillId="2" borderId="80" xfId="0" applyFill="1" applyBorder="1" applyAlignment="1">
      <alignment horizontal="center" wrapText="1"/>
    </xf>
    <xf numFmtId="0" fontId="11" fillId="0" borderId="35" xfId="0" applyFont="1" applyBorder="1"/>
    <xf numFmtId="0" fontId="0" fillId="0" borderId="58" xfId="0" applyBorder="1"/>
    <xf numFmtId="0" fontId="11" fillId="0" borderId="68" xfId="0" applyFont="1" applyBorder="1"/>
    <xf numFmtId="0" fontId="11" fillId="0" borderId="59" xfId="0" applyFont="1" applyBorder="1"/>
    <xf numFmtId="2" fontId="0" fillId="0" borderId="34" xfId="0" applyNumberFormat="1" applyBorder="1"/>
    <xf numFmtId="168" fontId="14" fillId="2" borderId="47" xfId="0" applyNumberFormat="1" applyFont="1" applyFill="1" applyBorder="1"/>
    <xf numFmtId="0" fontId="0" fillId="2" borderId="51" xfId="0" applyFill="1" applyBorder="1"/>
    <xf numFmtId="165" fontId="0" fillId="10" borderId="34" xfId="0" applyNumberFormat="1" applyFill="1" applyBorder="1"/>
    <xf numFmtId="165" fontId="0" fillId="10" borderId="29" xfId="0" applyNumberFormat="1" applyFill="1" applyBorder="1"/>
    <xf numFmtId="0" fontId="0" fillId="10" borderId="29" xfId="0" applyFill="1" applyBorder="1"/>
    <xf numFmtId="165" fontId="0" fillId="10" borderId="36" xfId="0" applyNumberFormat="1" applyFill="1" applyBorder="1"/>
    <xf numFmtId="164" fontId="9" fillId="2" borderId="0" xfId="0" applyNumberFormat="1" applyFont="1" applyFill="1" applyAlignment="1">
      <alignment horizontal="right"/>
    </xf>
    <xf numFmtId="165" fontId="5" fillId="2" borderId="0" xfId="0" applyNumberFormat="1" applyFont="1" applyFill="1" applyAlignment="1">
      <alignment horizontal="right"/>
    </xf>
    <xf numFmtId="166" fontId="0" fillId="0" borderId="0" xfId="0" applyNumberFormat="1"/>
    <xf numFmtId="0" fontId="34" fillId="0" borderId="0" xfId="0" applyFont="1"/>
    <xf numFmtId="2" fontId="14" fillId="5" borderId="0" xfId="0" applyNumberFormat="1" applyFont="1" applyFill="1" applyAlignment="1">
      <alignment horizontal="right"/>
    </xf>
    <xf numFmtId="1" fontId="14" fillId="5" borderId="0" xfId="0" applyNumberFormat="1" applyFont="1" applyFill="1" applyAlignment="1">
      <alignment horizontal="right"/>
    </xf>
    <xf numFmtId="2" fontId="5" fillId="2" borderId="23" xfId="0" applyNumberFormat="1" applyFont="1" applyFill="1" applyBorder="1" applyAlignment="1">
      <alignment horizontal="left"/>
    </xf>
    <xf numFmtId="2" fontId="9" fillId="2" borderId="23" xfId="0" applyNumberFormat="1" applyFont="1" applyFill="1" applyBorder="1" applyAlignment="1">
      <alignment horizontal="left"/>
    </xf>
    <xf numFmtId="0" fontId="12" fillId="0" borderId="81" xfId="0" applyFont="1" applyBorder="1" applyAlignment="1">
      <alignment horizontal="right"/>
    </xf>
    <xf numFmtId="0" fontId="22" fillId="0" borderId="49" xfId="0" applyFont="1" applyBorder="1" applyAlignment="1">
      <alignment horizontal="left"/>
    </xf>
    <xf numFmtId="0" fontId="20" fillId="0" borderId="99" xfId="0" applyFont="1" applyBorder="1"/>
    <xf numFmtId="0" fontId="0" fillId="0" borderId="101" xfId="0" applyBorder="1"/>
    <xf numFmtId="0" fontId="13" fillId="0" borderId="83" xfId="0" applyFont="1" applyBorder="1"/>
    <xf numFmtId="0" fontId="0" fillId="0" borderId="115" xfId="0" applyBorder="1"/>
    <xf numFmtId="0" fontId="0" fillId="0" borderId="116" xfId="0" applyBorder="1"/>
    <xf numFmtId="0" fontId="14" fillId="0" borderId="0" xfId="0" applyFont="1" applyAlignment="1">
      <alignment horizontal="right"/>
    </xf>
    <xf numFmtId="0" fontId="0" fillId="2" borderId="4" xfId="0" applyFill="1" applyBorder="1"/>
    <xf numFmtId="0" fontId="0" fillId="2" borderId="117" xfId="0" applyFill="1" applyBorder="1"/>
    <xf numFmtId="0" fontId="12" fillId="2" borderId="3" xfId="0" applyFont="1" applyFill="1" applyBorder="1"/>
    <xf numFmtId="0" fontId="12" fillId="2" borderId="5" xfId="0" applyFont="1" applyFill="1" applyBorder="1"/>
    <xf numFmtId="0" fontId="12" fillId="2" borderId="0" xfId="0" applyFont="1" applyFill="1"/>
    <xf numFmtId="167" fontId="12" fillId="2" borderId="0" xfId="0" applyNumberFormat="1" applyFont="1" applyFill="1"/>
    <xf numFmtId="165" fontId="12" fillId="2" borderId="0" xfId="0" applyNumberFormat="1" applyFont="1" applyFill="1"/>
    <xf numFmtId="168" fontId="12" fillId="2" borderId="0" xfId="0" applyNumberFormat="1" applyFont="1" applyFill="1"/>
    <xf numFmtId="0" fontId="12" fillId="2" borderId="4" xfId="0" applyFont="1" applyFill="1" applyBorder="1" applyAlignment="1">
      <alignment horizontal="left"/>
    </xf>
    <xf numFmtId="0" fontId="20" fillId="2" borderId="0" xfId="0" applyFont="1" applyFill="1"/>
    <xf numFmtId="0" fontId="15" fillId="2" borderId="7" xfId="0" applyFont="1" applyFill="1" applyBorder="1"/>
    <xf numFmtId="0" fontId="0" fillId="2" borderId="8" xfId="0" applyFill="1" applyBorder="1"/>
    <xf numFmtId="0" fontId="0" fillId="2" borderId="9" xfId="0" applyFill="1" applyBorder="1"/>
    <xf numFmtId="0" fontId="12" fillId="2" borderId="4" xfId="0" applyFont="1" applyFill="1" applyBorder="1"/>
    <xf numFmtId="0" fontId="0" fillId="2" borderId="59" xfId="0" applyFill="1" applyBorder="1"/>
    <xf numFmtId="10" fontId="12" fillId="0" borderId="48" xfId="1" applyNumberFormat="1" applyFont="1" applyBorder="1"/>
    <xf numFmtId="0" fontId="14" fillId="0" borderId="41" xfId="0" applyFont="1" applyBorder="1"/>
    <xf numFmtId="0" fontId="14" fillId="0" borderId="48" xfId="0" applyFont="1" applyBorder="1"/>
    <xf numFmtId="0" fontId="0" fillId="2" borderId="40" xfId="0" applyFill="1" applyBorder="1" applyAlignment="1">
      <alignment horizontal="center" wrapText="1"/>
    </xf>
    <xf numFmtId="0" fontId="0" fillId="2" borderId="88" xfId="0" applyFill="1" applyBorder="1" applyAlignment="1">
      <alignment wrapText="1"/>
    </xf>
    <xf numFmtId="0" fontId="0" fillId="2" borderId="61" xfId="0" applyFill="1" applyBorder="1"/>
    <xf numFmtId="2" fontId="0" fillId="0" borderId="35" xfId="0" applyNumberFormat="1" applyBorder="1"/>
    <xf numFmtId="0" fontId="0" fillId="0" borderId="33" xfId="0" applyBorder="1" applyAlignment="1">
      <alignment horizontal="center"/>
    </xf>
    <xf numFmtId="0" fontId="0" fillId="0" borderId="82" xfId="0" applyBorder="1" applyAlignment="1">
      <alignment horizontal="center"/>
    </xf>
    <xf numFmtId="0" fontId="0" fillId="0" borderId="30" xfId="0" applyBorder="1" applyAlignment="1">
      <alignment horizontal="center"/>
    </xf>
    <xf numFmtId="0" fontId="0" fillId="2" borderId="29" xfId="0" applyFill="1" applyBorder="1"/>
    <xf numFmtId="0" fontId="12" fillId="2" borderId="36" xfId="0" applyFont="1" applyFill="1" applyBorder="1" applyAlignment="1">
      <alignment horizontal="right"/>
    </xf>
    <xf numFmtId="0" fontId="0" fillId="2" borderId="80" xfId="0" applyFill="1" applyBorder="1" applyAlignment="1">
      <alignment horizontal="right" wrapText="1"/>
    </xf>
    <xf numFmtId="2" fontId="0" fillId="11" borderId="29" xfId="0" applyNumberFormat="1" applyFill="1" applyBorder="1"/>
    <xf numFmtId="1" fontId="0" fillId="0" borderId="123" xfId="0" applyNumberFormat="1" applyBorder="1"/>
    <xf numFmtId="167" fontId="14" fillId="2" borderId="46" xfId="0" applyNumberFormat="1" applyFont="1" applyFill="1" applyBorder="1" applyAlignment="1">
      <alignment wrapText="1"/>
    </xf>
    <xf numFmtId="167" fontId="14" fillId="2" borderId="46" xfId="0" applyNumberFormat="1" applyFont="1" applyFill="1" applyBorder="1"/>
    <xf numFmtId="165" fontId="14" fillId="2" borderId="46" xfId="0" applyNumberFormat="1" applyFont="1" applyFill="1" applyBorder="1"/>
    <xf numFmtId="2" fontId="14" fillId="0" borderId="46" xfId="0" applyNumberFormat="1" applyFont="1" applyBorder="1"/>
    <xf numFmtId="2" fontId="14" fillId="2" borderId="46" xfId="0" applyNumberFormat="1" applyFont="1" applyFill="1" applyBorder="1"/>
    <xf numFmtId="0" fontId="12" fillId="0" borderId="0" xfId="0" applyFont="1"/>
    <xf numFmtId="0" fontId="14" fillId="2" borderId="0" xfId="0" applyFont="1" applyFill="1"/>
    <xf numFmtId="0" fontId="15" fillId="2" borderId="1" xfId="0" applyFont="1" applyFill="1" applyBorder="1" applyAlignment="1">
      <alignment horizontal="left"/>
    </xf>
    <xf numFmtId="0" fontId="0" fillId="2" borderId="2" xfId="0" applyFill="1" applyBorder="1"/>
    <xf numFmtId="0" fontId="12" fillId="2" borderId="2" xfId="0" applyFont="1" applyFill="1" applyBorder="1"/>
    <xf numFmtId="0" fontId="12" fillId="2" borderId="125" xfId="0" applyFont="1" applyFill="1" applyBorder="1"/>
    <xf numFmtId="0" fontId="12" fillId="2" borderId="4" xfId="0" applyFont="1" applyFill="1" applyBorder="1" applyAlignment="1">
      <alignment horizontal="center"/>
    </xf>
    <xf numFmtId="0" fontId="20" fillId="0" borderId="43" xfId="0" applyFont="1" applyBorder="1"/>
    <xf numFmtId="0" fontId="13" fillId="0" borderId="124" xfId="0" applyFont="1" applyBorder="1"/>
    <xf numFmtId="0" fontId="0" fillId="0" borderId="126" xfId="0" applyBorder="1"/>
    <xf numFmtId="2" fontId="0" fillId="2" borderId="88" xfId="0" applyNumberFormat="1" applyFill="1" applyBorder="1" applyAlignment="1">
      <alignment wrapText="1"/>
    </xf>
    <xf numFmtId="0" fontId="0" fillId="2" borderId="125" xfId="0" applyFill="1" applyBorder="1"/>
    <xf numFmtId="167" fontId="0" fillId="2" borderId="0" xfId="0" applyNumberFormat="1" applyFill="1"/>
    <xf numFmtId="165" fontId="0" fillId="2" borderId="0" xfId="0" applyNumberFormat="1" applyFill="1"/>
    <xf numFmtId="168" fontId="0" fillId="2" borderId="0" xfId="0" applyNumberFormat="1" applyFill="1"/>
    <xf numFmtId="0" fontId="5" fillId="0" borderId="23" xfId="0" applyFont="1" applyBorder="1" applyAlignment="1">
      <alignment horizontal="left"/>
    </xf>
    <xf numFmtId="0" fontId="5" fillId="0" borderId="23" xfId="0" applyFont="1" applyBorder="1" applyAlignment="1">
      <alignment horizontal="right"/>
    </xf>
    <xf numFmtId="0" fontId="14" fillId="2" borderId="3" xfId="0" applyFont="1" applyFill="1" applyBorder="1"/>
    <xf numFmtId="0" fontId="14" fillId="2" borderId="4" xfId="0" applyFont="1" applyFill="1" applyBorder="1"/>
    <xf numFmtId="167" fontId="14" fillId="2" borderId="0" xfId="0" applyNumberFormat="1" applyFont="1" applyFill="1"/>
    <xf numFmtId="165" fontId="14" fillId="2" borderId="0" xfId="0" applyNumberFormat="1" applyFont="1" applyFill="1"/>
    <xf numFmtId="168" fontId="14" fillId="2" borderId="0" xfId="0" applyNumberFormat="1" applyFont="1" applyFill="1"/>
    <xf numFmtId="0" fontId="14" fillId="2" borderId="4" xfId="0" applyFont="1" applyFill="1" applyBorder="1" applyAlignment="1">
      <alignment horizontal="left"/>
    </xf>
    <xf numFmtId="2" fontId="0" fillId="0" borderId="36" xfId="0" applyNumberFormat="1" applyBorder="1"/>
    <xf numFmtId="0" fontId="5" fillId="0" borderId="0" xfId="0" applyFont="1"/>
    <xf numFmtId="2" fontId="0" fillId="10" borderId="34" xfId="0" applyNumberFormat="1" applyFill="1" applyBorder="1"/>
    <xf numFmtId="2" fontId="0" fillId="10" borderId="36" xfId="0" applyNumberFormat="1" applyFill="1" applyBorder="1"/>
    <xf numFmtId="0" fontId="5" fillId="2" borderId="127" xfId="0" applyFont="1" applyFill="1" applyBorder="1" applyAlignment="1">
      <alignment horizontal="left"/>
    </xf>
    <xf numFmtId="0" fontId="0" fillId="2" borderId="4" xfId="0" applyFill="1" applyBorder="1" applyAlignment="1">
      <alignment horizontal="left"/>
    </xf>
    <xf numFmtId="2" fontId="0" fillId="11" borderId="35" xfId="0" applyNumberFormat="1" applyFill="1" applyBorder="1"/>
    <xf numFmtId="2" fontId="0" fillId="11" borderId="34" xfId="0" applyNumberFormat="1" applyFill="1" applyBorder="1"/>
    <xf numFmtId="0" fontId="0" fillId="2" borderId="111" xfId="0" applyFill="1" applyBorder="1"/>
    <xf numFmtId="0" fontId="0" fillId="2" borderId="108" xfId="0" applyFill="1" applyBorder="1"/>
    <xf numFmtId="0" fontId="0" fillId="2" borderId="109" xfId="0" applyFill="1" applyBorder="1"/>
    <xf numFmtId="1" fontId="0" fillId="2" borderId="108" xfId="0" applyNumberFormat="1" applyFill="1" applyBorder="1"/>
    <xf numFmtId="1" fontId="0" fillId="2" borderId="128" xfId="0" applyNumberFormat="1" applyFill="1" applyBorder="1"/>
    <xf numFmtId="166" fontId="12" fillId="2" borderId="0" xfId="0" applyNumberFormat="1" applyFont="1" applyFill="1"/>
    <xf numFmtId="0" fontId="5" fillId="2" borderId="127" xfId="0" applyFont="1" applyFill="1" applyBorder="1" applyAlignment="1">
      <alignment horizontal="right"/>
    </xf>
    <xf numFmtId="165" fontId="5" fillId="2" borderId="23" xfId="0" applyNumberFormat="1" applyFont="1" applyFill="1" applyBorder="1" applyAlignment="1">
      <alignment horizontal="center"/>
    </xf>
    <xf numFmtId="2" fontId="0" fillId="2" borderId="36" xfId="0" applyNumberFormat="1" applyFill="1" applyBorder="1"/>
    <xf numFmtId="2" fontId="0" fillId="2" borderId="35" xfId="0" applyNumberFormat="1" applyFill="1" applyBorder="1"/>
    <xf numFmtId="2" fontId="0" fillId="2" borderId="34" xfId="0" applyNumberFormat="1" applyFill="1" applyBorder="1"/>
    <xf numFmtId="0" fontId="12" fillId="0" borderId="34" xfId="0" applyFont="1" applyBorder="1"/>
    <xf numFmtId="2" fontId="12" fillId="0" borderId="34" xfId="0" applyNumberFormat="1" applyFont="1" applyBorder="1"/>
    <xf numFmtId="1" fontId="0" fillId="0" borderId="86" xfId="0" applyNumberFormat="1" applyBorder="1"/>
    <xf numFmtId="1" fontId="0" fillId="0" borderId="32" xfId="0" applyNumberFormat="1" applyBorder="1"/>
    <xf numFmtId="2" fontId="14" fillId="0" borderId="0" xfId="0" applyNumberFormat="1" applyFont="1"/>
    <xf numFmtId="0" fontId="5" fillId="2" borderId="127" xfId="0" applyFont="1" applyFill="1" applyBorder="1"/>
    <xf numFmtId="0" fontId="20" fillId="2" borderId="0" xfId="0" applyFont="1" applyFill="1" applyAlignment="1">
      <alignment horizontal="left"/>
    </xf>
    <xf numFmtId="0" fontId="22" fillId="2" borderId="47" xfId="0" applyFont="1" applyFill="1" applyBorder="1" applyAlignment="1">
      <alignment horizontal="left"/>
    </xf>
    <xf numFmtId="2" fontId="0" fillId="10" borderId="35" xfId="0" applyNumberFormat="1" applyFill="1" applyBorder="1"/>
    <xf numFmtId="2" fontId="12" fillId="2" borderId="0" xfId="0" applyNumberFormat="1" applyFont="1" applyFill="1"/>
    <xf numFmtId="0" fontId="13" fillId="2" borderId="1" xfId="0" applyFont="1" applyFill="1" applyBorder="1"/>
    <xf numFmtId="0" fontId="35" fillId="2" borderId="2" xfId="0" applyFont="1" applyFill="1" applyBorder="1"/>
    <xf numFmtId="0" fontId="0" fillId="2" borderId="2" xfId="0" applyFill="1" applyBorder="1" applyAlignment="1">
      <alignment horizontal="center"/>
    </xf>
    <xf numFmtId="0" fontId="0" fillId="2" borderId="0" xfId="0" applyFill="1" applyAlignment="1">
      <alignment horizontal="right"/>
    </xf>
    <xf numFmtId="0" fontId="0" fillId="2" borderId="0" xfId="0" quotePrefix="1" applyFill="1" applyAlignment="1">
      <alignment horizontal="right"/>
    </xf>
    <xf numFmtId="0" fontId="33" fillId="2" borderId="0" xfId="0" applyFont="1" applyFill="1" applyAlignment="1">
      <alignment horizontal="right"/>
    </xf>
    <xf numFmtId="0" fontId="0" fillId="2" borderId="6" xfId="0" quotePrefix="1" applyFill="1" applyBorder="1" applyAlignment="1">
      <alignment horizontal="right"/>
    </xf>
    <xf numFmtId="0" fontId="36" fillId="2" borderId="1" xfId="0" applyFont="1" applyFill="1" applyBorder="1"/>
    <xf numFmtId="2" fontId="5" fillId="12" borderId="19" xfId="0" applyNumberFormat="1" applyFont="1" applyFill="1" applyBorder="1" applyAlignment="1">
      <alignment horizontal="left"/>
    </xf>
    <xf numFmtId="2" fontId="9" fillId="12" borderId="20" xfId="0" applyNumberFormat="1" applyFont="1" applyFill="1" applyBorder="1" applyAlignment="1">
      <alignment horizontal="left"/>
    </xf>
    <xf numFmtId="2" fontId="9" fillId="12" borderId="12" xfId="0" applyNumberFormat="1" applyFont="1" applyFill="1" applyBorder="1" applyAlignment="1">
      <alignment horizontal="left"/>
    </xf>
    <xf numFmtId="164" fontId="9" fillId="12" borderId="12" xfId="0" applyNumberFormat="1" applyFont="1" applyFill="1" applyBorder="1" applyAlignment="1">
      <alignment horizontal="left"/>
    </xf>
    <xf numFmtId="2" fontId="6" fillId="12" borderId="19" xfId="0" applyNumberFormat="1" applyFont="1" applyFill="1" applyBorder="1" applyAlignment="1">
      <alignment horizontal="left"/>
    </xf>
    <xf numFmtId="2" fontId="8" fillId="12" borderId="20" xfId="0" applyNumberFormat="1" applyFont="1" applyFill="1" applyBorder="1" applyAlignment="1">
      <alignment horizontal="left"/>
    </xf>
    <xf numFmtId="164" fontId="14" fillId="5" borderId="0" xfId="0" applyNumberFormat="1" applyFont="1" applyFill="1" applyAlignment="1">
      <alignment horizontal="right"/>
    </xf>
    <xf numFmtId="0" fontId="37" fillId="0" borderId="0" xfId="0" applyFont="1" applyAlignment="1">
      <alignment vertical="center"/>
    </xf>
    <xf numFmtId="0" fontId="1" fillId="2" borderId="2" xfId="0" applyFont="1" applyFill="1" applyBorder="1" applyAlignment="1">
      <alignment horizontal="center"/>
    </xf>
    <xf numFmtId="0" fontId="14" fillId="2" borderId="3" xfId="0" applyFont="1" applyFill="1" applyBorder="1" applyAlignment="1">
      <alignment horizontal="right"/>
    </xf>
    <xf numFmtId="0" fontId="14" fillId="2" borderId="0" xfId="0" applyFont="1" applyFill="1" applyAlignment="1">
      <alignment horizontal="right"/>
    </xf>
    <xf numFmtId="0" fontId="14" fillId="2" borderId="4" xfId="0" applyFont="1" applyFill="1" applyBorder="1" applyAlignment="1">
      <alignment horizontal="right"/>
    </xf>
    <xf numFmtId="1" fontId="18" fillId="0" borderId="12" xfId="0" applyNumberFormat="1" applyFont="1" applyBorder="1" applyAlignment="1">
      <alignment horizontal="center" vertical="top" wrapText="1"/>
    </xf>
    <xf numFmtId="0" fontId="20" fillId="2" borderId="0" xfId="0" applyFont="1" applyFill="1" applyAlignment="1">
      <alignment horizontal="right"/>
    </xf>
    <xf numFmtId="0" fontId="14" fillId="2" borderId="2" xfId="0" applyFont="1" applyFill="1" applyBorder="1"/>
    <xf numFmtId="0" fontId="14" fillId="2" borderId="125" xfId="0" applyFont="1" applyFill="1" applyBorder="1"/>
    <xf numFmtId="167" fontId="14" fillId="2" borderId="4" xfId="0" applyNumberFormat="1" applyFont="1" applyFill="1" applyBorder="1"/>
    <xf numFmtId="165" fontId="14" fillId="2" borderId="4" xfId="0" applyNumberFormat="1" applyFont="1" applyFill="1" applyBorder="1"/>
    <xf numFmtId="0" fontId="13" fillId="0" borderId="129" xfId="0" applyFont="1" applyBorder="1"/>
    <xf numFmtId="0" fontId="15" fillId="2" borderId="118" xfId="0" applyFont="1" applyFill="1" applyBorder="1"/>
    <xf numFmtId="0" fontId="0" fillId="2" borderId="119" xfId="0" applyFill="1" applyBorder="1"/>
    <xf numFmtId="0" fontId="0" fillId="2" borderId="120" xfId="0" applyFill="1" applyBorder="1"/>
    <xf numFmtId="0" fontId="12" fillId="2" borderId="6" xfId="0" applyFont="1" applyFill="1" applyBorder="1"/>
    <xf numFmtId="0" fontId="0" fillId="2" borderId="75" xfId="0" applyFill="1" applyBorder="1"/>
    <xf numFmtId="0" fontId="0" fillId="2" borderId="121" xfId="0" applyFill="1" applyBorder="1"/>
    <xf numFmtId="0" fontId="0" fillId="2" borderId="122" xfId="0" applyFill="1" applyBorder="1"/>
    <xf numFmtId="2" fontId="12" fillId="0" borderId="29" xfId="2" applyNumberFormat="1" applyFont="1" applyBorder="1" applyProtection="1"/>
    <xf numFmtId="166" fontId="12" fillId="0" borderId="41" xfId="2" applyNumberFormat="1" applyFont="1" applyBorder="1" applyProtection="1"/>
    <xf numFmtId="10" fontId="0" fillId="0" borderId="41" xfId="1" applyNumberFormat="1" applyFont="1" applyBorder="1" applyProtection="1"/>
    <xf numFmtId="10" fontId="0" fillId="0" borderId="48" xfId="1" applyNumberFormat="1" applyFont="1" applyBorder="1" applyProtection="1"/>
    <xf numFmtId="0" fontId="20" fillId="2" borderId="1" xfId="0" applyFont="1" applyFill="1" applyBorder="1"/>
    <xf numFmtId="0" fontId="0" fillId="0" borderId="32" xfId="0" applyBorder="1" applyProtection="1">
      <protection locked="0"/>
    </xf>
    <xf numFmtId="0" fontId="0" fillId="0" borderId="61" xfId="0" applyBorder="1" applyProtection="1">
      <protection locked="0"/>
    </xf>
    <xf numFmtId="0" fontId="0" fillId="0" borderId="20" xfId="0" applyBorder="1" applyAlignment="1" applyProtection="1">
      <alignment horizontal="right"/>
      <protection locked="0"/>
    </xf>
    <xf numFmtId="0" fontId="0" fillId="0" borderId="12" xfId="0" applyBorder="1" applyAlignment="1" applyProtection="1">
      <alignment horizontal="right"/>
      <protection locked="0"/>
    </xf>
    <xf numFmtId="0" fontId="0" fillId="0" borderId="69" xfId="0" applyBorder="1" applyAlignment="1" applyProtection="1">
      <alignment horizontal="right"/>
      <protection locked="0"/>
    </xf>
    <xf numFmtId="0" fontId="0" fillId="0" borderId="58" xfId="0" applyBorder="1" applyProtection="1">
      <protection locked="0"/>
    </xf>
    <xf numFmtId="0" fontId="0" fillId="0" borderId="60" xfId="0" applyBorder="1" applyProtection="1">
      <protection locked="0"/>
    </xf>
    <xf numFmtId="0" fontId="11" fillId="0" borderId="68" xfId="0" applyFont="1" applyBorder="1" applyProtection="1">
      <protection locked="0"/>
    </xf>
    <xf numFmtId="0" fontId="0" fillId="0" borderId="31" xfId="0" applyBorder="1" applyProtection="1">
      <protection locked="0"/>
    </xf>
    <xf numFmtId="0" fontId="11" fillId="0" borderId="35" xfId="0" applyFont="1" applyBorder="1" applyProtection="1">
      <protection locked="0"/>
    </xf>
    <xf numFmtId="2" fontId="0" fillId="2" borderId="35" xfId="0" applyNumberFormat="1" applyFill="1" applyBorder="1" applyProtection="1">
      <protection locked="0"/>
    </xf>
    <xf numFmtId="2" fontId="0" fillId="2" borderId="34" xfId="0" applyNumberFormat="1" applyFill="1" applyBorder="1" applyProtection="1">
      <protection locked="0"/>
    </xf>
    <xf numFmtId="0" fontId="0" fillId="2" borderId="36" xfId="0" applyFill="1" applyBorder="1" applyProtection="1">
      <protection locked="0"/>
    </xf>
    <xf numFmtId="2" fontId="0" fillId="2" borderId="29" xfId="0" applyNumberFormat="1" applyFill="1" applyBorder="1" applyProtection="1">
      <protection locked="0"/>
    </xf>
    <xf numFmtId="0" fontId="0" fillId="2" borderId="2" xfId="0" applyFill="1" applyBorder="1" applyAlignment="1">
      <alignment horizontal="right"/>
    </xf>
    <xf numFmtId="0" fontId="39" fillId="0" borderId="0" xfId="0" applyFont="1"/>
    <xf numFmtId="0" fontId="18" fillId="0" borderId="47" xfId="0" applyFont="1" applyBorder="1"/>
    <xf numFmtId="0" fontId="42" fillId="0" borderId="0" xfId="0" applyFont="1" applyAlignment="1">
      <alignment horizontal="left"/>
    </xf>
    <xf numFmtId="0" fontId="24" fillId="0" borderId="102" xfId="0" applyFont="1" applyBorder="1"/>
    <xf numFmtId="0" fontId="24" fillId="0" borderId="0" xfId="0" applyFont="1"/>
    <xf numFmtId="0" fontId="24" fillId="0" borderId="103" xfId="0" applyFont="1" applyBorder="1"/>
    <xf numFmtId="0" fontId="14" fillId="2" borderId="4" xfId="0" applyFont="1" applyFill="1" applyBorder="1" applyAlignment="1">
      <alignment horizontal="center"/>
    </xf>
    <xf numFmtId="0" fontId="1" fillId="9" borderId="2" xfId="0" applyFont="1" applyFill="1" applyBorder="1" applyAlignment="1" applyProtection="1">
      <alignment horizontal="center"/>
      <protection locked="0"/>
    </xf>
    <xf numFmtId="0" fontId="14" fillId="9" borderId="4" xfId="0" applyFont="1" applyFill="1" applyBorder="1" applyAlignment="1">
      <alignment horizontal="center"/>
    </xf>
    <xf numFmtId="0" fontId="14" fillId="9" borderId="0" xfId="0" applyFont="1" applyFill="1" applyAlignment="1" applyProtection="1">
      <alignment horizontal="right"/>
      <protection locked="0"/>
    </xf>
    <xf numFmtId="0" fontId="14" fillId="9" borderId="4" xfId="0" applyFont="1" applyFill="1" applyBorder="1" applyAlignment="1" applyProtection="1">
      <alignment horizontal="center"/>
      <protection locked="0"/>
    </xf>
    <xf numFmtId="2" fontId="14" fillId="9" borderId="46" xfId="0" applyNumberFormat="1" applyFont="1" applyFill="1" applyBorder="1" applyProtection="1">
      <protection locked="0"/>
    </xf>
    <xf numFmtId="165" fontId="43" fillId="6" borderId="0" xfId="0" applyNumberFormat="1" applyFont="1" applyFill="1" applyAlignment="1" applyProtection="1">
      <alignment horizontal="right"/>
      <protection locked="0"/>
    </xf>
    <xf numFmtId="165" fontId="14" fillId="6" borderId="0" xfId="0" applyNumberFormat="1" applyFont="1" applyFill="1" applyAlignment="1" applyProtection="1">
      <alignment horizontal="right"/>
      <protection locked="0"/>
    </xf>
    <xf numFmtId="0" fontId="0" fillId="8" borderId="1" xfId="0" applyFill="1" applyBorder="1"/>
    <xf numFmtId="0" fontId="35" fillId="8" borderId="2" xfId="0" applyFont="1" applyFill="1" applyBorder="1"/>
    <xf numFmtId="0" fontId="0" fillId="8" borderId="2" xfId="0" applyFill="1" applyBorder="1"/>
    <xf numFmtId="0" fontId="0" fillId="8" borderId="125" xfId="0" applyFill="1" applyBorder="1"/>
    <xf numFmtId="0" fontId="0" fillId="8" borderId="3" xfId="0" applyFill="1" applyBorder="1"/>
    <xf numFmtId="0" fontId="0" fillId="8" borderId="0" xfId="0" applyFill="1"/>
    <xf numFmtId="0" fontId="0" fillId="8" borderId="4" xfId="0" applyFill="1" applyBorder="1"/>
    <xf numFmtId="0" fontId="0" fillId="8" borderId="5" xfId="0" applyFill="1" applyBorder="1"/>
    <xf numFmtId="0" fontId="0" fillId="8" borderId="6" xfId="0" applyFill="1" applyBorder="1"/>
    <xf numFmtId="0" fontId="0" fillId="8" borderId="117" xfId="0" applyFill="1" applyBorder="1"/>
    <xf numFmtId="0" fontId="44" fillId="8" borderId="0" xfId="0" applyFont="1" applyFill="1" applyAlignment="1">
      <alignment horizontal="center"/>
    </xf>
    <xf numFmtId="0" fontId="14" fillId="8" borderId="4" xfId="0" applyFont="1" applyFill="1" applyBorder="1" applyAlignment="1">
      <alignment horizontal="center"/>
    </xf>
    <xf numFmtId="0" fontId="39" fillId="8" borderId="1" xfId="0" applyFont="1" applyFill="1" applyBorder="1"/>
    <xf numFmtId="0" fontId="38" fillId="8" borderId="2" xfId="0" applyFont="1" applyFill="1" applyBorder="1"/>
    <xf numFmtId="0" fontId="39" fillId="8" borderId="125" xfId="0" applyFont="1" applyFill="1" applyBorder="1"/>
    <xf numFmtId="0" fontId="38" fillId="8" borderId="3" xfId="0" applyFont="1" applyFill="1" applyBorder="1"/>
    <xf numFmtId="0" fontId="38" fillId="8" borderId="0" xfId="0" applyFont="1" applyFill="1"/>
    <xf numFmtId="0" fontId="38" fillId="8" borderId="4" xfId="0" applyFont="1" applyFill="1" applyBorder="1"/>
    <xf numFmtId="0" fontId="38" fillId="8" borderId="5" xfId="0" applyFont="1" applyFill="1" applyBorder="1"/>
    <xf numFmtId="0" fontId="38" fillId="8" borderId="6" xfId="0" applyFont="1" applyFill="1" applyBorder="1"/>
    <xf numFmtId="0" fontId="38" fillId="8" borderId="117" xfId="0" applyFont="1" applyFill="1" applyBorder="1"/>
    <xf numFmtId="0" fontId="0" fillId="8" borderId="2" xfId="0" applyFill="1" applyBorder="1" applyAlignment="1">
      <alignment horizontal="right"/>
    </xf>
    <xf numFmtId="0" fontId="11" fillId="2" borderId="1" xfId="0" applyFont="1" applyFill="1" applyBorder="1"/>
    <xf numFmtId="0" fontId="45" fillId="2" borderId="2" xfId="0" applyFont="1" applyFill="1" applyBorder="1"/>
    <xf numFmtId="0" fontId="11" fillId="2" borderId="3" xfId="0" applyFont="1" applyFill="1" applyBorder="1"/>
    <xf numFmtId="0" fontId="46" fillId="2" borderId="1" xfId="0" applyFont="1" applyFill="1" applyBorder="1"/>
    <xf numFmtId="0" fontId="47" fillId="2" borderId="2" xfId="0" applyFont="1" applyFill="1" applyBorder="1"/>
    <xf numFmtId="0" fontId="46" fillId="2" borderId="3" xfId="0" applyFont="1" applyFill="1" applyBorder="1"/>
    <xf numFmtId="0" fontId="47" fillId="2" borderId="0" xfId="0" applyFont="1" applyFill="1"/>
    <xf numFmtId="0" fontId="0" fillId="2" borderId="26" xfId="0" applyFill="1" applyBorder="1"/>
    <xf numFmtId="0" fontId="0" fillId="2" borderId="17" xfId="0" applyFill="1" applyBorder="1"/>
    <xf numFmtId="0" fontId="0" fillId="2" borderId="132" xfId="0" applyFill="1" applyBorder="1"/>
    <xf numFmtId="0" fontId="0" fillId="2" borderId="18" xfId="0" applyFill="1" applyBorder="1"/>
    <xf numFmtId="0" fontId="48" fillId="2" borderId="1" xfId="0" applyFont="1" applyFill="1" applyBorder="1"/>
    <xf numFmtId="0" fontId="5" fillId="9" borderId="12" xfId="0" applyFont="1" applyFill="1" applyBorder="1" applyAlignment="1">
      <alignment horizontal="center"/>
    </xf>
    <xf numFmtId="165" fontId="5" fillId="9" borderId="12" xfId="0" applyNumberFormat="1" applyFont="1" applyFill="1" applyBorder="1" applyAlignment="1" applyProtection="1">
      <alignment horizontal="center"/>
      <protection locked="0"/>
    </xf>
    <xf numFmtId="164" fontId="12" fillId="0" borderId="29" xfId="0" applyNumberFormat="1" applyFont="1" applyBorder="1"/>
    <xf numFmtId="0" fontId="48" fillId="0" borderId="58" xfId="0" applyFont="1" applyBorder="1"/>
    <xf numFmtId="2" fontId="0" fillId="2" borderId="0" xfId="0" applyNumberFormat="1" applyFill="1"/>
    <xf numFmtId="2" fontId="12" fillId="2" borderId="6" xfId="0" applyNumberFormat="1" applyFont="1" applyFill="1" applyBorder="1"/>
    <xf numFmtId="0" fontId="0" fillId="2" borderId="1" xfId="0" applyFill="1" applyBorder="1"/>
    <xf numFmtId="0" fontId="15" fillId="2" borderId="3" xfId="0" applyFont="1" applyFill="1" applyBorder="1"/>
    <xf numFmtId="0" fontId="1" fillId="2" borderId="0" xfId="0" applyFont="1" applyFill="1"/>
    <xf numFmtId="0" fontId="0" fillId="2" borderId="3" xfId="0" applyFill="1" applyBorder="1" applyAlignment="1">
      <alignment horizontal="center" wrapText="1"/>
    </xf>
    <xf numFmtId="0" fontId="0" fillId="2" borderId="3" xfId="0" applyFill="1" applyBorder="1" applyAlignment="1">
      <alignment wrapText="1"/>
    </xf>
    <xf numFmtId="0" fontId="11" fillId="2" borderId="2" xfId="0" applyFont="1" applyFill="1" applyBorder="1"/>
    <xf numFmtId="0" fontId="0" fillId="2" borderId="0" xfId="0" applyFill="1" applyAlignment="1">
      <alignment horizontal="center"/>
    </xf>
    <xf numFmtId="0" fontId="11" fillId="2" borderId="0" xfId="0" applyFont="1" applyFill="1"/>
    <xf numFmtId="0" fontId="11" fillId="0" borderId="0" xfId="0" applyFont="1"/>
    <xf numFmtId="0" fontId="0" fillId="0" borderId="0" xfId="0" applyAlignment="1">
      <alignment horizontal="center"/>
    </xf>
    <xf numFmtId="0" fontId="0" fillId="0" borderId="0" xfId="0" applyAlignment="1">
      <alignment horizontal="center" wrapText="1"/>
    </xf>
    <xf numFmtId="0" fontId="0" fillId="0" borderId="0" xfId="0" applyAlignment="1">
      <alignment wrapText="1"/>
    </xf>
    <xf numFmtId="2" fontId="12" fillId="0" borderId="0" xfId="0" applyNumberFormat="1" applyFont="1"/>
    <xf numFmtId="164" fontId="12" fillId="0" borderId="0" xfId="0" applyNumberFormat="1" applyFont="1"/>
    <xf numFmtId="2" fontId="12" fillId="0" borderId="0" xfId="2" applyNumberFormat="1" applyFont="1" applyFill="1" applyBorder="1"/>
    <xf numFmtId="0" fontId="12" fillId="0" borderId="0" xfId="0" applyFont="1" applyAlignment="1">
      <alignment horizontal="right"/>
    </xf>
    <xf numFmtId="0" fontId="11" fillId="2" borderId="125" xfId="0" applyFont="1" applyFill="1" applyBorder="1"/>
    <xf numFmtId="0" fontId="11" fillId="2" borderId="6" xfId="0" applyFont="1" applyFill="1" applyBorder="1"/>
    <xf numFmtId="0" fontId="0" fillId="2" borderId="6" xfId="0" applyFill="1" applyBorder="1" applyAlignment="1">
      <alignment horizontal="center"/>
    </xf>
    <xf numFmtId="0" fontId="49" fillId="2" borderId="0" xfId="0" applyFont="1" applyFill="1"/>
    <xf numFmtId="0" fontId="35" fillId="2" borderId="0" xfId="0" applyFont="1" applyFill="1"/>
    <xf numFmtId="0" fontId="0" fillId="2" borderId="1" xfId="0" applyFill="1" applyBorder="1" applyAlignment="1">
      <alignment wrapText="1"/>
    </xf>
    <xf numFmtId="0" fontId="48" fillId="0" borderId="0" xfId="0" applyFont="1"/>
    <xf numFmtId="0" fontId="35" fillId="0" borderId="0" xfId="0" applyFont="1"/>
    <xf numFmtId="165" fontId="0" fillId="10" borderId="35" xfId="0" applyNumberFormat="1" applyFill="1" applyBorder="1"/>
    <xf numFmtId="0" fontId="5" fillId="0" borderId="46" xfId="0" applyFont="1" applyBorder="1"/>
    <xf numFmtId="0" fontId="28" fillId="0" borderId="48" xfId="0" applyFont="1" applyBorder="1" applyAlignment="1">
      <alignment horizontal="right"/>
    </xf>
    <xf numFmtId="2" fontId="14" fillId="2" borderId="0" xfId="0" applyNumberFormat="1" applyFont="1" applyFill="1"/>
    <xf numFmtId="0" fontId="21" fillId="0" borderId="0" xfId="0" applyFont="1"/>
    <xf numFmtId="0" fontId="0" fillId="2" borderId="4" xfId="0" applyFill="1" applyBorder="1" applyAlignment="1">
      <alignment horizontal="center"/>
    </xf>
    <xf numFmtId="0" fontId="0" fillId="2" borderId="1" xfId="0" applyFill="1" applyBorder="1" applyAlignment="1">
      <alignment horizontal="center"/>
    </xf>
    <xf numFmtId="0" fontId="0" fillId="2" borderId="125" xfId="0" applyFill="1" applyBorder="1" applyAlignment="1">
      <alignment horizontal="center"/>
    </xf>
    <xf numFmtId="0" fontId="0" fillId="2" borderId="3" xfId="0" applyFill="1" applyBorder="1" applyAlignment="1">
      <alignment horizontal="right"/>
    </xf>
    <xf numFmtId="164" fontId="0" fillId="2" borderId="0" xfId="0" applyNumberFormat="1" applyFill="1"/>
    <xf numFmtId="164" fontId="0" fillId="2" borderId="4" xfId="0" applyNumberFormat="1" applyFill="1" applyBorder="1"/>
    <xf numFmtId="0" fontId="0" fillId="8" borderId="6" xfId="0" applyFill="1" applyBorder="1" applyAlignment="1">
      <alignment horizontal="right"/>
    </xf>
    <xf numFmtId="2" fontId="14" fillId="2" borderId="0" xfId="0" applyNumberFormat="1" applyFont="1" applyFill="1" applyAlignment="1">
      <alignment horizontal="right"/>
    </xf>
    <xf numFmtId="0" fontId="5" fillId="0" borderId="47" xfId="0" applyFont="1" applyBorder="1"/>
    <xf numFmtId="0" fontId="25" fillId="0" borderId="44" xfId="0" applyFont="1" applyBorder="1"/>
    <xf numFmtId="0" fontId="18" fillId="0" borderId="133" xfId="0" applyFont="1" applyBorder="1" applyAlignment="1">
      <alignment horizontal="center" vertical="center" wrapText="1"/>
    </xf>
    <xf numFmtId="1" fontId="18" fillId="0" borderId="133" xfId="0" applyNumberFormat="1" applyFont="1" applyBorder="1" applyAlignment="1">
      <alignment horizontal="center" vertical="center"/>
    </xf>
    <xf numFmtId="169" fontId="18" fillId="0" borderId="39" xfId="0" applyNumberFormat="1" applyFont="1" applyBorder="1" applyAlignment="1">
      <alignment horizontal="center" vertical="center" wrapText="1"/>
    </xf>
    <xf numFmtId="2" fontId="14" fillId="5" borderId="25" xfId="0" applyNumberFormat="1" applyFont="1" applyFill="1" applyBorder="1"/>
    <xf numFmtId="1" fontId="14" fillId="5" borderId="25" xfId="0" applyNumberFormat="1" applyFont="1" applyFill="1" applyBorder="1"/>
    <xf numFmtId="164" fontId="14" fillId="5" borderId="25" xfId="0" applyNumberFormat="1" applyFont="1" applyFill="1" applyBorder="1"/>
    <xf numFmtId="0" fontId="18" fillId="0" borderId="133" xfId="0" applyFont="1" applyBorder="1" applyAlignment="1">
      <alignment horizontal="center" vertical="top" wrapText="1"/>
    </xf>
    <xf numFmtId="0" fontId="14" fillId="6" borderId="0" xfId="0" applyFont="1" applyFill="1" applyAlignment="1" applyProtection="1">
      <alignment horizontal="left"/>
      <protection locked="0"/>
    </xf>
    <xf numFmtId="0" fontId="18" fillId="0" borderId="41" xfId="0" applyFont="1" applyBorder="1" applyAlignment="1">
      <alignment horizontal="right"/>
    </xf>
    <xf numFmtId="0" fontId="0" fillId="6" borderId="0" xfId="0" applyFill="1"/>
    <xf numFmtId="0" fontId="14" fillId="6" borderId="23" xfId="0" applyFont="1" applyFill="1" applyBorder="1" applyAlignment="1">
      <alignment horizontal="right"/>
    </xf>
    <xf numFmtId="0" fontId="47" fillId="6" borderId="0" xfId="0" applyFont="1" applyFill="1" applyAlignment="1">
      <alignment horizontal="left"/>
    </xf>
    <xf numFmtId="0" fontId="14" fillId="6" borderId="23" xfId="0" applyFont="1" applyFill="1" applyBorder="1" applyProtection="1">
      <protection locked="0"/>
    </xf>
    <xf numFmtId="2" fontId="18" fillId="0" borderId="133" xfId="0" applyNumberFormat="1" applyFont="1" applyBorder="1" applyAlignment="1">
      <alignment horizontal="center" vertical="center" wrapText="1"/>
    </xf>
    <xf numFmtId="170" fontId="18" fillId="0" borderId="39" xfId="0" applyNumberFormat="1" applyFont="1" applyBorder="1" applyAlignment="1">
      <alignment horizontal="center" vertical="center" wrapText="1"/>
    </xf>
    <xf numFmtId="164" fontId="14" fillId="5" borderId="25" xfId="0" applyNumberFormat="1" applyFont="1" applyFill="1" applyBorder="1" applyAlignment="1">
      <alignment horizontal="right"/>
    </xf>
    <xf numFmtId="0" fontId="21" fillId="6" borderId="123" xfId="0" applyFont="1" applyFill="1" applyBorder="1"/>
    <xf numFmtId="0" fontId="0" fillId="6" borderId="135" xfId="0" applyFill="1" applyBorder="1" applyAlignment="1">
      <alignment horizontal="center"/>
    </xf>
    <xf numFmtId="0" fontId="0" fillId="6" borderId="134" xfId="0" applyFill="1" applyBorder="1" applyAlignment="1">
      <alignment horizontal="center"/>
    </xf>
    <xf numFmtId="0" fontId="12" fillId="6" borderId="5" xfId="0" applyFont="1" applyFill="1" applyBorder="1" applyAlignment="1" applyProtection="1">
      <alignment horizontal="right"/>
      <protection locked="0"/>
    </xf>
    <xf numFmtId="0" fontId="12" fillId="6" borderId="136" xfId="0" applyFont="1" applyFill="1" applyBorder="1" applyAlignment="1" applyProtection="1">
      <alignment horizontal="center"/>
      <protection locked="0"/>
    </xf>
    <xf numFmtId="1" fontId="12" fillId="6" borderId="117" xfId="0" applyNumberFormat="1" applyFont="1" applyFill="1" applyBorder="1" applyAlignment="1">
      <alignment horizontal="center"/>
    </xf>
    <xf numFmtId="1" fontId="0" fillId="8" borderId="2" xfId="0" applyNumberFormat="1" applyFill="1" applyBorder="1"/>
    <xf numFmtId="164" fontId="0" fillId="8" borderId="125" xfId="0" applyNumberFormat="1" applyFill="1" applyBorder="1"/>
    <xf numFmtId="0" fontId="0" fillId="2" borderId="6" xfId="0" applyFill="1" applyBorder="1" applyAlignment="1">
      <alignment horizontal="right"/>
    </xf>
    <xf numFmtId="0" fontId="50" fillId="0" borderId="41" xfId="0" applyFont="1" applyBorder="1"/>
    <xf numFmtId="1" fontId="14" fillId="6" borderId="0" xfId="0" applyNumberFormat="1" applyFont="1" applyFill="1" applyAlignment="1" applyProtection="1">
      <alignment horizontal="right"/>
      <protection locked="0"/>
    </xf>
    <xf numFmtId="0" fontId="18" fillId="8" borderId="19" xfId="0" applyFont="1" applyFill="1" applyBorder="1" applyAlignment="1">
      <alignment horizontal="center" vertical="center" wrapText="1"/>
    </xf>
    <xf numFmtId="1" fontId="18" fillId="0" borderId="13" xfId="0" applyNumberFormat="1" applyFont="1" applyBorder="1" applyAlignment="1">
      <alignment horizontal="center" vertical="center"/>
    </xf>
    <xf numFmtId="169" fontId="18" fillId="0" borderId="16" xfId="0" applyNumberFormat="1" applyFont="1" applyBorder="1" applyAlignment="1">
      <alignment horizontal="center" vertical="center" wrapText="1"/>
    </xf>
    <xf numFmtId="0" fontId="20" fillId="0" borderId="0" xfId="0" applyFont="1"/>
    <xf numFmtId="0" fontId="14" fillId="2" borderId="5" xfId="0" applyFont="1" applyFill="1" applyBorder="1"/>
    <xf numFmtId="0" fontId="14" fillId="2" borderId="6" xfId="0" applyFont="1" applyFill="1" applyBorder="1"/>
    <xf numFmtId="0" fontId="14" fillId="2" borderId="117" xfId="0" applyFont="1" applyFill="1" applyBorder="1"/>
    <xf numFmtId="1" fontId="14" fillId="5" borderId="23" xfId="0" applyNumberFormat="1" applyFont="1" applyFill="1" applyBorder="1"/>
    <xf numFmtId="1" fontId="14" fillId="5" borderId="93" xfId="0" applyNumberFormat="1" applyFont="1" applyFill="1" applyBorder="1"/>
    <xf numFmtId="1" fontId="8" fillId="2" borderId="12" xfId="0" applyNumberFormat="1" applyFont="1" applyFill="1" applyBorder="1" applyAlignment="1">
      <alignment horizontal="center" vertical="center"/>
    </xf>
    <xf numFmtId="1" fontId="8" fillId="2" borderId="20" xfId="0" applyNumberFormat="1" applyFont="1" applyFill="1" applyBorder="1" applyAlignment="1">
      <alignment horizontal="left" vertical="center"/>
    </xf>
    <xf numFmtId="1" fontId="8" fillId="2" borderId="0" xfId="0" applyNumberFormat="1" applyFont="1" applyFill="1" applyAlignment="1">
      <alignment horizontal="left" vertical="center"/>
    </xf>
    <xf numFmtId="2" fontId="9" fillId="2" borderId="12" xfId="0" applyNumberFormat="1" applyFont="1" applyFill="1" applyBorder="1" applyAlignment="1">
      <alignment horizontal="center" vertical="center"/>
    </xf>
    <xf numFmtId="0" fontId="0" fillId="2" borderId="0" xfId="0" applyFill="1" applyAlignment="1">
      <alignment horizontal="center" vertical="center"/>
    </xf>
    <xf numFmtId="165" fontId="0" fillId="2" borderId="12"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0" fillId="13" borderId="52" xfId="0" applyFill="1" applyBorder="1" applyAlignment="1">
      <alignment horizontal="center" vertical="center"/>
    </xf>
    <xf numFmtId="0" fontId="0" fillId="13" borderId="76" xfId="0" applyFill="1" applyBorder="1" applyAlignment="1">
      <alignment horizontal="center" vertical="center"/>
    </xf>
    <xf numFmtId="0" fontId="0" fillId="13" borderId="55" xfId="0" applyFill="1" applyBorder="1" applyAlignment="1">
      <alignment horizontal="center" vertical="center"/>
    </xf>
    <xf numFmtId="0" fontId="0" fillId="13" borderId="78" xfId="0" applyFill="1" applyBorder="1" applyAlignment="1">
      <alignment horizontal="center" vertical="center"/>
    </xf>
    <xf numFmtId="0" fontId="0" fillId="13" borderId="77" xfId="0" applyFill="1" applyBorder="1" applyAlignment="1">
      <alignment horizontal="center" vertical="center"/>
    </xf>
    <xf numFmtId="0" fontId="0" fillId="13" borderId="41" xfId="0" applyFill="1" applyBorder="1" applyAlignment="1">
      <alignment horizontal="center" vertical="center"/>
    </xf>
    <xf numFmtId="0" fontId="0" fillId="13" borderId="74" xfId="0" applyFill="1" applyBorder="1" applyAlignment="1">
      <alignment horizontal="center" vertical="center"/>
    </xf>
    <xf numFmtId="0" fontId="0" fillId="13" borderId="18" xfId="0" applyFill="1" applyBorder="1" applyAlignment="1">
      <alignment horizontal="center" vertical="center"/>
    </xf>
    <xf numFmtId="0" fontId="0" fillId="13" borderId="39" xfId="0" applyFill="1" applyBorder="1" applyAlignment="1">
      <alignment horizontal="center" vertical="center"/>
    </xf>
    <xf numFmtId="0" fontId="0" fillId="13" borderId="37" xfId="0" applyFill="1" applyBorder="1" applyAlignment="1">
      <alignment horizontal="center" vertical="center"/>
    </xf>
    <xf numFmtId="0" fontId="0" fillId="13" borderId="75" xfId="0" applyFill="1" applyBorder="1" applyAlignment="1">
      <alignment horizontal="center" vertical="center"/>
    </xf>
    <xf numFmtId="0" fontId="0" fillId="13" borderId="73" xfId="0" applyFill="1" applyBorder="1" applyAlignment="1">
      <alignment horizontal="center" vertical="center"/>
    </xf>
    <xf numFmtId="0" fontId="0" fillId="13" borderId="71" xfId="0" applyFill="1" applyBorder="1" applyAlignment="1">
      <alignment horizontal="center" vertical="center"/>
    </xf>
    <xf numFmtId="0" fontId="0" fillId="13" borderId="54" xfId="0" applyFill="1" applyBorder="1" applyAlignment="1">
      <alignment horizontal="center" vertical="center"/>
    </xf>
    <xf numFmtId="0" fontId="0" fillId="13" borderId="79" xfId="0" applyFill="1" applyBorder="1" applyAlignment="1">
      <alignment horizontal="center" vertical="center"/>
    </xf>
    <xf numFmtId="0" fontId="0" fillId="13" borderId="70" xfId="0" applyFill="1" applyBorder="1" applyAlignment="1">
      <alignment horizontal="center" vertical="center"/>
    </xf>
    <xf numFmtId="0" fontId="6" fillId="2" borderId="0" xfId="0" applyFont="1" applyFill="1" applyAlignment="1">
      <alignment vertical="center" wrapText="1"/>
    </xf>
    <xf numFmtId="0" fontId="14"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0" xfId="0" applyAlignment="1">
      <alignment horizontal="center" vertical="center"/>
    </xf>
    <xf numFmtId="0" fontId="1" fillId="2" borderId="2" xfId="0" applyFont="1" applyFill="1" applyBorder="1" applyAlignment="1">
      <alignment horizontal="center" vertical="center"/>
    </xf>
    <xf numFmtId="0" fontId="0" fillId="0" borderId="82"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2" borderId="12" xfId="0" applyFill="1" applyBorder="1" applyAlignment="1">
      <alignment horizontal="center" vertical="center"/>
    </xf>
    <xf numFmtId="165" fontId="0" fillId="2" borderId="12" xfId="0" applyNumberFormat="1" applyFill="1" applyBorder="1" applyAlignment="1">
      <alignment horizontal="center" vertical="center"/>
    </xf>
    <xf numFmtId="165" fontId="0" fillId="2" borderId="0" xfId="0" applyNumberFormat="1" applyFill="1" applyAlignment="1">
      <alignment horizontal="center" vertical="center"/>
    </xf>
    <xf numFmtId="0" fontId="0" fillId="2" borderId="0" xfId="0" applyFill="1" applyAlignment="1">
      <alignment vertical="center"/>
    </xf>
    <xf numFmtId="165" fontId="0" fillId="2" borderId="4" xfId="0" applyNumberFormat="1" applyFill="1" applyBorder="1" applyAlignment="1">
      <alignment horizontal="center" vertical="center"/>
    </xf>
    <xf numFmtId="0" fontId="0" fillId="2" borderId="6" xfId="0" applyFill="1" applyBorder="1" applyAlignment="1">
      <alignment horizontal="center" vertical="center"/>
    </xf>
    <xf numFmtId="0" fontId="0" fillId="2" borderId="117" xfId="0" applyFill="1" applyBorder="1" applyAlignment="1">
      <alignment horizontal="center" vertical="center"/>
    </xf>
    <xf numFmtId="165" fontId="11" fillId="14" borderId="12" xfId="0" applyNumberFormat="1" applyFont="1" applyFill="1" applyBorder="1" applyAlignment="1">
      <alignment horizontal="center" vertical="center"/>
    </xf>
    <xf numFmtId="0" fontId="11" fillId="14" borderId="12" xfId="0" applyFont="1" applyFill="1" applyBorder="1" applyAlignment="1">
      <alignment horizontal="center" vertical="center"/>
    </xf>
    <xf numFmtId="0" fontId="0" fillId="0" borderId="0" xfId="0" applyAlignment="1">
      <alignment vertical="center"/>
    </xf>
    <xf numFmtId="0" fontId="0" fillId="2" borderId="4" xfId="0" applyFill="1" applyBorder="1" applyAlignment="1">
      <alignment vertical="center"/>
    </xf>
    <xf numFmtId="165" fontId="0" fillId="2" borderId="38" xfId="0" applyNumberFormat="1" applyFill="1" applyBorder="1" applyAlignment="1">
      <alignment horizontal="center" vertical="center"/>
    </xf>
    <xf numFmtId="165" fontId="12" fillId="2" borderId="12" xfId="0" applyNumberFormat="1" applyFont="1" applyFill="1" applyBorder="1" applyAlignment="1">
      <alignment horizontal="center" vertical="center"/>
    </xf>
    <xf numFmtId="165" fontId="11" fillId="14" borderId="38" xfId="0" applyNumberFormat="1" applyFont="1" applyFill="1" applyBorder="1" applyAlignment="1">
      <alignment horizontal="center" vertical="center"/>
    </xf>
    <xf numFmtId="165" fontId="21" fillId="14" borderId="12" xfId="0" applyNumberFormat="1" applyFont="1" applyFill="1" applyBorder="1" applyAlignment="1">
      <alignment horizontal="center" vertical="center"/>
    </xf>
    <xf numFmtId="0" fontId="12" fillId="2" borderId="4" xfId="0" applyFont="1" applyFill="1" applyBorder="1" applyAlignment="1">
      <alignment horizontal="center" vertical="center"/>
    </xf>
    <xf numFmtId="165" fontId="21" fillId="14" borderId="38" xfId="0" applyNumberFormat="1" applyFont="1" applyFill="1" applyBorder="1" applyAlignment="1">
      <alignment horizontal="center" vertical="center"/>
    </xf>
    <xf numFmtId="2" fontId="0" fillId="0" borderId="0" xfId="0" applyNumberFormat="1" applyAlignment="1">
      <alignment horizontal="center" vertical="center"/>
    </xf>
    <xf numFmtId="165" fontId="0" fillId="0" borderId="0" xfId="0" applyNumberFormat="1" applyAlignment="1">
      <alignment horizontal="center" vertical="center"/>
    </xf>
    <xf numFmtId="1" fontId="12" fillId="2" borderId="12" xfId="0" applyNumberFormat="1" applyFont="1" applyFill="1" applyBorder="1" applyAlignment="1">
      <alignment horizontal="center" vertical="center"/>
    </xf>
    <xf numFmtId="1" fontId="8" fillId="2" borderId="16" xfId="0" applyNumberFormat="1" applyFont="1" applyFill="1" applyBorder="1" applyAlignment="1">
      <alignment horizontal="center" vertical="center"/>
    </xf>
    <xf numFmtId="1" fontId="8" fillId="2" borderId="19" xfId="0" applyNumberFormat="1" applyFont="1" applyFill="1" applyBorder="1" applyAlignment="1">
      <alignment horizontal="center" vertical="center"/>
    </xf>
    <xf numFmtId="2" fontId="5" fillId="2" borderId="0" xfId="0" applyNumberFormat="1" applyFont="1" applyFill="1" applyAlignment="1">
      <alignment horizontal="right" vertical="center"/>
    </xf>
    <xf numFmtId="2" fontId="5" fillId="2" borderId="25" xfId="0" applyNumberFormat="1" applyFont="1" applyFill="1" applyBorder="1" applyAlignment="1">
      <alignment horizontal="right" vertical="center"/>
    </xf>
    <xf numFmtId="2" fontId="9" fillId="2" borderId="26" xfId="0" applyNumberFormat="1" applyFont="1" applyFill="1" applyBorder="1" applyAlignment="1">
      <alignment horizontal="left" vertical="center"/>
    </xf>
    <xf numFmtId="2" fontId="5" fillId="2" borderId="16" xfId="0" applyNumberFormat="1" applyFont="1" applyFill="1" applyBorder="1" applyAlignment="1">
      <alignment horizontal="right" vertical="center"/>
    </xf>
    <xf numFmtId="2" fontId="9" fillId="2" borderId="18" xfId="0" applyNumberFormat="1" applyFont="1" applyFill="1" applyBorder="1" applyAlignment="1">
      <alignment horizontal="left" vertical="center"/>
    </xf>
    <xf numFmtId="0" fontId="11" fillId="2" borderId="19" xfId="0" applyFont="1" applyFill="1" applyBorder="1" applyAlignment="1">
      <alignment horizontal="right" vertical="center"/>
    </xf>
    <xf numFmtId="165" fontId="14" fillId="2" borderId="4" xfId="0" applyNumberFormat="1" applyFont="1" applyFill="1" applyBorder="1" applyAlignment="1">
      <alignment horizontal="center" vertical="center"/>
    </xf>
    <xf numFmtId="0" fontId="0" fillId="0" borderId="41" xfId="0" applyBorder="1" applyAlignment="1">
      <alignment horizontal="left" vertical="center"/>
    </xf>
    <xf numFmtId="0" fontId="15" fillId="2" borderId="1" xfId="0" applyFont="1" applyFill="1" applyBorder="1" applyAlignment="1">
      <alignment horizontal="left" vertical="center"/>
    </xf>
    <xf numFmtId="0" fontId="14" fillId="2" borderId="2" xfId="0" applyFont="1" applyFill="1" applyBorder="1" applyAlignment="1">
      <alignment vertical="center"/>
    </xf>
    <xf numFmtId="0" fontId="14" fillId="2" borderId="125" xfId="0" applyFont="1" applyFill="1" applyBorder="1" applyAlignment="1">
      <alignment vertical="center"/>
    </xf>
    <xf numFmtId="0" fontId="14" fillId="2" borderId="3" xfId="0" applyFont="1" applyFill="1" applyBorder="1" applyAlignment="1">
      <alignment horizontal="right" vertical="center"/>
    </xf>
    <xf numFmtId="0" fontId="14" fillId="2" borderId="0" xfId="0" applyFont="1" applyFill="1" applyAlignment="1">
      <alignment vertical="center"/>
    </xf>
    <xf numFmtId="0" fontId="14" fillId="2" borderId="4" xfId="0" applyFont="1" applyFill="1" applyBorder="1" applyAlignment="1">
      <alignment vertical="center"/>
    </xf>
    <xf numFmtId="0" fontId="20" fillId="2" borderId="1" xfId="0" applyFont="1" applyFill="1" applyBorder="1" applyAlignment="1">
      <alignment vertical="center"/>
    </xf>
    <xf numFmtId="0" fontId="0" fillId="2" borderId="2" xfId="0" applyFill="1" applyBorder="1" applyAlignment="1">
      <alignment vertical="center"/>
    </xf>
    <xf numFmtId="0" fontId="0" fillId="2" borderId="125" xfId="0" applyFill="1" applyBorder="1" applyAlignment="1">
      <alignment vertical="center"/>
    </xf>
    <xf numFmtId="0" fontId="20" fillId="2" borderId="0" xfId="0" applyFont="1" applyFill="1" applyAlignment="1">
      <alignment vertical="center"/>
    </xf>
    <xf numFmtId="0" fontId="14" fillId="2" borderId="3" xfId="0" applyFont="1" applyFill="1" applyBorder="1" applyAlignment="1">
      <alignment vertical="center"/>
    </xf>
    <xf numFmtId="0" fontId="0" fillId="2" borderId="3" xfId="0" applyFill="1" applyBorder="1" applyAlignment="1">
      <alignment vertical="center"/>
    </xf>
    <xf numFmtId="0" fontId="12" fillId="2" borderId="3" xfId="0" applyFont="1" applyFill="1" applyBorder="1" applyAlignment="1">
      <alignment vertical="center"/>
    </xf>
    <xf numFmtId="0" fontId="12" fillId="2" borderId="0" xfId="0" applyFont="1" applyFill="1" applyAlignment="1">
      <alignment vertical="center"/>
    </xf>
    <xf numFmtId="0" fontId="12" fillId="2" borderId="4" xfId="0" applyFont="1" applyFill="1" applyBorder="1" applyAlignment="1">
      <alignment vertical="center"/>
    </xf>
    <xf numFmtId="2" fontId="14" fillId="2" borderId="0" xfId="0" applyNumberFormat="1" applyFont="1" applyFill="1" applyAlignment="1">
      <alignment horizontal="right" vertical="center"/>
    </xf>
    <xf numFmtId="167" fontId="12" fillId="2" borderId="0" xfId="0" applyNumberFormat="1" applyFont="1" applyFill="1" applyAlignment="1">
      <alignment vertical="center"/>
    </xf>
    <xf numFmtId="0" fontId="12" fillId="2" borderId="4" xfId="0" applyFont="1" applyFill="1" applyBorder="1" applyAlignment="1">
      <alignment horizontal="left" vertical="center"/>
    </xf>
    <xf numFmtId="0" fontId="14" fillId="2" borderId="0" xfId="0" applyFont="1" applyFill="1" applyAlignment="1">
      <alignment horizontal="right" vertical="center"/>
    </xf>
    <xf numFmtId="165" fontId="12" fillId="2" borderId="0" xfId="0" applyNumberFormat="1" applyFont="1" applyFill="1" applyAlignment="1">
      <alignment vertical="center"/>
    </xf>
    <xf numFmtId="0" fontId="14" fillId="2" borderId="5" xfId="0" applyFont="1" applyFill="1" applyBorder="1" applyAlignment="1">
      <alignment vertical="center"/>
    </xf>
    <xf numFmtId="0" fontId="14" fillId="2" borderId="6" xfId="0" applyFont="1" applyFill="1" applyBorder="1" applyAlignment="1">
      <alignment vertical="center"/>
    </xf>
    <xf numFmtId="0" fontId="14" fillId="2" borderId="117" xfId="0" applyFont="1" applyFill="1" applyBorder="1" applyAlignment="1">
      <alignment vertical="center"/>
    </xf>
    <xf numFmtId="168" fontId="12" fillId="2" borderId="0" xfId="0" applyNumberFormat="1" applyFont="1" applyFill="1" applyAlignment="1">
      <alignment vertical="center"/>
    </xf>
    <xf numFmtId="0" fontId="0" fillId="2" borderId="1" xfId="0" applyFill="1" applyBorder="1" applyAlignment="1">
      <alignment vertical="center"/>
    </xf>
    <xf numFmtId="0" fontId="14" fillId="2" borderId="4" xfId="0" applyFont="1" applyFill="1" applyBorder="1" applyAlignment="1">
      <alignment horizontal="right" vertical="center"/>
    </xf>
    <xf numFmtId="2" fontId="12" fillId="2" borderId="0" xfId="0" applyNumberFormat="1" applyFont="1" applyFill="1" applyAlignment="1">
      <alignment vertical="center"/>
    </xf>
    <xf numFmtId="0" fontId="12" fillId="2" borderId="5" xfId="0" applyFont="1" applyFill="1" applyBorder="1" applyAlignment="1">
      <alignment vertical="center"/>
    </xf>
    <xf numFmtId="0" fontId="12" fillId="2" borderId="6" xfId="0" applyFont="1" applyFill="1" applyBorder="1" applyAlignment="1">
      <alignment vertical="center"/>
    </xf>
    <xf numFmtId="2" fontId="12" fillId="2" borderId="6" xfId="0" applyNumberFormat="1" applyFont="1" applyFill="1" applyBorder="1" applyAlignment="1">
      <alignment vertical="center"/>
    </xf>
    <xf numFmtId="0" fontId="0" fillId="2" borderId="6" xfId="0" applyFill="1" applyBorder="1" applyAlignment="1">
      <alignment vertical="center"/>
    </xf>
    <xf numFmtId="0" fontId="0" fillId="2" borderId="117" xfId="0" applyFill="1" applyBorder="1" applyAlignment="1">
      <alignmen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2" xfId="0" applyFont="1" applyFill="1" applyBorder="1" applyAlignment="1">
      <alignment horizontal="right" vertical="center"/>
    </xf>
    <xf numFmtId="0" fontId="5" fillId="2" borderId="2" xfId="0" applyFont="1" applyFill="1" applyBorder="1" applyAlignment="1">
      <alignment horizontal="left" vertical="center"/>
    </xf>
    <xf numFmtId="0" fontId="5" fillId="2" borderId="3" xfId="0" applyFont="1" applyFill="1" applyBorder="1" applyAlignment="1">
      <alignment vertical="center"/>
    </xf>
    <xf numFmtId="0" fontId="5" fillId="2" borderId="0" xfId="0" applyFont="1" applyFill="1" applyAlignment="1">
      <alignment vertical="center"/>
    </xf>
    <xf numFmtId="0" fontId="5" fillId="2" borderId="0" xfId="0" applyFont="1" applyFill="1" applyAlignment="1">
      <alignment horizontal="center" vertical="center"/>
    </xf>
    <xf numFmtId="0" fontId="5" fillId="2" borderId="4" xfId="0" applyFont="1" applyFill="1" applyBorder="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165" fontId="11" fillId="2" borderId="0" xfId="0" applyNumberFormat="1" applyFont="1" applyFill="1" applyAlignment="1">
      <alignment horizontal="center" vertical="center" wrapText="1"/>
    </xf>
    <xf numFmtId="165" fontId="0" fillId="2" borderId="0" xfId="0" applyNumberFormat="1" applyFill="1" applyAlignment="1">
      <alignment horizontal="center" vertical="center" wrapText="1"/>
    </xf>
    <xf numFmtId="165" fontId="9" fillId="2" borderId="0" xfId="0" applyNumberFormat="1" applyFont="1" applyFill="1" applyAlignment="1">
      <alignment horizontal="center" vertical="center"/>
    </xf>
    <xf numFmtId="164" fontId="9" fillId="2" borderId="0" xfId="0" applyNumberFormat="1" applyFont="1" applyFill="1" applyAlignment="1">
      <alignment horizontal="left" vertical="center"/>
    </xf>
    <xf numFmtId="0" fontId="5" fillId="2" borderId="0" xfId="0" applyFont="1" applyFill="1" applyAlignment="1">
      <alignment vertical="center" wrapText="1"/>
    </xf>
    <xf numFmtId="2" fontId="5" fillId="2" borderId="0" xfId="0" applyNumberFormat="1" applyFont="1" applyFill="1" applyAlignment="1">
      <alignment horizontal="left" vertical="center"/>
    </xf>
    <xf numFmtId="0" fontId="5" fillId="2" borderId="0" xfId="0" applyFont="1" applyFill="1" applyAlignment="1">
      <alignment horizontal="right" vertical="center"/>
    </xf>
    <xf numFmtId="0" fontId="5" fillId="2" borderId="0" xfId="0" applyFont="1" applyFill="1" applyAlignment="1">
      <alignment horizontal="left" vertical="center"/>
    </xf>
    <xf numFmtId="1" fontId="6" fillId="2" borderId="19" xfId="0" applyNumberFormat="1" applyFont="1" applyFill="1" applyBorder="1" applyAlignment="1">
      <alignment horizontal="center" vertical="center"/>
    </xf>
    <xf numFmtId="0" fontId="5" fillId="2" borderId="5" xfId="0" applyFont="1" applyFill="1" applyBorder="1" applyAlignment="1">
      <alignment vertical="center"/>
    </xf>
    <xf numFmtId="0" fontId="5" fillId="2" borderId="6" xfId="0" applyFont="1" applyFill="1" applyBorder="1" applyAlignment="1">
      <alignment vertical="center"/>
    </xf>
    <xf numFmtId="0" fontId="5" fillId="2" borderId="117" xfId="0" applyFont="1" applyFill="1" applyBorder="1" applyAlignment="1">
      <alignment vertical="center"/>
    </xf>
    <xf numFmtId="0" fontId="13" fillId="0" borderId="83" xfId="0" applyFont="1" applyBorder="1" applyAlignment="1">
      <alignment vertical="center"/>
    </xf>
    <xf numFmtId="0" fontId="0" fillId="0" borderId="115" xfId="0" applyBorder="1" applyAlignment="1">
      <alignment vertical="center"/>
    </xf>
    <xf numFmtId="0" fontId="0" fillId="0" borderId="116" xfId="0" applyBorder="1" applyAlignment="1">
      <alignment vertical="center"/>
    </xf>
    <xf numFmtId="0" fontId="15" fillId="0" borderId="83" xfId="0" applyFont="1" applyBorder="1" applyAlignment="1">
      <alignment vertical="center"/>
    </xf>
    <xf numFmtId="0" fontId="0" fillId="0" borderId="84" xfId="0" applyBorder="1" applyAlignment="1">
      <alignment vertical="center"/>
    </xf>
    <xf numFmtId="0" fontId="0" fillId="0" borderId="85" xfId="0" applyBorder="1" applyAlignment="1">
      <alignment vertical="center"/>
    </xf>
    <xf numFmtId="0" fontId="20" fillId="0" borderId="99" xfId="0" applyFont="1" applyBorder="1" applyAlignment="1">
      <alignment vertical="center"/>
    </xf>
    <xf numFmtId="164" fontId="20" fillId="0" borderId="44" xfId="0" applyNumberFormat="1" applyFont="1" applyBorder="1" applyAlignment="1">
      <alignment vertical="center"/>
    </xf>
    <xf numFmtId="0" fontId="0" fillId="0" borderId="44" xfId="0" applyBorder="1" applyAlignment="1">
      <alignment vertical="center"/>
    </xf>
    <xf numFmtId="0" fontId="0" fillId="0" borderId="101" xfId="0" applyBorder="1" applyAlignment="1">
      <alignment vertical="center"/>
    </xf>
    <xf numFmtId="0" fontId="20" fillId="0" borderId="45" xfId="0" applyFont="1" applyBorder="1" applyAlignment="1">
      <alignment vertical="center"/>
    </xf>
    <xf numFmtId="164" fontId="20" fillId="0" borderId="41" xfId="0" applyNumberFormat="1" applyFont="1" applyBorder="1" applyAlignment="1">
      <alignment vertical="center"/>
    </xf>
    <xf numFmtId="0" fontId="0" fillId="0" borderId="41" xfId="0" applyBorder="1" applyAlignment="1">
      <alignment vertical="center"/>
    </xf>
    <xf numFmtId="0" fontId="0" fillId="0" borderId="53" xfId="0" applyBorder="1" applyAlignment="1">
      <alignment vertical="center"/>
    </xf>
    <xf numFmtId="0" fontId="0" fillId="2" borderId="80" xfId="0" applyFill="1" applyBorder="1" applyAlignment="1">
      <alignment horizontal="center" vertical="center" wrapText="1"/>
    </xf>
    <xf numFmtId="0" fontId="22" fillId="0" borderId="113" xfId="0" applyFont="1" applyBorder="1" applyAlignment="1">
      <alignment horizontal="left" vertical="center"/>
    </xf>
    <xf numFmtId="0" fontId="0" fillId="0" borderId="45" xfId="0" applyBorder="1" applyAlignment="1">
      <alignment vertical="center"/>
    </xf>
    <xf numFmtId="0" fontId="48" fillId="0" borderId="0" xfId="0" applyFont="1" applyAlignment="1">
      <alignment vertical="center"/>
    </xf>
    <xf numFmtId="0" fontId="22" fillId="0" borderId="45" xfId="0" applyFont="1" applyBorder="1" applyAlignment="1">
      <alignment vertical="center"/>
    </xf>
    <xf numFmtId="0" fontId="12" fillId="0" borderId="41" xfId="0" applyFont="1" applyBorder="1" applyAlignment="1">
      <alignment vertical="center"/>
    </xf>
    <xf numFmtId="2" fontId="21" fillId="0" borderId="41" xfId="0" applyNumberFormat="1" applyFont="1" applyBorder="1" applyAlignment="1">
      <alignment vertical="center"/>
    </xf>
    <xf numFmtId="2" fontId="12" fillId="0" borderId="41" xfId="0" applyNumberFormat="1" applyFont="1" applyBorder="1" applyAlignment="1">
      <alignment vertical="center"/>
    </xf>
    <xf numFmtId="0" fontId="0" fillId="0" borderId="45" xfId="0" applyBorder="1" applyAlignment="1">
      <alignment horizontal="right" vertical="center"/>
    </xf>
    <xf numFmtId="165" fontId="14" fillId="0" borderId="46" xfId="0" applyNumberFormat="1" applyFont="1" applyBorder="1" applyAlignment="1">
      <alignment vertical="center"/>
    </xf>
    <xf numFmtId="168" fontId="14" fillId="2" borderId="47" xfId="0" applyNumberFormat="1" applyFont="1" applyFill="1" applyBorder="1" applyAlignment="1">
      <alignment vertical="center"/>
    </xf>
    <xf numFmtId="10" fontId="0" fillId="0" borderId="41" xfId="1" applyNumberFormat="1" applyFont="1" applyBorder="1" applyAlignment="1">
      <alignment vertical="center"/>
    </xf>
    <xf numFmtId="165" fontId="0" fillId="0" borderId="41" xfId="0" applyNumberFormat="1" applyBorder="1" applyAlignment="1">
      <alignment vertical="center"/>
    </xf>
    <xf numFmtId="0" fontId="0" fillId="0" borderId="114" xfId="0" applyBorder="1" applyAlignment="1">
      <alignment horizontal="right" vertical="center"/>
    </xf>
    <xf numFmtId="0" fontId="0" fillId="0" borderId="48" xfId="0" applyBorder="1" applyAlignment="1">
      <alignment vertical="center"/>
    </xf>
    <xf numFmtId="0" fontId="0" fillId="0" borderId="57" xfId="0" applyBorder="1" applyAlignment="1">
      <alignment vertical="center"/>
    </xf>
    <xf numFmtId="0" fontId="0" fillId="0" borderId="29" xfId="0" applyBorder="1" applyAlignment="1">
      <alignment vertical="center"/>
    </xf>
    <xf numFmtId="0" fontId="23" fillId="0" borderId="114" xfId="0" applyFont="1" applyBorder="1" applyAlignment="1">
      <alignment horizontal="right" vertical="center"/>
    </xf>
    <xf numFmtId="10" fontId="0" fillId="0" borderId="48" xfId="1" applyNumberFormat="1" applyFont="1" applyBorder="1" applyAlignment="1">
      <alignment vertical="center"/>
    </xf>
    <xf numFmtId="0" fontId="0" fillId="0" borderId="114" xfId="0" applyBorder="1" applyAlignment="1">
      <alignment vertical="center"/>
    </xf>
    <xf numFmtId="0" fontId="0" fillId="0" borderId="50" xfId="0" applyBorder="1" applyAlignment="1">
      <alignment vertical="center"/>
    </xf>
    <xf numFmtId="0" fontId="0" fillId="0" borderId="51" xfId="0" applyBorder="1" applyAlignment="1">
      <alignment vertical="center"/>
    </xf>
    <xf numFmtId="0" fontId="0" fillId="0" borderId="52" xfId="0" applyBorder="1" applyAlignment="1">
      <alignment vertical="center"/>
    </xf>
    <xf numFmtId="0" fontId="48" fillId="0" borderId="58" xfId="0" applyFont="1" applyBorder="1" applyAlignment="1">
      <alignment vertical="center"/>
    </xf>
    <xf numFmtId="0" fontId="35" fillId="2" borderId="2" xfId="0" applyFont="1" applyFill="1" applyBorder="1" applyAlignment="1">
      <alignment vertical="center"/>
    </xf>
    <xf numFmtId="0" fontId="0" fillId="2" borderId="1" xfId="0" applyFill="1" applyBorder="1" applyAlignment="1">
      <alignment vertical="center" wrapText="1"/>
    </xf>
    <xf numFmtId="0" fontId="11" fillId="2" borderId="2" xfId="0" applyFont="1" applyFill="1" applyBorder="1" applyAlignment="1">
      <alignment vertical="center"/>
    </xf>
    <xf numFmtId="0" fontId="11" fillId="2" borderId="125" xfId="0" applyFont="1" applyFill="1" applyBorder="1" applyAlignment="1">
      <alignment vertical="center"/>
    </xf>
    <xf numFmtId="0" fontId="11" fillId="0" borderId="0" xfId="0" applyFont="1" applyAlignment="1">
      <alignment vertical="center"/>
    </xf>
    <xf numFmtId="0" fontId="0" fillId="2" borderId="3" xfId="0" applyFill="1" applyBorder="1" applyAlignment="1">
      <alignment vertical="center" wrapText="1"/>
    </xf>
    <xf numFmtId="0" fontId="11" fillId="2" borderId="0" xfId="0" applyFont="1" applyFill="1" applyAlignment="1">
      <alignment vertical="center"/>
    </xf>
    <xf numFmtId="165" fontId="0" fillId="2" borderId="0" xfId="0" applyNumberFormat="1" applyFill="1" applyAlignment="1">
      <alignment vertical="center"/>
    </xf>
    <xf numFmtId="0" fontId="0" fillId="2" borderId="3" xfId="0" applyFill="1" applyBorder="1" applyAlignment="1">
      <alignment horizontal="center" vertical="center" wrapText="1"/>
    </xf>
    <xf numFmtId="2" fontId="0" fillId="2" borderId="0" xfId="0" applyNumberFormat="1" applyFill="1" applyAlignment="1">
      <alignment vertical="center"/>
    </xf>
    <xf numFmtId="0" fontId="12" fillId="0" borderId="0" xfId="0" applyFont="1" applyAlignment="1">
      <alignment vertical="center"/>
    </xf>
    <xf numFmtId="2" fontId="12" fillId="0" borderId="0" xfId="0" applyNumberFormat="1" applyFont="1" applyAlignment="1">
      <alignment vertical="center"/>
    </xf>
    <xf numFmtId="165" fontId="0" fillId="0" borderId="0" xfId="0" applyNumberFormat="1" applyAlignment="1">
      <alignment vertical="center"/>
    </xf>
    <xf numFmtId="0" fontId="49" fillId="2" borderId="0" xfId="0" applyFont="1" applyFill="1" applyAlignment="1">
      <alignment vertical="center"/>
    </xf>
    <xf numFmtId="2" fontId="0" fillId="0" borderId="29" xfId="0" applyNumberFormat="1" applyBorder="1" applyAlignment="1">
      <alignment vertical="center"/>
    </xf>
    <xf numFmtId="164" fontId="12" fillId="0" borderId="0" xfId="0" applyNumberFormat="1" applyFont="1" applyAlignment="1">
      <alignment vertical="center"/>
    </xf>
    <xf numFmtId="2" fontId="12" fillId="0" borderId="0" xfId="2" applyNumberFormat="1" applyFont="1" applyFill="1" applyBorder="1" applyAlignment="1">
      <alignment vertical="center"/>
    </xf>
    <xf numFmtId="0" fontId="35" fillId="2" borderId="0" xfId="0" applyFont="1" applyFill="1" applyAlignment="1">
      <alignment vertical="center"/>
    </xf>
    <xf numFmtId="0" fontId="12" fillId="0" borderId="0" xfId="0" applyFont="1" applyAlignment="1">
      <alignment horizontal="right" vertical="center"/>
    </xf>
    <xf numFmtId="0" fontId="0" fillId="2" borderId="5" xfId="0" applyFill="1" applyBorder="1" applyAlignment="1">
      <alignment vertical="center"/>
    </xf>
    <xf numFmtId="0" fontId="11" fillId="2" borderId="6" xfId="0" applyFont="1" applyFill="1" applyBorder="1" applyAlignment="1">
      <alignment vertical="center"/>
    </xf>
    <xf numFmtId="2" fontId="0" fillId="0" borderId="0" xfId="0" applyNumberFormat="1" applyAlignment="1">
      <alignment vertical="center"/>
    </xf>
    <xf numFmtId="0" fontId="15" fillId="0" borderId="0" xfId="0" applyFont="1" applyAlignment="1">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right" vertical="center"/>
    </xf>
    <xf numFmtId="0" fontId="0" fillId="0" borderId="0" xfId="0" applyAlignment="1">
      <alignment horizontal="left" vertical="center"/>
    </xf>
    <xf numFmtId="2" fontId="5" fillId="2" borderId="25" xfId="0" applyNumberFormat="1" applyFont="1" applyFill="1" applyBorder="1" applyAlignment="1">
      <alignment horizontal="center" vertical="center"/>
    </xf>
    <xf numFmtId="2" fontId="9" fillId="2" borderId="26" xfId="0" applyNumberFormat="1" applyFont="1" applyFill="1" applyBorder="1" applyAlignment="1">
      <alignment horizontal="center" vertical="center"/>
    </xf>
    <xf numFmtId="2" fontId="5" fillId="2" borderId="16" xfId="0" applyNumberFormat="1" applyFont="1" applyFill="1" applyBorder="1" applyAlignment="1">
      <alignment horizontal="center" vertical="center"/>
    </xf>
    <xf numFmtId="2" fontId="9" fillId="2" borderId="18" xfId="0" applyNumberFormat="1" applyFont="1" applyFill="1" applyBorder="1" applyAlignment="1">
      <alignment horizontal="center" vertical="center"/>
    </xf>
    <xf numFmtId="1" fontId="6" fillId="2" borderId="21" xfId="0" applyNumberFormat="1" applyFont="1" applyFill="1" applyBorder="1" applyAlignment="1">
      <alignment horizontal="center" vertical="center"/>
    </xf>
    <xf numFmtId="1" fontId="8" fillId="2" borderId="20" xfId="0" applyNumberFormat="1" applyFont="1" applyFill="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58" xfId="0" applyBorder="1" applyAlignment="1">
      <alignment horizontal="center" vertical="center"/>
    </xf>
    <xf numFmtId="0" fontId="0" fillId="0" borderId="60" xfId="0" applyBorder="1" applyAlignment="1">
      <alignment horizontal="center" vertical="center"/>
    </xf>
    <xf numFmtId="0" fontId="0" fillId="0" borderId="31" xfId="0"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0" fillId="0" borderId="61" xfId="0" applyBorder="1" applyAlignment="1">
      <alignment horizontal="center" vertical="center"/>
    </xf>
    <xf numFmtId="0" fontId="0" fillId="0" borderId="36" xfId="0" applyBorder="1" applyAlignment="1">
      <alignment horizontal="center" vertical="center"/>
    </xf>
    <xf numFmtId="0" fontId="0" fillId="0" borderId="28" xfId="0" applyBorder="1" applyAlignment="1">
      <alignment horizontal="center" vertical="center"/>
    </xf>
    <xf numFmtId="0" fontId="0" fillId="0" borderId="81" xfId="0" applyBorder="1" applyAlignment="1">
      <alignment horizontal="center" vertical="center"/>
    </xf>
    <xf numFmtId="0" fontId="0" fillId="0" borderId="87" xfId="0" applyBorder="1" applyAlignment="1">
      <alignment horizontal="center" vertical="center"/>
    </xf>
    <xf numFmtId="0" fontId="0" fillId="0" borderId="86" xfId="0" applyBorder="1" applyAlignment="1">
      <alignment horizontal="center" vertical="center"/>
    </xf>
    <xf numFmtId="0" fontId="0" fillId="0" borderId="144" xfId="0" applyBorder="1" applyAlignment="1">
      <alignment horizontal="center" vertical="center"/>
    </xf>
    <xf numFmtId="2" fontId="0" fillId="0" borderId="0" xfId="0" applyNumberFormat="1" applyAlignment="1">
      <alignment vertical="center" wrapText="1"/>
    </xf>
    <xf numFmtId="167" fontId="0" fillId="2" borderId="88" xfId="0" applyNumberFormat="1" applyFill="1" applyBorder="1" applyAlignment="1">
      <alignment horizontal="center" vertical="center" wrapText="1"/>
    </xf>
    <xf numFmtId="0" fontId="15" fillId="0" borderId="83" xfId="0" applyFont="1" applyBorder="1" applyAlignment="1">
      <alignment horizontal="left" vertical="center"/>
    </xf>
    <xf numFmtId="0" fontId="33" fillId="0" borderId="30" xfId="0" applyFont="1" applyBorder="1" applyAlignment="1">
      <alignment horizontal="center" vertical="center"/>
    </xf>
    <xf numFmtId="165" fontId="11" fillId="0" borderId="35" xfId="0" applyNumberFormat="1" applyFont="1" applyBorder="1" applyAlignment="1">
      <alignment horizontal="center" vertical="center"/>
    </xf>
    <xf numFmtId="165" fontId="11" fillId="0" borderId="36" xfId="0" applyNumberFormat="1" applyFont="1" applyBorder="1" applyAlignment="1">
      <alignment horizontal="center" vertical="center"/>
    </xf>
    <xf numFmtId="165" fontId="39" fillId="0" borderId="36" xfId="0" applyNumberFormat="1" applyFont="1" applyBorder="1" applyAlignment="1">
      <alignment horizontal="center" vertical="center"/>
    </xf>
    <xf numFmtId="165" fontId="11" fillId="0" borderId="58" xfId="0" applyNumberFormat="1" applyFont="1" applyBorder="1" applyAlignment="1">
      <alignment horizontal="center" vertical="center"/>
    </xf>
    <xf numFmtId="165" fontId="11" fillId="0" borderId="59" xfId="0" applyNumberFormat="1" applyFont="1" applyBorder="1" applyAlignment="1">
      <alignment horizontal="center" vertical="center"/>
    </xf>
    <xf numFmtId="0" fontId="33" fillId="0" borderId="84" xfId="0" applyFont="1" applyBorder="1" applyAlignment="1">
      <alignment horizontal="center" vertical="center"/>
    </xf>
    <xf numFmtId="0" fontId="33" fillId="0" borderId="85" xfId="0" applyFont="1" applyBorder="1" applyAlignment="1">
      <alignment horizontal="center" vertical="center"/>
    </xf>
    <xf numFmtId="0" fontId="0" fillId="14" borderId="12" xfId="0" applyFill="1" applyBorder="1" applyAlignment="1">
      <alignment horizontal="center" vertical="center"/>
    </xf>
    <xf numFmtId="2" fontId="9" fillId="2" borderId="0" xfId="0" applyNumberFormat="1" applyFont="1" applyFill="1" applyAlignment="1">
      <alignment horizontal="center" vertical="center"/>
    </xf>
    <xf numFmtId="2" fontId="9" fillId="2" borderId="25" xfId="0" applyNumberFormat="1" applyFont="1" applyFill="1" applyBorder="1" applyAlignment="1">
      <alignment horizontal="center" vertical="center"/>
    </xf>
    <xf numFmtId="2" fontId="9" fillId="2" borderId="17" xfId="0" applyNumberFormat="1" applyFont="1" applyFill="1" applyBorder="1" applyAlignment="1">
      <alignment horizontal="center" vertical="center"/>
    </xf>
    <xf numFmtId="2" fontId="9" fillId="2" borderId="16" xfId="0" applyNumberFormat="1" applyFont="1" applyFill="1" applyBorder="1" applyAlignment="1">
      <alignment horizontal="center" vertical="center"/>
    </xf>
    <xf numFmtId="2" fontId="9" fillId="2" borderId="25" xfId="0" applyNumberFormat="1" applyFont="1" applyFill="1" applyBorder="1" applyAlignment="1">
      <alignment horizontal="right" vertical="center"/>
    </xf>
    <xf numFmtId="165" fontId="33" fillId="2" borderId="0" xfId="0" applyNumberFormat="1" applyFont="1" applyFill="1" applyAlignment="1">
      <alignment horizontal="center" vertical="center" wrapText="1"/>
    </xf>
    <xf numFmtId="2" fontId="9" fillId="2" borderId="16" xfId="0" applyNumberFormat="1" applyFont="1" applyFill="1" applyBorder="1" applyAlignment="1">
      <alignment horizontal="right" vertical="center"/>
    </xf>
    <xf numFmtId="0" fontId="0" fillId="2" borderId="0" xfId="0" applyFill="1" applyAlignment="1">
      <alignment horizontal="left" vertical="top"/>
    </xf>
    <xf numFmtId="49" fontId="0" fillId="2" borderId="0" xfId="0" applyNumberFormat="1" applyFill="1" applyAlignment="1">
      <alignment vertical="top"/>
    </xf>
    <xf numFmtId="0" fontId="0" fillId="2" borderId="0" xfId="0" applyFill="1" applyAlignment="1">
      <alignment vertical="top"/>
    </xf>
    <xf numFmtId="164" fontId="0" fillId="0" borderId="0" xfId="0" applyNumberFormat="1" applyAlignment="1">
      <alignment horizontal="right"/>
    </xf>
    <xf numFmtId="14" fontId="0" fillId="0" borderId="0" xfId="0" applyNumberFormat="1" applyAlignment="1">
      <alignment horizontal="right"/>
    </xf>
    <xf numFmtId="172" fontId="0" fillId="0" borderId="0" xfId="0" applyNumberFormat="1" applyAlignment="1">
      <alignment horizontal="right"/>
    </xf>
    <xf numFmtId="0" fontId="11" fillId="14" borderId="20" xfId="0" applyFont="1" applyFill="1" applyBorder="1" applyAlignment="1">
      <alignment horizontal="center" vertical="center"/>
    </xf>
    <xf numFmtId="165" fontId="5" fillId="2" borderId="0" xfId="0" applyNumberFormat="1" applyFont="1" applyFill="1" applyAlignment="1">
      <alignment horizontal="center" vertical="center"/>
    </xf>
    <xf numFmtId="165" fontId="5" fillId="2" borderId="17" xfId="0" applyNumberFormat="1" applyFont="1" applyFill="1" applyBorder="1" applyAlignment="1">
      <alignment horizontal="center" vertical="center"/>
    </xf>
    <xf numFmtId="165" fontId="6" fillId="2" borderId="39" xfId="0" applyNumberFormat="1" applyFont="1" applyFill="1" applyBorder="1" applyAlignment="1">
      <alignment horizontal="center" vertical="center" wrapText="1"/>
    </xf>
    <xf numFmtId="0" fontId="0" fillId="2" borderId="41" xfId="0" applyFill="1" applyBorder="1" applyAlignment="1">
      <alignment horizontal="center" vertical="center"/>
    </xf>
    <xf numFmtId="0" fontId="0" fillId="2" borderId="41" xfId="0" applyFill="1" applyBorder="1" applyAlignment="1">
      <alignment vertical="center"/>
    </xf>
    <xf numFmtId="0" fontId="0" fillId="2" borderId="53" xfId="0" applyFill="1" applyBorder="1" applyAlignment="1">
      <alignment vertical="center"/>
    </xf>
    <xf numFmtId="165" fontId="33" fillId="2" borderId="12" xfId="0" applyNumberFormat="1" applyFont="1" applyFill="1" applyBorder="1" applyAlignment="1">
      <alignment horizontal="center" vertical="center"/>
    </xf>
    <xf numFmtId="2" fontId="11" fillId="2" borderId="19" xfId="0" quotePrefix="1" applyNumberFormat="1" applyFont="1" applyFill="1" applyBorder="1" applyAlignment="1">
      <alignment horizontal="center" vertical="center"/>
    </xf>
    <xf numFmtId="2" fontId="11" fillId="2" borderId="21" xfId="0" quotePrefix="1" applyNumberFormat="1" applyFont="1" applyFill="1" applyBorder="1" applyAlignment="1">
      <alignment horizontal="center" vertical="center"/>
    </xf>
    <xf numFmtId="2" fontId="11" fillId="2" borderId="20" xfId="0" quotePrefix="1" applyNumberFormat="1" applyFont="1" applyFill="1" applyBorder="1" applyAlignment="1">
      <alignment horizontal="center" vertical="center"/>
    </xf>
    <xf numFmtId="0" fontId="11" fillId="2" borderId="133" xfId="0" quotePrefix="1" applyFont="1" applyFill="1" applyBorder="1" applyAlignment="1">
      <alignment horizontal="center" vertical="center"/>
    </xf>
    <xf numFmtId="0" fontId="11" fillId="2" borderId="153" xfId="0" quotePrefix="1" applyFont="1" applyFill="1" applyBorder="1" applyAlignment="1">
      <alignment horizontal="center" vertical="center"/>
    </xf>
    <xf numFmtId="0" fontId="11" fillId="2" borderId="14" xfId="0" applyFont="1" applyFill="1" applyBorder="1" applyAlignment="1">
      <alignment horizontal="center" vertical="center"/>
    </xf>
    <xf numFmtId="0" fontId="11" fillId="2" borderId="39" xfId="0" applyFont="1" applyFill="1" applyBorder="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xf>
    <xf numFmtId="0" fontId="11" fillId="2" borderId="25" xfId="0" quotePrefix="1" applyFont="1" applyFill="1" applyBorder="1" applyAlignment="1">
      <alignment horizontal="center" vertical="center"/>
    </xf>
    <xf numFmtId="0" fontId="11" fillId="2" borderId="16" xfId="0" quotePrefix="1" applyFont="1" applyFill="1" applyBorder="1" applyAlignment="1">
      <alignment horizontal="center" vertical="center"/>
    </xf>
    <xf numFmtId="0" fontId="11" fillId="2" borderId="19" xfId="0" applyFont="1" applyFill="1" applyBorder="1" applyAlignment="1">
      <alignment horizontal="center" vertical="center"/>
    </xf>
    <xf numFmtId="2" fontId="11" fillId="2" borderId="12" xfId="0" quotePrefix="1" applyNumberFormat="1" applyFont="1" applyFill="1" applyBorder="1" applyAlignment="1">
      <alignment horizontal="center" vertical="center"/>
    </xf>
    <xf numFmtId="165" fontId="53" fillId="2" borderId="17" xfId="0" applyNumberFormat="1" applyFont="1" applyFill="1" applyBorder="1" applyAlignment="1">
      <alignment horizontal="center" vertical="center"/>
    </xf>
    <xf numFmtId="165" fontId="33" fillId="2" borderId="17" xfId="0" applyNumberFormat="1" applyFont="1" applyFill="1" applyBorder="1" applyAlignment="1">
      <alignment horizontal="center" vertical="center"/>
    </xf>
    <xf numFmtId="165" fontId="53" fillId="2" borderId="21" xfId="0" applyNumberFormat="1" applyFont="1" applyFill="1" applyBorder="1" applyAlignment="1">
      <alignment horizontal="center" vertical="center"/>
    </xf>
    <xf numFmtId="165" fontId="33" fillId="2" borderId="21" xfId="0" applyNumberFormat="1" applyFont="1" applyFill="1" applyBorder="1" applyAlignment="1">
      <alignment horizontal="center" vertical="center"/>
    </xf>
    <xf numFmtId="165" fontId="33" fillId="2" borderId="18" xfId="0" applyNumberFormat="1" applyFont="1" applyFill="1" applyBorder="1" applyAlignment="1">
      <alignment horizontal="center" vertical="center"/>
    </xf>
    <xf numFmtId="165" fontId="33" fillId="2" borderId="20" xfId="0" applyNumberFormat="1" applyFont="1" applyFill="1" applyBorder="1" applyAlignment="1">
      <alignment horizontal="center" vertical="center"/>
    </xf>
    <xf numFmtId="165" fontId="53" fillId="2" borderId="133" xfId="0" applyNumberFormat="1" applyFont="1" applyFill="1" applyBorder="1" applyAlignment="1">
      <alignment horizontal="center" vertical="center"/>
    </xf>
    <xf numFmtId="165" fontId="33" fillId="2" borderId="153" xfId="0" applyNumberFormat="1" applyFont="1" applyFill="1" applyBorder="1" applyAlignment="1">
      <alignment horizontal="center" vertical="center"/>
    </xf>
    <xf numFmtId="165" fontId="33" fillId="2" borderId="39" xfId="0" applyNumberFormat="1" applyFont="1" applyFill="1" applyBorder="1" applyAlignment="1">
      <alignment horizontal="center" vertical="center"/>
    </xf>
    <xf numFmtId="2" fontId="39" fillId="16" borderId="29" xfId="0" applyNumberFormat="1" applyFont="1" applyFill="1" applyBorder="1" applyAlignment="1">
      <alignment horizontal="center" vertical="center"/>
    </xf>
    <xf numFmtId="2" fontId="33" fillId="16" borderId="148" xfId="0" applyNumberFormat="1" applyFont="1" applyFill="1" applyBorder="1" applyAlignment="1">
      <alignment horizontal="center" vertical="center"/>
    </xf>
    <xf numFmtId="2" fontId="33" fillId="16" borderId="149" xfId="0" applyNumberFormat="1" applyFont="1" applyFill="1" applyBorder="1" applyAlignment="1">
      <alignment horizontal="center" vertical="center"/>
    </xf>
    <xf numFmtId="2" fontId="33" fillId="16" borderId="150" xfId="0" applyNumberFormat="1" applyFont="1" applyFill="1" applyBorder="1" applyAlignment="1">
      <alignment horizontal="center" vertical="center"/>
    </xf>
    <xf numFmtId="2" fontId="39" fillId="16" borderId="28" xfId="0" applyNumberFormat="1" applyFont="1" applyFill="1" applyBorder="1" applyAlignment="1">
      <alignment horizontal="center" vertical="center"/>
    </xf>
    <xf numFmtId="2" fontId="33" fillId="16" borderId="151" xfId="0" applyNumberFormat="1" applyFont="1" applyFill="1" applyBorder="1" applyAlignment="1">
      <alignment horizontal="center" vertical="center"/>
    </xf>
    <xf numFmtId="2" fontId="33" fillId="16" borderId="29" xfId="0" applyNumberFormat="1" applyFont="1" applyFill="1" applyBorder="1" applyAlignment="1">
      <alignment horizontal="center" vertical="center"/>
    </xf>
    <xf numFmtId="2" fontId="33" fillId="16" borderId="152" xfId="0" applyNumberFormat="1" applyFont="1" applyFill="1" applyBorder="1" applyAlignment="1">
      <alignment horizontal="center" vertical="center"/>
    </xf>
    <xf numFmtId="2" fontId="39" fillId="16" borderId="151" xfId="0" applyNumberFormat="1" applyFont="1" applyFill="1" applyBorder="1" applyAlignment="1">
      <alignment horizontal="center" vertical="center"/>
    </xf>
    <xf numFmtId="2" fontId="39" fillId="16" borderId="59" xfId="0" applyNumberFormat="1" applyFont="1" applyFill="1" applyBorder="1" applyAlignment="1">
      <alignment horizontal="center" vertical="center"/>
    </xf>
    <xf numFmtId="2" fontId="39" fillId="16" borderId="145" xfId="0" applyNumberFormat="1" applyFont="1" applyFill="1" applyBorder="1" applyAlignment="1">
      <alignment horizontal="center" vertical="center"/>
    </xf>
    <xf numFmtId="0" fontId="0" fillId="2" borderId="0" xfId="0" applyFill="1" applyAlignment="1">
      <alignment horizontal="left" vertical="center"/>
    </xf>
    <xf numFmtId="165" fontId="11" fillId="14" borderId="20" xfId="0" applyNumberFormat="1" applyFont="1" applyFill="1" applyBorder="1" applyAlignment="1">
      <alignment horizontal="center" vertical="center"/>
    </xf>
    <xf numFmtId="0" fontId="0" fillId="0" borderId="34" xfId="0" applyBorder="1" applyAlignment="1">
      <alignment horizontal="center" vertical="center"/>
    </xf>
    <xf numFmtId="0" fontId="0" fillId="0" borderId="130" xfId="0" applyBorder="1" applyAlignment="1">
      <alignment horizontal="center" vertical="center"/>
    </xf>
    <xf numFmtId="2" fontId="33" fillId="0" borderId="84" xfId="0" applyNumberFormat="1" applyFont="1" applyBorder="1" applyAlignment="1">
      <alignment horizontal="center" vertical="center"/>
    </xf>
    <xf numFmtId="0" fontId="54" fillId="0" borderId="83" xfId="0" applyFont="1" applyBorder="1" applyAlignment="1">
      <alignment horizontal="left" vertical="center"/>
    </xf>
    <xf numFmtId="2" fontId="0" fillId="0" borderId="34" xfId="0" applyNumberFormat="1" applyBorder="1" applyAlignment="1">
      <alignment horizontal="center" vertical="center"/>
    </xf>
    <xf numFmtId="2" fontId="39" fillId="16" borderId="148" xfId="0" applyNumberFormat="1" applyFont="1" applyFill="1" applyBorder="1" applyAlignment="1">
      <alignment horizontal="center" vertical="center"/>
    </xf>
    <xf numFmtId="0" fontId="11" fillId="2" borderId="0" xfId="0" applyFont="1" applyFill="1" applyAlignment="1">
      <alignment horizontal="left" vertical="top"/>
    </xf>
    <xf numFmtId="2" fontId="39" fillId="0" borderId="29" xfId="0" applyNumberFormat="1" applyFont="1" applyBorder="1" applyAlignment="1">
      <alignment horizontal="center" vertical="center"/>
    </xf>
    <xf numFmtId="2" fontId="39" fillId="0" borderId="58" xfId="0" applyNumberFormat="1" applyFont="1" applyBorder="1" applyAlignment="1">
      <alignment horizontal="center" vertical="center"/>
    </xf>
    <xf numFmtId="2" fontId="39" fillId="0" borderId="28" xfId="0" applyNumberFormat="1" applyFont="1" applyBorder="1" applyAlignment="1">
      <alignment horizontal="center" vertical="center"/>
    </xf>
    <xf numFmtId="2" fontId="39" fillId="0" borderId="59" xfId="0" applyNumberFormat="1" applyFont="1" applyBorder="1" applyAlignment="1">
      <alignment horizontal="center" vertical="center"/>
    </xf>
    <xf numFmtId="2" fontId="33" fillId="0" borderId="29" xfId="0" applyNumberFormat="1" applyFont="1" applyBorder="1" applyAlignment="1">
      <alignment horizontal="center" vertical="center"/>
    </xf>
    <xf numFmtId="2" fontId="39" fillId="0" borderId="145" xfId="0" applyNumberFormat="1" applyFont="1" applyBorder="1" applyAlignment="1">
      <alignment horizontal="center" vertical="center"/>
    </xf>
    <xf numFmtId="2" fontId="33" fillId="16" borderId="154" xfId="0" applyNumberFormat="1" applyFont="1" applyFill="1" applyBorder="1" applyAlignment="1">
      <alignment horizontal="center" vertical="center"/>
    </xf>
    <xf numFmtId="2" fontId="33" fillId="16" borderId="34" xfId="0" applyNumberFormat="1" applyFont="1" applyFill="1" applyBorder="1" applyAlignment="1">
      <alignment horizontal="center" vertical="center"/>
    </xf>
    <xf numFmtId="2" fontId="33" fillId="16" borderId="155" xfId="0" applyNumberFormat="1" applyFont="1" applyFill="1" applyBorder="1" applyAlignment="1">
      <alignment horizontal="center" vertical="center"/>
    </xf>
    <xf numFmtId="2" fontId="39" fillId="0" borderId="151" xfId="0" applyNumberFormat="1" applyFont="1" applyBorder="1" applyAlignment="1">
      <alignment horizontal="center" vertical="center"/>
    </xf>
    <xf numFmtId="2" fontId="39" fillId="0" borderId="158" xfId="0" applyNumberFormat="1" applyFont="1" applyBorder="1" applyAlignment="1">
      <alignment horizontal="center" vertical="center"/>
    </xf>
    <xf numFmtId="2" fontId="33" fillId="0" borderId="148" xfId="0" applyNumberFormat="1" applyFont="1" applyBorder="1" applyAlignment="1">
      <alignment horizontal="center" vertical="center"/>
    </xf>
    <xf numFmtId="2" fontId="33" fillId="0" borderId="149" xfId="0" applyNumberFormat="1" applyFont="1" applyBorder="1" applyAlignment="1">
      <alignment horizontal="center" vertical="center"/>
    </xf>
    <xf numFmtId="2" fontId="33" fillId="0" borderId="150" xfId="0" applyNumberFormat="1" applyFont="1" applyBorder="1" applyAlignment="1">
      <alignment horizontal="center" vertical="center"/>
    </xf>
    <xf numFmtId="2" fontId="33" fillId="0" borderId="151" xfId="0" applyNumberFormat="1" applyFont="1" applyBorder="1" applyAlignment="1">
      <alignment horizontal="center" vertical="center"/>
    </xf>
    <xf numFmtId="2" fontId="33" fillId="0" borderId="152" xfId="0" applyNumberFormat="1" applyFont="1" applyBorder="1" applyAlignment="1">
      <alignment horizontal="center" vertical="center"/>
    </xf>
    <xf numFmtId="2" fontId="33" fillId="0" borderId="156" xfId="0" applyNumberFormat="1" applyFont="1" applyBorder="1" applyAlignment="1">
      <alignment horizontal="center" vertical="center"/>
    </xf>
    <xf numFmtId="2" fontId="33" fillId="0" borderId="157" xfId="0" applyNumberFormat="1" applyFont="1" applyBorder="1" applyAlignment="1">
      <alignment horizontal="center" vertical="center"/>
    </xf>
    <xf numFmtId="2" fontId="39" fillId="9" borderId="58" xfId="0" applyNumberFormat="1" applyFont="1" applyFill="1" applyBorder="1" applyAlignment="1">
      <alignment horizontal="center" vertical="center"/>
    </xf>
    <xf numFmtId="2" fontId="39" fillId="16" borderId="159" xfId="0" applyNumberFormat="1" applyFont="1" applyFill="1" applyBorder="1" applyAlignment="1">
      <alignment horizontal="center" vertical="center"/>
    </xf>
    <xf numFmtId="2" fontId="33" fillId="16" borderId="159" xfId="0" applyNumberFormat="1" applyFont="1" applyFill="1" applyBorder="1" applyAlignment="1">
      <alignment horizontal="center" vertical="center"/>
    </xf>
    <xf numFmtId="2" fontId="33" fillId="16" borderId="156" xfId="0" applyNumberFormat="1" applyFont="1" applyFill="1" applyBorder="1" applyAlignment="1">
      <alignment horizontal="center" vertical="center"/>
    </xf>
    <xf numFmtId="2" fontId="39" fillId="16" borderId="12" xfId="0" applyNumberFormat="1" applyFont="1" applyFill="1" applyBorder="1" applyAlignment="1">
      <alignment horizontal="center" vertical="center"/>
    </xf>
    <xf numFmtId="2" fontId="39" fillId="0" borderId="148" xfId="0" applyNumberFormat="1" applyFont="1" applyBorder="1" applyAlignment="1">
      <alignment horizontal="center" vertical="center"/>
    </xf>
    <xf numFmtId="2" fontId="39" fillId="0" borderId="12" xfId="0" applyNumberFormat="1" applyFont="1" applyBorder="1" applyAlignment="1">
      <alignment horizontal="center" vertical="center"/>
    </xf>
    <xf numFmtId="2" fontId="33" fillId="0" borderId="159" xfId="0" applyNumberFormat="1" applyFont="1" applyBorder="1" applyAlignment="1">
      <alignment horizontal="center" vertical="center"/>
    </xf>
    <xf numFmtId="2" fontId="39" fillId="0" borderId="81" xfId="0" applyNumberFormat="1" applyFont="1" applyBorder="1" applyAlignment="1">
      <alignment horizontal="center" vertical="center"/>
    </xf>
    <xf numFmtId="0" fontId="2" fillId="7" borderId="16" xfId="0" applyFont="1" applyFill="1" applyBorder="1" applyAlignment="1">
      <alignment horizontal="left"/>
    </xf>
    <xf numFmtId="0" fontId="2" fillId="7" borderId="17" xfId="0" applyFont="1" applyFill="1" applyBorder="1" applyAlignment="1">
      <alignment horizontal="left"/>
    </xf>
    <xf numFmtId="0" fontId="18" fillId="0" borderId="12" xfId="0" applyFont="1" applyBorder="1" applyAlignment="1">
      <alignment horizontal="center" vertical="center" wrapText="1"/>
    </xf>
    <xf numFmtId="171" fontId="18" fillId="0" borderId="39" xfId="0" applyNumberFormat="1" applyFont="1" applyBorder="1" applyAlignment="1">
      <alignment horizontal="center" vertical="top" wrapText="1"/>
    </xf>
    <xf numFmtId="170" fontId="18" fillId="0" borderId="39" xfId="0" applyNumberFormat="1" applyFont="1" applyBorder="1" applyAlignment="1">
      <alignment horizontal="center" vertical="top" wrapText="1"/>
    </xf>
    <xf numFmtId="0" fontId="18" fillId="0" borderId="133" xfId="0" applyFont="1" applyBorder="1" applyAlignment="1">
      <alignment horizontal="center" vertical="center" wrapText="1"/>
    </xf>
    <xf numFmtId="0" fontId="18" fillId="0" borderId="39" xfId="0" applyFont="1" applyBorder="1" applyAlignment="1">
      <alignment horizontal="center" vertical="center" wrapText="1"/>
    </xf>
    <xf numFmtId="1" fontId="18" fillId="0" borderId="133" xfId="0" applyNumberFormat="1" applyFont="1" applyBorder="1" applyAlignment="1">
      <alignment horizontal="center" vertical="center"/>
    </xf>
    <xf numFmtId="1" fontId="18" fillId="0" borderId="39" xfId="0" applyNumberFormat="1" applyFont="1" applyBorder="1" applyAlignment="1">
      <alignment horizontal="center" vertical="center"/>
    </xf>
    <xf numFmtId="0" fontId="19" fillId="8" borderId="12" xfId="0" applyFont="1" applyFill="1" applyBorder="1" applyAlignment="1">
      <alignment horizontal="center" vertical="top" wrapText="1"/>
    </xf>
    <xf numFmtId="2" fontId="18" fillId="0" borderId="133" xfId="0" applyNumberFormat="1" applyFont="1" applyBorder="1" applyAlignment="1">
      <alignment horizontal="center" vertical="top" wrapText="1"/>
    </xf>
    <xf numFmtId="1" fontId="5" fillId="0" borderId="137" xfId="0" applyNumberFormat="1" applyFont="1" applyBorder="1" applyAlignment="1">
      <alignment horizontal="left" vertical="center" wrapText="1"/>
    </xf>
    <xf numFmtId="1" fontId="5" fillId="0" borderId="91" xfId="0" applyNumberFormat="1" applyFont="1" applyBorder="1" applyAlignment="1">
      <alignment horizontal="left" vertical="center" wrapText="1"/>
    </xf>
    <xf numFmtId="1" fontId="5" fillId="0" borderId="56" xfId="0" applyNumberFormat="1" applyFont="1" applyBorder="1" applyAlignment="1">
      <alignment horizontal="left" vertical="center" wrapText="1"/>
    </xf>
    <xf numFmtId="1" fontId="5" fillId="0" borderId="92" xfId="0" applyNumberFormat="1" applyFont="1" applyBorder="1" applyAlignment="1">
      <alignment horizontal="left" vertical="center" wrapText="1"/>
    </xf>
    <xf numFmtId="1" fontId="5" fillId="0" borderId="42" xfId="0" applyNumberFormat="1" applyFont="1" applyBorder="1" applyAlignment="1">
      <alignment horizontal="left" vertical="center" wrapText="1"/>
    </xf>
    <xf numFmtId="1" fontId="5" fillId="0" borderId="43" xfId="0" applyNumberFormat="1" applyFont="1" applyBorder="1" applyAlignment="1">
      <alignment horizontal="left" vertical="center" wrapText="1"/>
    </xf>
    <xf numFmtId="164" fontId="18" fillId="0" borderId="133" xfId="0" applyNumberFormat="1" applyFont="1" applyBorder="1" applyAlignment="1">
      <alignment horizontal="center" vertical="top" wrapText="1"/>
    </xf>
    <xf numFmtId="0" fontId="19" fillId="8" borderId="19" xfId="0" applyFont="1" applyFill="1" applyBorder="1" applyAlignment="1">
      <alignment horizontal="center" vertical="top" wrapText="1"/>
    </xf>
    <xf numFmtId="0" fontId="19" fillId="8" borderId="21" xfId="0" applyFont="1" applyFill="1" applyBorder="1" applyAlignment="1">
      <alignment horizontal="center" vertical="top" wrapText="1"/>
    </xf>
    <xf numFmtId="0" fontId="19" fillId="8" borderId="20" xfId="0" applyFont="1" applyFill="1" applyBorder="1" applyAlignment="1">
      <alignment horizontal="center" vertical="top" wrapText="1"/>
    </xf>
    <xf numFmtId="1" fontId="18" fillId="0" borderId="16" xfId="0" applyNumberFormat="1" applyFont="1" applyBorder="1" applyAlignment="1">
      <alignment horizontal="center" vertical="top" wrapText="1"/>
    </xf>
    <xf numFmtId="1" fontId="18" fillId="0" borderId="17" xfId="0" applyNumberFormat="1" applyFont="1" applyBorder="1" applyAlignment="1">
      <alignment horizontal="center" vertical="top" wrapText="1"/>
    </xf>
    <xf numFmtId="1" fontId="18" fillId="0" borderId="18" xfId="0" applyNumberFormat="1" applyFont="1" applyBorder="1" applyAlignment="1">
      <alignment horizontal="center" vertical="top" wrapText="1"/>
    </xf>
    <xf numFmtId="0" fontId="15" fillId="8" borderId="3" xfId="0" applyFont="1" applyFill="1" applyBorder="1" applyAlignment="1">
      <alignment horizontal="center"/>
    </xf>
    <xf numFmtId="0" fontId="15" fillId="8" borderId="4" xfId="0" applyFont="1" applyFill="1" applyBorder="1" applyAlignment="1">
      <alignment horizontal="center"/>
    </xf>
    <xf numFmtId="0" fontId="0" fillId="2" borderId="40" xfId="0" applyFill="1" applyBorder="1" applyAlignment="1">
      <alignment horizontal="center" wrapText="1"/>
    </xf>
    <xf numFmtId="0" fontId="0" fillId="2" borderId="80" xfId="0" applyFill="1" applyBorder="1" applyAlignment="1">
      <alignment horizontal="center" wrapText="1"/>
    </xf>
    <xf numFmtId="0" fontId="0" fillId="0" borderId="40" xfId="0" applyBorder="1" applyAlignment="1">
      <alignment horizontal="center" wrapText="1"/>
    </xf>
    <xf numFmtId="0" fontId="0" fillId="0" borderId="80" xfId="0" applyBorder="1" applyAlignment="1">
      <alignment horizontal="center" wrapText="1"/>
    </xf>
    <xf numFmtId="0" fontId="20" fillId="0" borderId="66" xfId="0" applyFont="1" applyBorder="1" applyAlignment="1">
      <alignment horizontal="center"/>
    </xf>
    <xf numFmtId="0" fontId="20" fillId="0" borderId="67" xfId="0" applyFont="1" applyBorder="1" applyAlignment="1">
      <alignment horizontal="center"/>
    </xf>
    <xf numFmtId="0" fontId="20" fillId="0" borderId="68"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6" fillId="2" borderId="13" xfId="0" applyFont="1" applyFill="1" applyBorder="1" applyAlignment="1">
      <alignment horizontal="center" wrapText="1"/>
    </xf>
    <xf numFmtId="0" fontId="6" fillId="2" borderId="15" xfId="0" applyFont="1" applyFill="1" applyBorder="1" applyAlignment="1">
      <alignment horizontal="center" wrapText="1"/>
    </xf>
    <xf numFmtId="0" fontId="6" fillId="2" borderId="25" xfId="0" applyFont="1" applyFill="1" applyBorder="1" applyAlignment="1">
      <alignment horizontal="center" wrapText="1"/>
    </xf>
    <xf numFmtId="0" fontId="6" fillId="2" borderId="26" xfId="0" applyFont="1" applyFill="1" applyBorder="1" applyAlignment="1">
      <alignment horizontal="center" wrapText="1"/>
    </xf>
    <xf numFmtId="0" fontId="6" fillId="2" borderId="16" xfId="0" applyFont="1" applyFill="1" applyBorder="1" applyAlignment="1">
      <alignment horizontal="center" wrapText="1"/>
    </xf>
    <xf numFmtId="0" fontId="6" fillId="2" borderId="18" xfId="0" applyFont="1" applyFill="1" applyBorder="1" applyAlignment="1">
      <alignment horizontal="center" wrapText="1"/>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7" fillId="2" borderId="19" xfId="0" applyFont="1" applyFill="1" applyBorder="1" applyAlignment="1">
      <alignment horizontal="center"/>
    </xf>
    <xf numFmtId="0" fontId="7" fillId="2" borderId="21" xfId="0" applyFont="1" applyFill="1" applyBorder="1" applyAlignment="1">
      <alignment horizontal="center"/>
    </xf>
    <xf numFmtId="0" fontId="7" fillId="2" borderId="20" xfId="0" applyFont="1" applyFill="1" applyBorder="1" applyAlignment="1">
      <alignment horizontal="center"/>
    </xf>
    <xf numFmtId="0" fontId="0" fillId="0" borderId="0" xfId="0" applyAlignment="1">
      <alignment horizontal="center" wrapText="1"/>
    </xf>
    <xf numFmtId="0" fontId="0" fillId="2" borderId="1" xfId="0" applyFill="1" applyBorder="1" applyAlignment="1">
      <alignment horizontal="center" wrapText="1"/>
    </xf>
    <xf numFmtId="0" fontId="0" fillId="2" borderId="3" xfId="0" applyFill="1" applyBorder="1" applyAlignment="1">
      <alignment horizontal="center" wrapText="1"/>
    </xf>
    <xf numFmtId="0" fontId="22" fillId="0" borderId="49" xfId="0" applyFont="1" applyBorder="1" applyAlignment="1">
      <alignment horizontal="left"/>
    </xf>
    <xf numFmtId="0" fontId="22" fillId="0" borderId="47" xfId="0" applyFont="1" applyBorder="1" applyAlignment="1">
      <alignment horizontal="left"/>
    </xf>
    <xf numFmtId="0" fontId="20" fillId="2" borderId="66" xfId="0" applyFont="1" applyFill="1" applyBorder="1" applyAlignment="1">
      <alignment horizontal="center"/>
    </xf>
    <xf numFmtId="0" fontId="20" fillId="2" borderId="67" xfId="0" applyFont="1" applyFill="1" applyBorder="1" applyAlignment="1">
      <alignment horizontal="center"/>
    </xf>
    <xf numFmtId="0" fontId="20" fillId="2" borderId="68" xfId="0" applyFont="1" applyFill="1" applyBorder="1" applyAlignment="1">
      <alignment horizontal="center"/>
    </xf>
    <xf numFmtId="0" fontId="20" fillId="0" borderId="130" xfId="0" applyFont="1" applyBorder="1" applyAlignment="1">
      <alignment horizontal="center"/>
    </xf>
    <xf numFmtId="0" fontId="20" fillId="0" borderId="131" xfId="0" applyFont="1" applyBorder="1" applyAlignment="1">
      <alignment horizontal="center"/>
    </xf>
    <xf numFmtId="0" fontId="22" fillId="0" borderId="113" xfId="0" applyFont="1" applyBorder="1" applyAlignment="1">
      <alignment horizontal="left"/>
    </xf>
    <xf numFmtId="0" fontId="11" fillId="14" borderId="19" xfId="0" applyFont="1" applyFill="1" applyBorder="1" applyAlignment="1">
      <alignment horizontal="center" vertical="center"/>
    </xf>
    <xf numFmtId="0" fontId="11" fillId="14" borderId="20" xfId="0" applyFont="1" applyFill="1" applyBorder="1" applyAlignment="1">
      <alignment horizontal="center" vertical="center"/>
    </xf>
    <xf numFmtId="0" fontId="11" fillId="14" borderId="133" xfId="0" applyFont="1" applyFill="1" applyBorder="1" applyAlignment="1">
      <alignment horizontal="center" vertical="center"/>
    </xf>
    <xf numFmtId="0" fontId="11" fillId="14" borderId="39" xfId="0" applyFont="1" applyFill="1" applyBorder="1" applyAlignment="1">
      <alignment horizontal="center" vertical="center"/>
    </xf>
    <xf numFmtId="0" fontId="11" fillId="14" borderId="146" xfId="0" applyFont="1" applyFill="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147" xfId="0" applyFont="1" applyBorder="1" applyAlignment="1">
      <alignment horizontal="center" vertical="center"/>
    </xf>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0" fontId="0" fillId="2" borderId="12" xfId="0" applyFill="1" applyBorder="1" applyAlignment="1">
      <alignment horizontal="center" vertical="center"/>
    </xf>
    <xf numFmtId="0" fontId="5" fillId="2" borderId="140" xfId="0" applyFont="1" applyFill="1" applyBorder="1" applyAlignment="1">
      <alignment horizontal="center" vertical="center"/>
    </xf>
    <xf numFmtId="0" fontId="5" fillId="2" borderId="141" xfId="0" applyFont="1" applyFill="1" applyBorder="1" applyAlignment="1">
      <alignment horizontal="center" vertical="center"/>
    </xf>
    <xf numFmtId="1" fontId="6" fillId="2" borderId="19" xfId="0" applyNumberFormat="1" applyFont="1" applyFill="1" applyBorder="1" applyAlignment="1">
      <alignment horizontal="center" vertical="center"/>
    </xf>
    <xf numFmtId="1" fontId="6" fillId="2" borderId="20" xfId="0" applyNumberFormat="1" applyFont="1" applyFill="1" applyBorder="1" applyAlignment="1">
      <alignment horizontal="center" vertical="center"/>
    </xf>
    <xf numFmtId="0" fontId="0" fillId="2" borderId="139" xfId="0" applyFill="1" applyBorder="1" applyAlignment="1">
      <alignment horizontal="center" vertical="center"/>
    </xf>
    <xf numFmtId="0" fontId="0" fillId="2" borderId="140" xfId="0" applyFill="1" applyBorder="1" applyAlignment="1">
      <alignment horizontal="center" vertical="center"/>
    </xf>
    <xf numFmtId="0" fontId="0" fillId="2" borderId="141"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6" fillId="2" borderId="12" xfId="0" applyFont="1" applyFill="1" applyBorder="1" applyAlignment="1">
      <alignment horizontal="center" vertical="center"/>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12" xfId="0" applyFont="1" applyFill="1" applyBorder="1" applyAlignment="1">
      <alignment horizontal="center" vertical="center" wrapText="1"/>
    </xf>
    <xf numFmtId="1" fontId="6" fillId="2" borderId="12" xfId="0" applyNumberFormat="1" applyFont="1" applyFill="1" applyBorder="1" applyAlignment="1">
      <alignment horizontal="center" vertical="center"/>
    </xf>
    <xf numFmtId="1" fontId="6" fillId="2" borderId="139" xfId="0" applyNumberFormat="1" applyFont="1" applyFill="1" applyBorder="1" applyAlignment="1">
      <alignment horizontal="center" vertical="center"/>
    </xf>
    <xf numFmtId="0" fontId="6" fillId="2" borderId="1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0" xfId="0" applyFont="1" applyFill="1" applyBorder="1" applyAlignment="1">
      <alignment horizontal="center" vertical="center"/>
    </xf>
    <xf numFmtId="2" fontId="6" fillId="2" borderId="12" xfId="0" applyNumberFormat="1" applyFont="1" applyFill="1" applyBorder="1" applyAlignment="1">
      <alignment horizontal="center" vertical="center"/>
    </xf>
    <xf numFmtId="0" fontId="4" fillId="2" borderId="118" xfId="0" applyFont="1" applyFill="1" applyBorder="1" applyAlignment="1">
      <alignment horizontal="center" vertical="center"/>
    </xf>
    <xf numFmtId="0" fontId="4" fillId="2" borderId="119" xfId="0" applyFont="1" applyFill="1" applyBorder="1" applyAlignment="1">
      <alignment horizontal="center" vertical="center"/>
    </xf>
    <xf numFmtId="0" fontId="4" fillId="2" borderId="120" xfId="0" applyFont="1" applyFill="1" applyBorder="1" applyAlignment="1">
      <alignment horizontal="center" vertical="center"/>
    </xf>
    <xf numFmtId="0" fontId="11" fillId="15" borderId="133" xfId="0" applyFont="1" applyFill="1" applyBorder="1" applyAlignment="1">
      <alignment horizontal="center" vertical="center" wrapText="1"/>
    </xf>
    <xf numFmtId="0" fontId="11" fillId="15" borderId="153" xfId="0" applyFont="1" applyFill="1" applyBorder="1" applyAlignment="1">
      <alignment horizontal="center" vertical="center" wrapText="1"/>
    </xf>
    <xf numFmtId="0" fontId="11" fillId="15" borderId="39" xfId="0" applyFont="1" applyFill="1" applyBorder="1" applyAlignment="1">
      <alignment horizontal="center" vertical="center" wrapText="1"/>
    </xf>
    <xf numFmtId="0" fontId="0" fillId="0" borderId="46" xfId="0" applyBorder="1" applyAlignment="1">
      <alignment horizontal="center" vertical="center"/>
    </xf>
    <xf numFmtId="0" fontId="0" fillId="0" borderId="49"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138" xfId="0" applyBorder="1" applyAlignment="1">
      <alignment horizontal="center" vertical="center"/>
    </xf>
    <xf numFmtId="0" fontId="0" fillId="0" borderId="44" xfId="0" applyBorder="1" applyAlignment="1">
      <alignment horizontal="center" vertical="center"/>
    </xf>
    <xf numFmtId="0" fontId="0" fillId="2" borderId="40" xfId="0" applyFill="1" applyBorder="1" applyAlignment="1">
      <alignment horizontal="center" vertical="center" wrapText="1"/>
    </xf>
    <xf numFmtId="0" fontId="0" fillId="2" borderId="80" xfId="0" applyFill="1" applyBorder="1" applyAlignment="1">
      <alignment horizontal="center" vertical="center" wrapText="1"/>
    </xf>
    <xf numFmtId="0" fontId="52" fillId="2" borderId="118" xfId="0" applyFont="1" applyFill="1" applyBorder="1" applyAlignment="1">
      <alignment horizontal="center" vertical="center"/>
    </xf>
    <xf numFmtId="0" fontId="52" fillId="2" borderId="119" xfId="0" applyFont="1" applyFill="1" applyBorder="1" applyAlignment="1">
      <alignment horizontal="center" vertical="center"/>
    </xf>
    <xf numFmtId="0" fontId="52" fillId="2" borderId="120" xfId="0" applyFont="1" applyFill="1" applyBorder="1" applyAlignment="1">
      <alignment horizontal="center" vertical="center"/>
    </xf>
    <xf numFmtId="0" fontId="11" fillId="14" borderId="15" xfId="0" applyFont="1" applyFill="1" applyBorder="1" applyAlignment="1">
      <alignment horizontal="center" vertical="center"/>
    </xf>
    <xf numFmtId="0" fontId="11" fillId="14" borderId="18" xfId="0" applyFont="1" applyFill="1" applyBorder="1" applyAlignment="1">
      <alignment horizontal="center" vertical="center"/>
    </xf>
  </cellXfs>
  <cellStyles count="3">
    <cellStyle name="Comma" xfId="2" builtinId="3"/>
    <cellStyle name="Normal" xfId="0" builtinId="0"/>
    <cellStyle name="Percent" xfId="1" builtinId="5"/>
  </cellStyles>
  <dxfs count="16">
    <dxf>
      <numFmt numFmtId="1" formatCode="0"/>
    </dxf>
    <dxf>
      <font>
        <color theme="1"/>
      </font>
      <fill>
        <patternFill>
          <bgColor rgb="FFFFC000"/>
        </patternFill>
      </fill>
    </dxf>
    <dxf>
      <font>
        <color rgb="FF833C0C"/>
      </font>
      <fill>
        <patternFill>
          <bgColor rgb="FFF5C565"/>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numFmt numFmtId="1" formatCode="0"/>
    </dxf>
    <dxf>
      <font>
        <color rgb="FF9C0006"/>
      </font>
      <fill>
        <patternFill>
          <bgColor rgb="FFFFC4CE"/>
        </patternFill>
      </fill>
    </dxf>
    <dxf>
      <font>
        <color rgb="FF9C0006"/>
      </font>
      <fill>
        <patternFill>
          <bgColor rgb="FFFFC7CE"/>
        </patternFill>
      </fill>
    </dxf>
  </dxfs>
  <tableStyles count="0" defaultTableStyle="TableStyleMedium2" defaultPivotStyle="PivotStyleLight16"/>
  <colors>
    <mruColors>
      <color rgb="FFF5C565"/>
      <color rgb="FF833C0C"/>
      <color rgb="FF9C0006"/>
      <color rgb="FFFFC4CE"/>
      <color rgb="FFFFC7CE"/>
      <color rgb="FF9C00FF"/>
      <color rgb="FF9C0000"/>
      <color rgb="FFFFCCCC"/>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List" dx="22" fmlaLink="'DATA ENTRY'!$B$8:$B$14" fmlaRange="'DATA ENTRY'!$B$8:$B$1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8.pn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57151</xdr:rowOff>
    </xdr:from>
    <xdr:to>
      <xdr:col>1</xdr:col>
      <xdr:colOff>28575</xdr:colOff>
      <xdr:row>1</xdr:row>
      <xdr:rowOff>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57151"/>
          <a:ext cx="20193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28304</xdr:colOff>
      <xdr:row>0</xdr:row>
      <xdr:rowOff>47662</xdr:rowOff>
    </xdr:from>
    <xdr:ext cx="1665051" cy="529246"/>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620229" y="8677312"/>
          <a:ext cx="1665051" cy="52924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6</xdr:col>
          <xdr:colOff>518431</xdr:colOff>
          <xdr:row>3</xdr:row>
          <xdr:rowOff>213934</xdr:rowOff>
        </xdr:from>
        <xdr:to>
          <xdr:col>8</xdr:col>
          <xdr:colOff>626832</xdr:colOff>
          <xdr:row>11</xdr:row>
          <xdr:rowOff>58616</xdr:rowOff>
        </xdr:to>
        <xdr:pic>
          <xdr:nvPicPr>
            <xdr:cNvPr id="9" name="Picture 8">
              <a:extLst>
                <a:ext uri="{FF2B5EF4-FFF2-40B4-BE49-F238E27FC236}">
                  <a16:creationId xmlns:a16="http://schemas.microsoft.com/office/drawing/2014/main" id="{00000000-0008-0000-0100-000009000000}"/>
                </a:ext>
              </a:extLst>
            </xdr:cNvPr>
            <xdr:cNvPicPr>
              <a:picLocks noChangeAspect="1"/>
              <a:extLst>
                <a:ext uri="{84589F7E-364E-4C9E-8A38-B11213B215E9}">
                  <a14:cameraTool cellRange="LOUVERIMAGE" spid="_x0000_s126096"/>
                </a:ext>
              </a:extLst>
            </xdr:cNvPicPr>
          </xdr:nvPicPr>
          <xdr:blipFill rotWithShape="1">
            <a:blip xmlns:r="http://schemas.openxmlformats.org/officeDocument/2006/relationships" r:embed="rId2"/>
            <a:srcRect l="4100" t="2484" r="5635" b="2339"/>
            <a:stretch>
              <a:fillRect/>
            </a:stretch>
          </xdr:blipFill>
          <xdr:spPr>
            <a:xfrm>
              <a:off x="5090431" y="851376"/>
              <a:ext cx="1456555" cy="1551855"/>
            </a:xfrm>
            <a:prstGeom prst="rect">
              <a:avLst/>
            </a:prstGeom>
          </xdr:spPr>
        </xdr:pic>
        <xdr:clientData/>
      </xdr:twoCellAnchor>
    </mc:Choice>
    <mc:Fallback/>
  </mc:AlternateContent>
  <xdr:twoCellAnchor>
    <xdr:from>
      <xdr:col>0</xdr:col>
      <xdr:colOff>703384</xdr:colOff>
      <xdr:row>22</xdr:row>
      <xdr:rowOff>124558</xdr:rowOff>
    </xdr:from>
    <xdr:to>
      <xdr:col>1</xdr:col>
      <xdr:colOff>109904</xdr:colOff>
      <xdr:row>23</xdr:row>
      <xdr:rowOff>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703384" y="4850423"/>
          <a:ext cx="31505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a:t>
          </a:r>
        </a:p>
      </xdr:txBody>
    </xdr:sp>
    <xdr:clientData/>
  </xdr:twoCellAnchor>
  <xdr:twoCellAnchor>
    <xdr:from>
      <xdr:col>6</xdr:col>
      <xdr:colOff>228600</xdr:colOff>
      <xdr:row>1</xdr:row>
      <xdr:rowOff>85725</xdr:rowOff>
    </xdr:from>
    <xdr:to>
      <xdr:col>8</xdr:col>
      <xdr:colOff>1076325</xdr:colOff>
      <xdr:row>2</xdr:row>
      <xdr:rowOff>161925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600575" y="276225"/>
          <a:ext cx="199072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panose="020B0604020202020204" pitchFamily="34" charset="0"/>
              <a:cs typeface="Arial" panose="020B0604020202020204" pitchFamily="34" charset="0"/>
            </a:rPr>
            <a:t>Performance Data</a:t>
          </a:r>
        </a:p>
      </xdr:txBody>
    </xdr:sp>
    <xdr:clientData/>
  </xdr:twoCellAnchor>
  <xdr:twoCellAnchor editAs="oneCell">
    <xdr:from>
      <xdr:col>6</xdr:col>
      <xdr:colOff>514350</xdr:colOff>
      <xdr:row>3</xdr:row>
      <xdr:rowOff>209550</xdr:rowOff>
    </xdr:from>
    <xdr:to>
      <xdr:col>8</xdr:col>
      <xdr:colOff>619125</xdr:colOff>
      <xdr:row>11</xdr:row>
      <xdr:rowOff>57150</xdr:rowOff>
    </xdr:to>
    <xdr:sp macro="" textlink="">
      <xdr:nvSpPr>
        <xdr:cNvPr id="125978" name="AutoShape 3098">
          <a:extLst>
            <a:ext uri="{FF2B5EF4-FFF2-40B4-BE49-F238E27FC236}">
              <a16:creationId xmlns:a16="http://schemas.microsoft.com/office/drawing/2014/main" id="{00000000-0008-0000-0100-00001AEC0100}"/>
            </a:ext>
          </a:extLst>
        </xdr:cNvPr>
        <xdr:cNvSpPr>
          <a:spLocks noChangeAspect="1" noChangeArrowheads="1"/>
        </xdr:cNvSpPr>
      </xdr:nvSpPr>
      <xdr:spPr bwMode="auto">
        <a:xfrm>
          <a:off x="5086350" y="847725"/>
          <a:ext cx="1457325" cy="1552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266700</xdr:colOff>
          <xdr:row>26</xdr:row>
          <xdr:rowOff>47625</xdr:rowOff>
        </xdr:from>
        <xdr:to>
          <xdr:col>4</xdr:col>
          <xdr:colOff>704850</xdr:colOff>
          <xdr:row>29</xdr:row>
          <xdr:rowOff>0</xdr:rowOff>
        </xdr:to>
        <xdr:sp macro="" textlink="">
          <xdr:nvSpPr>
            <xdr:cNvPr id="3076" name="List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4</xdr:col>
      <xdr:colOff>1047750</xdr:colOff>
      <xdr:row>26</xdr:row>
      <xdr:rowOff>83344</xdr:rowOff>
    </xdr:from>
    <xdr:ext cx="1564821" cy="2159053"/>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4429125" y="5429250"/>
          <a:ext cx="1564821" cy="2159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THIS IS HERE TO PREVENT</a:t>
          </a:r>
          <a:r>
            <a:rPr lang="en-US" sz="1100" b="1" baseline="0">
              <a:solidFill>
                <a:srgbClr val="FF0000"/>
              </a:solidFill>
            </a:rPr>
            <a:t> ERROR WITH THE DROP DOWN LISTS ON THE DATA ENTRY PAGE. SHOULD NOT NEED TO BE ADJUSTED. IS HERE TO DEAL WITH A GLITCH THAT IS PRESENT IN EXCEL WHEN USING THE IMAGE CALLING FUNCTION AND LISTS.</a:t>
          </a:r>
          <a:endParaRPr lang="en-US" sz="1100" b="1">
            <a:solidFill>
              <a:srgbClr val="FF0000"/>
            </a:solidFill>
          </a:endParaRPr>
        </a:p>
      </xdr:txBody>
    </xdr:sp>
    <xdr:clientData/>
  </xdr:oneCellAnchor>
  <xdr:twoCellAnchor editAs="oneCell">
    <xdr:from>
      <xdr:col>13</xdr:col>
      <xdr:colOff>244929</xdr:colOff>
      <xdr:row>40</xdr:row>
      <xdr:rowOff>1755325</xdr:rowOff>
    </xdr:from>
    <xdr:to>
      <xdr:col>13</xdr:col>
      <xdr:colOff>1564364</xdr:colOff>
      <xdr:row>41</xdr:row>
      <xdr:rowOff>1781146</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1"/>
        <a:srcRect l="-7353" t="-5442" r="-9228" b="-2708"/>
        <a:stretch/>
      </xdr:blipFill>
      <xdr:spPr>
        <a:xfrm>
          <a:off x="10668000" y="30071789"/>
          <a:ext cx="1319435" cy="1890000"/>
        </a:xfrm>
        <a:prstGeom prst="rect">
          <a:avLst/>
        </a:prstGeom>
      </xdr:spPr>
    </xdr:pic>
    <xdr:clientData/>
  </xdr:twoCellAnchor>
  <xdr:twoCellAnchor editAs="oneCell">
    <xdr:from>
      <xdr:col>13</xdr:col>
      <xdr:colOff>299358</xdr:colOff>
      <xdr:row>41</xdr:row>
      <xdr:rowOff>1850573</xdr:rowOff>
    </xdr:from>
    <xdr:to>
      <xdr:col>13</xdr:col>
      <xdr:colOff>1534031</xdr:colOff>
      <xdr:row>42</xdr:row>
      <xdr:rowOff>1862787</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a:stretch>
          <a:fillRect/>
        </a:stretch>
      </xdr:blipFill>
      <xdr:spPr>
        <a:xfrm>
          <a:off x="10722429" y="32031216"/>
          <a:ext cx="1234673" cy="1890000"/>
        </a:xfrm>
        <a:prstGeom prst="rect">
          <a:avLst/>
        </a:prstGeom>
      </xdr:spPr>
    </xdr:pic>
    <xdr:clientData/>
  </xdr:twoCellAnchor>
  <xdr:twoCellAnchor editAs="oneCell">
    <xdr:from>
      <xdr:col>13</xdr:col>
      <xdr:colOff>0</xdr:colOff>
      <xdr:row>28</xdr:row>
      <xdr:rowOff>0</xdr:rowOff>
    </xdr:from>
    <xdr:to>
      <xdr:col>14</xdr:col>
      <xdr:colOff>28576</xdr:colOff>
      <xdr:row>29</xdr:row>
      <xdr:rowOff>28575</xdr:rowOff>
    </xdr:to>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91775" y="5924550"/>
          <a:ext cx="1885951" cy="1885950"/>
        </a:xfrm>
        <a:prstGeom prst="rect">
          <a:avLst/>
        </a:prstGeom>
      </xdr:spPr>
    </xdr:pic>
    <xdr:clientData/>
  </xdr:twoCellAnchor>
  <xdr:twoCellAnchor editAs="oneCell">
    <xdr:from>
      <xdr:col>13</xdr:col>
      <xdr:colOff>0</xdr:colOff>
      <xdr:row>29</xdr:row>
      <xdr:rowOff>0</xdr:rowOff>
    </xdr:from>
    <xdr:to>
      <xdr:col>14</xdr:col>
      <xdr:colOff>9526</xdr:colOff>
      <xdr:row>30</xdr:row>
      <xdr:rowOff>9526</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1775" y="7781925"/>
          <a:ext cx="1866901" cy="1866901"/>
        </a:xfrm>
        <a:prstGeom prst="rect">
          <a:avLst/>
        </a:prstGeom>
      </xdr:spPr>
    </xdr:pic>
    <xdr:clientData/>
  </xdr:twoCellAnchor>
  <xdr:twoCellAnchor editAs="oneCell">
    <xdr:from>
      <xdr:col>13</xdr:col>
      <xdr:colOff>0</xdr:colOff>
      <xdr:row>30</xdr:row>
      <xdr:rowOff>0</xdr:rowOff>
    </xdr:from>
    <xdr:to>
      <xdr:col>14</xdr:col>
      <xdr:colOff>19051</xdr:colOff>
      <xdr:row>31</xdr:row>
      <xdr:rowOff>19049</xdr:rowOff>
    </xdr:to>
    <xdr:pic>
      <xdr:nvPicPr>
        <xdr:cNvPr id="54" name="Pictur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91775" y="9639300"/>
          <a:ext cx="1876426" cy="1876424"/>
        </a:xfrm>
        <a:prstGeom prst="rect">
          <a:avLst/>
        </a:prstGeom>
      </xdr:spPr>
    </xdr:pic>
    <xdr:clientData/>
  </xdr:twoCellAnchor>
  <xdr:twoCellAnchor editAs="oneCell">
    <xdr:from>
      <xdr:col>13</xdr:col>
      <xdr:colOff>0</xdr:colOff>
      <xdr:row>31</xdr:row>
      <xdr:rowOff>0</xdr:rowOff>
    </xdr:from>
    <xdr:to>
      <xdr:col>14</xdr:col>
      <xdr:colOff>19051</xdr:colOff>
      <xdr:row>32</xdr:row>
      <xdr:rowOff>19050</xdr:rowOff>
    </xdr:to>
    <xdr:pic>
      <xdr:nvPicPr>
        <xdr:cNvPr id="55" name="Picture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1775" y="11496675"/>
          <a:ext cx="1876426" cy="1876425"/>
        </a:xfrm>
        <a:prstGeom prst="rect">
          <a:avLst/>
        </a:prstGeom>
      </xdr:spPr>
    </xdr:pic>
    <xdr:clientData/>
  </xdr:twoCellAnchor>
  <xdr:twoCellAnchor editAs="oneCell">
    <xdr:from>
      <xdr:col>13</xdr:col>
      <xdr:colOff>0</xdr:colOff>
      <xdr:row>32</xdr:row>
      <xdr:rowOff>0</xdr:rowOff>
    </xdr:from>
    <xdr:to>
      <xdr:col>14</xdr:col>
      <xdr:colOff>28576</xdr:colOff>
      <xdr:row>33</xdr:row>
      <xdr:rowOff>28576</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391775" y="13354050"/>
          <a:ext cx="1885951" cy="1885951"/>
        </a:xfrm>
        <a:prstGeom prst="rect">
          <a:avLst/>
        </a:prstGeom>
      </xdr:spPr>
    </xdr:pic>
    <xdr:clientData/>
  </xdr:twoCellAnchor>
  <xdr:twoCellAnchor editAs="oneCell">
    <xdr:from>
      <xdr:col>13</xdr:col>
      <xdr:colOff>0</xdr:colOff>
      <xdr:row>33</xdr:row>
      <xdr:rowOff>0</xdr:rowOff>
    </xdr:from>
    <xdr:to>
      <xdr:col>14</xdr:col>
      <xdr:colOff>38101</xdr:colOff>
      <xdr:row>34</xdr:row>
      <xdr:rowOff>38099</xdr:rowOff>
    </xdr:to>
    <xdr:pic>
      <xdr:nvPicPr>
        <xdr:cNvPr id="57" name="Picture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91775" y="15211425"/>
          <a:ext cx="1895476" cy="1895474"/>
        </a:xfrm>
        <a:prstGeom prst="rect">
          <a:avLst/>
        </a:prstGeom>
      </xdr:spPr>
    </xdr:pic>
    <xdr:clientData/>
  </xdr:twoCellAnchor>
  <xdr:twoCellAnchor editAs="oneCell">
    <xdr:from>
      <xdr:col>13</xdr:col>
      <xdr:colOff>0</xdr:colOff>
      <xdr:row>34</xdr:row>
      <xdr:rowOff>0</xdr:rowOff>
    </xdr:from>
    <xdr:to>
      <xdr:col>14</xdr:col>
      <xdr:colOff>9526</xdr:colOff>
      <xdr:row>35</xdr:row>
      <xdr:rowOff>9525</xdr:rowOff>
    </xdr:to>
    <xdr:pic>
      <xdr:nvPicPr>
        <xdr:cNvPr id="58" name="Picture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391775" y="17068800"/>
          <a:ext cx="1866901" cy="1866900"/>
        </a:xfrm>
        <a:prstGeom prst="rect">
          <a:avLst/>
        </a:prstGeom>
      </xdr:spPr>
    </xdr:pic>
    <xdr:clientData/>
  </xdr:twoCellAnchor>
  <xdr:twoCellAnchor editAs="oneCell">
    <xdr:from>
      <xdr:col>13</xdr:col>
      <xdr:colOff>1</xdr:colOff>
      <xdr:row>35</xdr:row>
      <xdr:rowOff>1</xdr:rowOff>
    </xdr:from>
    <xdr:to>
      <xdr:col>14</xdr:col>
      <xdr:colOff>9527</xdr:colOff>
      <xdr:row>36</xdr:row>
      <xdr:rowOff>9527</xdr:rowOff>
    </xdr:to>
    <xdr:pic>
      <xdr:nvPicPr>
        <xdr:cNvPr id="59" name="Picture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91776" y="18926176"/>
          <a:ext cx="1866901" cy="1866901"/>
        </a:xfrm>
        <a:prstGeom prst="rect">
          <a:avLst/>
        </a:prstGeom>
      </xdr:spPr>
    </xdr:pic>
    <xdr:clientData/>
  </xdr:twoCellAnchor>
  <xdr:twoCellAnchor editAs="oneCell">
    <xdr:from>
      <xdr:col>12</xdr:col>
      <xdr:colOff>559595</xdr:colOff>
      <xdr:row>35</xdr:row>
      <xdr:rowOff>1714499</xdr:rowOff>
    </xdr:from>
    <xdr:to>
      <xdr:col>14</xdr:col>
      <xdr:colOff>500064</xdr:colOff>
      <xdr:row>37</xdr:row>
      <xdr:rowOff>169662</xdr:rowOff>
    </xdr:to>
    <xdr:pic>
      <xdr:nvPicPr>
        <xdr:cNvPr id="60" name="Picture 5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855995" y="20640674"/>
          <a:ext cx="2893219" cy="2169913"/>
        </a:xfrm>
        <a:prstGeom prst="rect">
          <a:avLst/>
        </a:prstGeom>
      </xdr:spPr>
    </xdr:pic>
    <xdr:clientData/>
  </xdr:twoCellAnchor>
  <xdr:twoCellAnchor editAs="oneCell">
    <xdr:from>
      <xdr:col>12</xdr:col>
      <xdr:colOff>678658</xdr:colOff>
      <xdr:row>37</xdr:row>
      <xdr:rowOff>1</xdr:rowOff>
    </xdr:from>
    <xdr:to>
      <xdr:col>14</xdr:col>
      <xdr:colOff>250034</xdr:colOff>
      <xdr:row>38</xdr:row>
      <xdr:rowOff>35720</xdr:rowOff>
    </xdr:to>
    <xdr:pic>
      <xdr:nvPicPr>
        <xdr:cNvPr id="61" name="Picture 6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75058" y="22640926"/>
          <a:ext cx="2524126" cy="1893094"/>
        </a:xfrm>
        <a:prstGeom prst="rect">
          <a:avLst/>
        </a:prstGeom>
      </xdr:spPr>
    </xdr:pic>
    <xdr:clientData/>
  </xdr:twoCellAnchor>
  <xdr:twoCellAnchor editAs="oneCell">
    <xdr:from>
      <xdr:col>12</xdr:col>
      <xdr:colOff>583406</xdr:colOff>
      <xdr:row>38</xdr:row>
      <xdr:rowOff>1</xdr:rowOff>
    </xdr:from>
    <xdr:to>
      <xdr:col>14</xdr:col>
      <xdr:colOff>186532</xdr:colOff>
      <xdr:row>39</xdr:row>
      <xdr:rowOff>59533</xdr:rowOff>
    </xdr:to>
    <xdr:pic>
      <xdr:nvPicPr>
        <xdr:cNvPr id="62" name="Picture 6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879806" y="24498301"/>
          <a:ext cx="2555876" cy="1916907"/>
        </a:xfrm>
        <a:prstGeom prst="rect">
          <a:avLst/>
        </a:prstGeom>
      </xdr:spPr>
    </xdr:pic>
    <xdr:clientData/>
  </xdr:twoCellAnchor>
  <xdr:twoCellAnchor editAs="oneCell">
    <xdr:from>
      <xdr:col>12</xdr:col>
      <xdr:colOff>761999</xdr:colOff>
      <xdr:row>39</xdr:row>
      <xdr:rowOff>1</xdr:rowOff>
    </xdr:from>
    <xdr:to>
      <xdr:col>14</xdr:col>
      <xdr:colOff>297656</xdr:colOff>
      <xdr:row>40</xdr:row>
      <xdr:rowOff>8929</xdr:rowOff>
    </xdr:to>
    <xdr:pic>
      <xdr:nvPicPr>
        <xdr:cNvPr id="63" name="Picture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058399" y="26355676"/>
          <a:ext cx="2488407" cy="1866303"/>
        </a:xfrm>
        <a:prstGeom prst="rect">
          <a:avLst/>
        </a:prstGeom>
      </xdr:spPr>
    </xdr:pic>
    <xdr:clientData/>
  </xdr:twoCellAnchor>
  <xdr:twoCellAnchor editAs="oneCell">
    <xdr:from>
      <xdr:col>12</xdr:col>
      <xdr:colOff>714376</xdr:colOff>
      <xdr:row>40</xdr:row>
      <xdr:rowOff>11906</xdr:rowOff>
    </xdr:from>
    <xdr:to>
      <xdr:col>14</xdr:col>
      <xdr:colOff>226221</xdr:colOff>
      <xdr:row>41</xdr:row>
      <xdr:rowOff>2976</xdr:rowOff>
    </xdr:to>
    <xdr:pic>
      <xdr:nvPicPr>
        <xdr:cNvPr id="3072" name="Picture 3071">
          <a:extLst>
            <a:ext uri="{FF2B5EF4-FFF2-40B4-BE49-F238E27FC236}">
              <a16:creationId xmlns:a16="http://schemas.microsoft.com/office/drawing/2014/main" id="{00000000-0008-0000-0300-0000000C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010776" y="28224956"/>
          <a:ext cx="2464595" cy="18484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8</xdr:row>
      <xdr:rowOff>19051</xdr:rowOff>
    </xdr:from>
    <xdr:to>
      <xdr:col>17</xdr:col>
      <xdr:colOff>190500</xdr:colOff>
      <xdr:row>29</xdr:row>
      <xdr:rowOff>74581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4202"/>
        <a:stretch/>
      </xdr:blipFill>
      <xdr:spPr>
        <a:xfrm>
          <a:off x="9525" y="1743076"/>
          <a:ext cx="10858500" cy="4056030"/>
        </a:xfrm>
        <a:prstGeom prst="rect">
          <a:avLst/>
        </a:prstGeom>
        <a:ln>
          <a:solidFill>
            <a:sysClr val="windowText" lastClr="000000"/>
          </a:solidFill>
        </a:ln>
      </xdr:spPr>
    </xdr:pic>
    <xdr:clientData/>
  </xdr:twoCellAnchor>
  <xdr:twoCellAnchor>
    <xdr:from>
      <xdr:col>17</xdr:col>
      <xdr:colOff>285750</xdr:colOff>
      <xdr:row>7</xdr:row>
      <xdr:rowOff>171450</xdr:rowOff>
    </xdr:from>
    <xdr:to>
      <xdr:col>23</xdr:col>
      <xdr:colOff>219075</xdr:colOff>
      <xdr:row>25</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0963275" y="1704975"/>
          <a:ext cx="3590925" cy="32575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Errors based on input appear</a:t>
          </a:r>
          <a:r>
            <a:rPr lang="en-US" sz="1100" b="1" baseline="0"/>
            <a:t> in this section.</a:t>
          </a:r>
        </a:p>
        <a:p>
          <a:r>
            <a:rPr lang="en-US" sz="1100" baseline="0"/>
            <a:t>There are four errors that the calculator identifys:</a:t>
          </a:r>
        </a:p>
        <a:p>
          <a:r>
            <a:rPr lang="en-US" sz="1100" baseline="0"/>
            <a:t>- </a:t>
          </a:r>
          <a:r>
            <a:rPr lang="en-US" sz="1100" u="sng" baseline="0"/>
            <a:t>Louver Width: </a:t>
          </a:r>
          <a:r>
            <a:rPr lang="en-US" sz="1100" u="none" baseline="0"/>
            <a:t>Informs</a:t>
          </a:r>
          <a:r>
            <a:rPr lang="en-US" sz="1100" baseline="0"/>
            <a:t> user if their input is below the mininum standard width for that model of Louver.</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a:t>
          </a:r>
          <a:r>
            <a:rPr lang="en-US" sz="1100" u="sng" baseline="0"/>
            <a:t>Louver Height: </a:t>
          </a:r>
          <a:r>
            <a:rPr lang="en-US" sz="1100" u="none" baseline="0">
              <a:solidFill>
                <a:schemeClr val="dk1"/>
              </a:solidFill>
              <a:effectLst/>
              <a:latin typeface="+mn-lt"/>
              <a:ea typeface="+mn-ea"/>
              <a:cs typeface="+mn-cs"/>
            </a:rPr>
            <a:t>Informs</a:t>
          </a:r>
          <a:r>
            <a:rPr lang="en-US" sz="1100" baseline="0">
              <a:solidFill>
                <a:schemeClr val="dk1"/>
              </a:solidFill>
              <a:effectLst/>
              <a:latin typeface="+mn-lt"/>
              <a:ea typeface="+mn-ea"/>
              <a:cs typeface="+mn-cs"/>
            </a:rPr>
            <a:t> user if their input is below the mininum standard height for that model of Louver.</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100" baseline="0"/>
            <a:t>- </a:t>
          </a:r>
          <a:r>
            <a:rPr lang="en-US" sz="1100" u="sng" baseline="0"/>
            <a:t>Exceeding Water penetration Point/Approaching Water Penetration Point: </a:t>
          </a:r>
          <a:r>
            <a:rPr lang="en-US" sz="1100" u="none" baseline="0"/>
            <a:t>Calculator determines if the inputted configuration results in an air velocity exceeding the water penetration point. Tells user to increase louver size to reduce speed. Also informs when configuration results in an air speed 10% or less of the water penetration point.</a:t>
          </a:r>
          <a:endParaRPr lang="en-US" sz="1100" u="sng" baseline="0"/>
        </a:p>
        <a:p>
          <a:endParaRPr lang="en-US" sz="1100" u="sng" baseline="0"/>
        </a:p>
        <a:p>
          <a:r>
            <a:rPr lang="en-US" sz="1100" baseline="0"/>
            <a:t>- </a:t>
          </a:r>
          <a:r>
            <a:rPr lang="en-US" sz="1100" u="sng" baseline="0"/>
            <a:t>Pressure drop: </a:t>
          </a:r>
          <a:r>
            <a:rPr lang="en-US" sz="1100" u="none" baseline="0"/>
            <a:t>Informs user if they are exceeding the max pressure drop of 25 psi, and to reduce the air volume</a:t>
          </a:r>
          <a:endParaRPr lang="en-US" sz="1100" u="sng" baseline="0"/>
        </a:p>
        <a:p>
          <a:endParaRPr lang="en-US" sz="1100" u="sng"/>
        </a:p>
      </xdr:txBody>
    </xdr:sp>
    <xdr:clientData/>
  </xdr:twoCellAnchor>
  <xdr:twoCellAnchor>
    <xdr:from>
      <xdr:col>12</xdr:col>
      <xdr:colOff>533400</xdr:colOff>
      <xdr:row>8</xdr:row>
      <xdr:rowOff>0</xdr:rowOff>
    </xdr:from>
    <xdr:to>
      <xdr:col>17</xdr:col>
      <xdr:colOff>285750</xdr:colOff>
      <xdr:row>18</xdr:row>
      <xdr:rowOff>9525</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a:off x="8162925" y="1724025"/>
          <a:ext cx="2800350" cy="1914525"/>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266700</xdr:colOff>
      <xdr:row>15</xdr:row>
      <xdr:rowOff>85725</xdr:rowOff>
    </xdr:from>
    <xdr:to>
      <xdr:col>3</xdr:col>
      <xdr:colOff>114301</xdr:colOff>
      <xdr:row>22</xdr:row>
      <xdr:rowOff>66675</xdr:rowOff>
    </xdr:to>
    <xdr:sp macro="" textlink="">
      <xdr:nvSpPr>
        <xdr:cNvPr id="9" name="Rectangle 8">
          <a:extLst>
            <a:ext uri="{FF2B5EF4-FFF2-40B4-BE49-F238E27FC236}">
              <a16:creationId xmlns:a16="http://schemas.microsoft.com/office/drawing/2014/main" id="{00000000-0008-0000-0400-000009000000}"/>
            </a:ext>
          </a:extLst>
        </xdr:cNvPr>
        <xdr:cNvSpPr/>
      </xdr:nvSpPr>
      <xdr:spPr>
        <a:xfrm>
          <a:off x="266700" y="3143250"/>
          <a:ext cx="1990726" cy="13144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171450</xdr:colOff>
      <xdr:row>22</xdr:row>
      <xdr:rowOff>57150</xdr:rowOff>
    </xdr:from>
    <xdr:to>
      <xdr:col>4</xdr:col>
      <xdr:colOff>552450</xdr:colOff>
      <xdr:row>31</xdr:row>
      <xdr:rowOff>95250</xdr:rowOff>
    </xdr:to>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flipH="1" flipV="1">
          <a:off x="1704975" y="4448175"/>
          <a:ext cx="1600200" cy="1752600"/>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200025</xdr:colOff>
      <xdr:row>31</xdr:row>
      <xdr:rowOff>161925</xdr:rowOff>
    </xdr:from>
    <xdr:to>
      <xdr:col>5</xdr:col>
      <xdr:colOff>428625</xdr:colOff>
      <xdr:row>45</xdr:row>
      <xdr:rowOff>133350</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00025" y="6267450"/>
          <a:ext cx="3590925" cy="26384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This is</a:t>
          </a:r>
          <a:r>
            <a:rPr lang="en-US" sz="1100" b="1" baseline="0"/>
            <a:t> the location where users input their values.</a:t>
          </a:r>
        </a:p>
        <a:p>
          <a:r>
            <a:rPr lang="en-US" sz="1100" u="none"/>
            <a:t>There</a:t>
          </a:r>
          <a:r>
            <a:rPr lang="en-US" sz="1100" u="none" baseline="0"/>
            <a:t> are 7 inputs the user must adjust:</a:t>
          </a:r>
        </a:p>
        <a:p>
          <a:r>
            <a:rPr lang="en-US" sz="1100" u="sng" baseline="0"/>
            <a:t>Model: </a:t>
          </a:r>
          <a:r>
            <a:rPr lang="en-US" sz="1100" u="none" baseline="0"/>
            <a:t>Select model type (drop down list)</a:t>
          </a:r>
        </a:p>
        <a:p>
          <a:r>
            <a:rPr lang="en-US" sz="1100" u="sng" baseline="0"/>
            <a:t>Units: </a:t>
          </a:r>
          <a:r>
            <a:rPr lang="en-US" sz="1100" u="none" baseline="0"/>
            <a:t>Inch or mm (drop down list)</a:t>
          </a:r>
        </a:p>
        <a:p>
          <a:r>
            <a:rPr lang="en-US" sz="1100" u="sng" baseline="0"/>
            <a:t>Louver Width: </a:t>
          </a:r>
          <a:r>
            <a:rPr lang="en-US" sz="1100" u="none" baseline="0"/>
            <a:t>Total width of louver (value)</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Louver Height: </a:t>
          </a:r>
          <a:r>
            <a:rPr lang="en-US" sz="1100" baseline="0">
              <a:solidFill>
                <a:schemeClr val="dk1"/>
              </a:solidFill>
              <a:effectLst/>
              <a:latin typeface="+mn-lt"/>
              <a:ea typeface="+mn-ea"/>
              <a:cs typeface="+mn-cs"/>
            </a:rPr>
            <a:t>Total height of louver (value)</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Actual or Nominal: </a:t>
          </a:r>
          <a:r>
            <a:rPr lang="en-US" sz="1100" baseline="0">
              <a:solidFill>
                <a:schemeClr val="dk1"/>
              </a:solidFill>
              <a:effectLst/>
              <a:latin typeface="+mn-lt"/>
              <a:ea typeface="+mn-ea"/>
              <a:cs typeface="+mn-cs"/>
            </a:rPr>
            <a:t>Determine if the width and height values are actual or nominal (reduce values by 0.5") (drop down list)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Air Volume: </a:t>
          </a:r>
          <a:r>
            <a:rPr lang="en-US" sz="1100" u="none" baseline="0">
              <a:solidFill>
                <a:schemeClr val="dk1"/>
              </a:solidFill>
              <a:effectLst/>
              <a:latin typeface="+mn-lt"/>
              <a:ea typeface="+mn-ea"/>
              <a:cs typeface="+mn-cs"/>
            </a:rPr>
            <a:t>Volume flow rate of air passign through louver (value)</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Air Direction: </a:t>
          </a:r>
          <a:r>
            <a:rPr lang="en-US" sz="1100" u="none" baseline="0">
              <a:solidFill>
                <a:schemeClr val="dk1"/>
              </a:solidFill>
              <a:effectLst/>
              <a:latin typeface="+mn-lt"/>
              <a:ea typeface="+mn-ea"/>
              <a:cs typeface="+mn-cs"/>
            </a:rPr>
            <a:t>Whether louver will be an intake or exhaust (if exhaust, water penetration point become N/A on output side) (drop down list)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u="sng">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xdr:from>
      <xdr:col>3</xdr:col>
      <xdr:colOff>380999</xdr:colOff>
      <xdr:row>15</xdr:row>
      <xdr:rowOff>85724</xdr:rowOff>
    </xdr:from>
    <xdr:to>
      <xdr:col>9</xdr:col>
      <xdr:colOff>600074</xdr:colOff>
      <xdr:row>22</xdr:row>
      <xdr:rowOff>114299</xdr:rowOff>
    </xdr:to>
    <xdr:sp macro="" textlink="">
      <xdr:nvSpPr>
        <xdr:cNvPr id="14" name="Rectangle 13">
          <a:extLst>
            <a:ext uri="{FF2B5EF4-FFF2-40B4-BE49-F238E27FC236}">
              <a16:creationId xmlns:a16="http://schemas.microsoft.com/office/drawing/2014/main" id="{00000000-0008-0000-0400-00000E000000}"/>
            </a:ext>
          </a:extLst>
        </xdr:cNvPr>
        <xdr:cNvSpPr/>
      </xdr:nvSpPr>
      <xdr:spPr>
        <a:xfrm>
          <a:off x="2524124" y="3143249"/>
          <a:ext cx="3876675" cy="13620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28575</xdr:colOff>
      <xdr:row>31</xdr:row>
      <xdr:rowOff>171449</xdr:rowOff>
    </xdr:from>
    <xdr:to>
      <xdr:col>17</xdr:col>
      <xdr:colOff>571500</xdr:colOff>
      <xdr:row>56</xdr:row>
      <xdr:rowOff>28574</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7658100" y="6276974"/>
          <a:ext cx="3590925" cy="46196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This is</a:t>
          </a:r>
          <a:r>
            <a:rPr lang="en-US" sz="1100" b="1" baseline="0"/>
            <a:t> the location where the user can see the outputted data:</a:t>
          </a:r>
        </a:p>
        <a:p>
          <a:r>
            <a:rPr lang="en-US" sz="1100" u="none"/>
            <a:t>There</a:t>
          </a:r>
          <a:r>
            <a:rPr lang="en-US" sz="1100" u="none" baseline="0"/>
            <a:t> are 9 outputs that calculator provides the user:</a:t>
          </a:r>
        </a:p>
        <a:p>
          <a:r>
            <a:rPr lang="en-US" sz="1100" u="sng" baseline="0"/>
            <a:t>Model Description: </a:t>
          </a:r>
          <a:endParaRPr lang="en-US" sz="1100" u="none" baseline="0"/>
        </a:p>
        <a:p>
          <a:r>
            <a:rPr lang="en-US" sz="1100" u="sng" baseline="0"/>
            <a:t>Free Area: </a:t>
          </a:r>
          <a:r>
            <a:rPr lang="en-US" sz="1100" u="none" baseline="0"/>
            <a:t>The actual free area in which air can pass through the louver.</a:t>
          </a:r>
        </a:p>
        <a:p>
          <a:r>
            <a:rPr lang="en-US" sz="1100" u="sng" baseline="0"/>
            <a:t>Free Area %: </a:t>
          </a:r>
          <a:r>
            <a:rPr lang="en-US" sz="1100" u="none" baseline="0"/>
            <a:t>Free area divided by face area.</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Free Area Velocity: </a:t>
          </a:r>
          <a:r>
            <a:rPr lang="en-US" sz="1100" u="none" baseline="0">
              <a:solidFill>
                <a:schemeClr val="dk1"/>
              </a:solidFill>
              <a:effectLst/>
              <a:latin typeface="+mn-lt"/>
              <a:ea typeface="+mn-ea"/>
              <a:cs typeface="+mn-cs"/>
            </a:rPr>
            <a:t>Velocity of air passing through louver, green when below water penetration point, yellow when 10% or less than water penetration point, and red when at or exceeding water penetration point</a:t>
          </a: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Water Penetration Point: </a:t>
          </a:r>
          <a:r>
            <a:rPr lang="en-US" sz="1100" baseline="0">
              <a:solidFill>
                <a:schemeClr val="dk1"/>
              </a:solidFill>
              <a:effectLst/>
              <a:latin typeface="+mn-lt"/>
              <a:ea typeface="+mn-ea"/>
              <a:cs typeface="+mn-cs"/>
            </a:rPr>
            <a:t>Velocity of air in which water will begin penetrating inside the louver, based on model.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Pressure Drop: </a:t>
          </a:r>
          <a:r>
            <a:rPr lang="en-US" sz="1100" u="none" baseline="0">
              <a:solidFill>
                <a:schemeClr val="dk1"/>
              </a:solidFill>
              <a:effectLst/>
              <a:latin typeface="+mn-lt"/>
              <a:ea typeface="+mn-ea"/>
              <a:cs typeface="+mn-cs"/>
            </a:rPr>
            <a:t>Provides the pressure drop throught the louver.</a:t>
          </a:r>
          <a:endParaRPr lang="en-US" sz="1100"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Approximate Sections: </a:t>
          </a:r>
          <a:r>
            <a:rPr lang="en-US" sz="1100" u="none" baseline="0">
              <a:solidFill>
                <a:schemeClr val="dk1"/>
              </a:solidFill>
              <a:effectLst/>
              <a:latin typeface="+mn-lt"/>
              <a:ea typeface="+mn-ea"/>
              <a:cs typeface="+mn-cs"/>
            </a:rPr>
            <a:t>Based on model, due to manufactoring limits louvers may have to be split into sections if exceeding a certain size, informs users of approximate number of sections.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Approximate Sections: </a:t>
          </a:r>
          <a:r>
            <a:rPr lang="en-US" sz="1100" u="none" baseline="0">
              <a:solidFill>
                <a:schemeClr val="dk1"/>
              </a:solidFill>
              <a:effectLst/>
              <a:latin typeface="+mn-lt"/>
              <a:ea typeface="+mn-ea"/>
              <a:cs typeface="+mn-cs"/>
            </a:rPr>
            <a:t>Provides weight of one section.</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Approximate Sections: </a:t>
          </a:r>
          <a:r>
            <a:rPr lang="en-US" sz="1100" baseline="0">
              <a:solidFill>
                <a:schemeClr val="dk1"/>
              </a:solidFill>
              <a:effectLst/>
              <a:latin typeface="+mn-lt"/>
              <a:ea typeface="+mn-ea"/>
              <a:cs typeface="+mn-cs"/>
            </a:rPr>
            <a:t>Provides total weight of entire louver.</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u="none">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xdr:from>
      <xdr:col>9</xdr:col>
      <xdr:colOff>314325</xdr:colOff>
      <xdr:row>22</xdr:row>
      <xdr:rowOff>123825</xdr:rowOff>
    </xdr:from>
    <xdr:to>
      <xdr:col>12</xdr:col>
      <xdr:colOff>85725</xdr:colOff>
      <xdr:row>31</xdr:row>
      <xdr:rowOff>161925</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flipH="1" flipV="1">
          <a:off x="6115050" y="4514850"/>
          <a:ext cx="1600200" cy="1752600"/>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9524</xdr:colOff>
      <xdr:row>23</xdr:row>
      <xdr:rowOff>104775</xdr:rowOff>
    </xdr:from>
    <xdr:to>
      <xdr:col>5</xdr:col>
      <xdr:colOff>447674</xdr:colOff>
      <xdr:row>26</xdr:row>
      <xdr:rowOff>38100</xdr:rowOff>
    </xdr:to>
    <xdr:sp macro="" textlink="">
      <xdr:nvSpPr>
        <xdr:cNvPr id="17" name="Rectangle 16">
          <a:extLst>
            <a:ext uri="{FF2B5EF4-FFF2-40B4-BE49-F238E27FC236}">
              <a16:creationId xmlns:a16="http://schemas.microsoft.com/office/drawing/2014/main" id="{00000000-0008-0000-0400-000011000000}"/>
            </a:ext>
          </a:extLst>
        </xdr:cNvPr>
        <xdr:cNvSpPr/>
      </xdr:nvSpPr>
      <xdr:spPr>
        <a:xfrm>
          <a:off x="9524" y="4686300"/>
          <a:ext cx="3800475" cy="5048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85725</xdr:colOff>
      <xdr:row>26</xdr:row>
      <xdr:rowOff>57150</xdr:rowOff>
    </xdr:from>
    <xdr:to>
      <xdr:col>7</xdr:col>
      <xdr:colOff>76200</xdr:colOff>
      <xdr:row>32</xdr:row>
      <xdr:rowOff>28575</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flipH="1" flipV="1">
          <a:off x="3448050" y="5210175"/>
          <a:ext cx="1209675" cy="1114425"/>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571500</xdr:colOff>
      <xdr:row>32</xdr:row>
      <xdr:rowOff>38101</xdr:rowOff>
    </xdr:from>
    <xdr:to>
      <xdr:col>11</xdr:col>
      <xdr:colOff>238125</xdr:colOff>
      <xdr:row>35</xdr:row>
      <xdr:rowOff>104775</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3933825" y="6334126"/>
          <a:ext cx="3324225" cy="63817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Note that informs user of minimum standard</a:t>
          </a:r>
          <a:r>
            <a:rPr lang="en-US" sz="1100" b="1" baseline="0"/>
            <a:t> size of louver based on their input for the model type.</a:t>
          </a:r>
        </a:p>
        <a:p>
          <a:pPr marL="0" marR="0" lvl="0" indent="0" defTabSz="914400" eaLnBrk="1" fontAlgn="auto" latinLnBrk="0" hangingPunct="1">
            <a:lnSpc>
              <a:spcPct val="100000"/>
            </a:lnSpc>
            <a:spcBef>
              <a:spcPts val="0"/>
            </a:spcBef>
            <a:spcAft>
              <a:spcPts val="0"/>
            </a:spcAft>
            <a:buClrTx/>
            <a:buSzTx/>
            <a:buFontTx/>
            <a:buNone/>
            <a:tabLst/>
            <a:defRPr/>
          </a:pPr>
          <a:endParaRPr lang="en-US" u="sng">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editAs="oneCell">
    <xdr:from>
      <xdr:col>19</xdr:col>
      <xdr:colOff>24492</xdr:colOff>
      <xdr:row>27</xdr:row>
      <xdr:rowOff>59872</xdr:rowOff>
    </xdr:from>
    <xdr:to>
      <xdr:col>37</xdr:col>
      <xdr:colOff>428255</xdr:colOff>
      <xdr:row>44</xdr:row>
      <xdr:rowOff>13607</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stretch>
          <a:fillRect/>
        </a:stretch>
      </xdr:blipFill>
      <xdr:spPr>
        <a:xfrm>
          <a:off x="11921217" y="5403397"/>
          <a:ext cx="11376563" cy="3192235"/>
        </a:xfrm>
        <a:prstGeom prst="rect">
          <a:avLst/>
        </a:prstGeom>
        <a:ln>
          <a:solidFill>
            <a:sysClr val="windowText" lastClr="000000"/>
          </a:solidFill>
        </a:ln>
      </xdr:spPr>
    </xdr:pic>
    <xdr:clientData/>
  </xdr:twoCellAnchor>
  <xdr:twoCellAnchor editAs="oneCell">
    <xdr:from>
      <xdr:col>13</xdr:col>
      <xdr:colOff>9525</xdr:colOff>
      <xdr:row>67</xdr:row>
      <xdr:rowOff>19050</xdr:rowOff>
    </xdr:from>
    <xdr:to>
      <xdr:col>20</xdr:col>
      <xdr:colOff>351849</xdr:colOff>
      <xdr:row>103</xdr:row>
      <xdr:rowOff>103907</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3"/>
        <a:stretch>
          <a:fillRect/>
        </a:stretch>
      </xdr:blipFill>
      <xdr:spPr>
        <a:xfrm>
          <a:off x="8248650" y="13001625"/>
          <a:ext cx="4609524" cy="6942857"/>
        </a:xfrm>
        <a:prstGeom prst="rect">
          <a:avLst/>
        </a:prstGeom>
      </xdr:spPr>
    </xdr:pic>
    <xdr:clientData/>
  </xdr:twoCellAnchor>
  <xdr:twoCellAnchor>
    <xdr:from>
      <xdr:col>7</xdr:col>
      <xdr:colOff>209551</xdr:colOff>
      <xdr:row>66</xdr:row>
      <xdr:rowOff>57150</xdr:rowOff>
    </xdr:from>
    <xdr:to>
      <xdr:col>12</xdr:col>
      <xdr:colOff>1</xdr:colOff>
      <xdr:row>80</xdr:row>
      <xdr:rowOff>28575</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791076" y="12849225"/>
          <a:ext cx="2838450" cy="26384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u="none">
              <a:effectLst/>
            </a:rPr>
            <a:t>This</a:t>
          </a:r>
          <a:r>
            <a:rPr lang="en-US" sz="1100" b="1" u="none" baseline="0">
              <a:effectLst/>
            </a:rPr>
            <a:t> summary sheet provides an overview of the configuration the user inputted in the "CALCULATOR" Tab.</a:t>
          </a:r>
        </a:p>
        <a:p>
          <a:endParaRPr lang="en-US" sz="1100" b="1" u="none" baseline="0">
            <a:effectLst/>
          </a:endParaRPr>
        </a:p>
        <a:p>
          <a:r>
            <a:rPr lang="en-US" sz="1100" b="1" u="none" baseline="0">
              <a:effectLst/>
            </a:rPr>
            <a:t>The information matches the information provides as outputs on the previous Tab.</a:t>
          </a:r>
        </a:p>
        <a:p>
          <a:endParaRPr lang="en-US" sz="1100" b="1" u="none" baseline="0">
            <a:effectLst/>
          </a:endParaRPr>
        </a:p>
        <a:p>
          <a:r>
            <a:rPr lang="en-US" sz="1100" b="1" u="none" baseline="0">
              <a:effectLst/>
            </a:rPr>
            <a:t>An image of the model is also provided.</a:t>
          </a:r>
        </a:p>
        <a:p>
          <a:endParaRPr lang="en-US" sz="1100" b="1" u="none" baseline="0">
            <a:effectLst/>
          </a:endParaRPr>
        </a:p>
        <a:p>
          <a:r>
            <a:rPr lang="en-US" sz="1100" b="1" u="none" baseline="0">
              <a:effectLst/>
            </a:rPr>
            <a:t>If errors are present with inputted  configuration, a "Warnings" dialog will appear on the document.</a:t>
          </a:r>
          <a:endParaRPr lang="en-US" u="sng">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editAs="oneCell">
    <xdr:from>
      <xdr:col>0</xdr:col>
      <xdr:colOff>0</xdr:colOff>
      <xdr:row>66</xdr:row>
      <xdr:rowOff>12700</xdr:rowOff>
    </xdr:from>
    <xdr:to>
      <xdr:col>7</xdr:col>
      <xdr:colOff>18475</xdr:colOff>
      <xdr:row>102</xdr:row>
      <xdr:rowOff>97557</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a:stretch>
          <a:fillRect/>
        </a:stretch>
      </xdr:blipFill>
      <xdr:spPr>
        <a:xfrm>
          <a:off x="0" y="12887325"/>
          <a:ext cx="4558725" cy="6942857"/>
        </a:xfrm>
        <a:prstGeom prst="rect">
          <a:avLst/>
        </a:prstGeom>
      </xdr:spPr>
    </xdr:pic>
    <xdr:clientData/>
  </xdr:twoCellAnchor>
  <xdr:twoCellAnchor editAs="oneCell">
    <xdr:from>
      <xdr:col>0</xdr:col>
      <xdr:colOff>0</xdr:colOff>
      <xdr:row>108</xdr:row>
      <xdr:rowOff>1</xdr:rowOff>
    </xdr:from>
    <xdr:to>
      <xdr:col>28</xdr:col>
      <xdr:colOff>137583</xdr:colOff>
      <xdr:row>123</xdr:row>
      <xdr:rowOff>105835</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5"/>
        <a:srcRect r="1262" b="53560"/>
        <a:stretch/>
      </xdr:blipFill>
      <xdr:spPr>
        <a:xfrm>
          <a:off x="0" y="20806834"/>
          <a:ext cx="17631833" cy="2963334"/>
        </a:xfrm>
        <a:prstGeom prst="rect">
          <a:avLst/>
        </a:prstGeom>
        <a:ln>
          <a:solidFill>
            <a:sysClr val="windowText" lastClr="000000"/>
          </a:solidFill>
        </a:ln>
      </xdr:spPr>
    </xdr:pic>
    <xdr:clientData/>
  </xdr:twoCellAnchor>
  <xdr:twoCellAnchor editAs="oneCell">
    <xdr:from>
      <xdr:col>14</xdr:col>
      <xdr:colOff>299357</xdr:colOff>
      <xdr:row>149</xdr:row>
      <xdr:rowOff>40821</xdr:rowOff>
    </xdr:from>
    <xdr:to>
      <xdr:col>23</xdr:col>
      <xdr:colOff>598714</xdr:colOff>
      <xdr:row>183</xdr:row>
      <xdr:rowOff>26693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6"/>
        <a:srcRect l="1787" t="1936" r="1914"/>
        <a:stretch/>
      </xdr:blipFill>
      <xdr:spPr>
        <a:xfrm>
          <a:off x="9184821" y="28683857"/>
          <a:ext cx="5810250" cy="6462872"/>
        </a:xfrm>
        <a:prstGeom prst="rect">
          <a:avLst/>
        </a:prstGeom>
      </xdr:spPr>
    </xdr:pic>
    <xdr:clientData/>
  </xdr:twoCellAnchor>
  <xdr:twoCellAnchor editAs="oneCell">
    <xdr:from>
      <xdr:col>27</xdr:col>
      <xdr:colOff>250825</xdr:colOff>
      <xdr:row>150</xdr:row>
      <xdr:rowOff>156633</xdr:rowOff>
    </xdr:from>
    <xdr:to>
      <xdr:col>37</xdr:col>
      <xdr:colOff>170705</xdr:colOff>
      <xdr:row>176</xdr:row>
      <xdr:rowOff>175062</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7"/>
        <a:stretch>
          <a:fillRect/>
        </a:stretch>
      </xdr:blipFill>
      <xdr:spPr>
        <a:xfrm>
          <a:off x="16856075" y="28985633"/>
          <a:ext cx="5952380" cy="4971429"/>
        </a:xfrm>
        <a:prstGeom prst="rect">
          <a:avLst/>
        </a:prstGeom>
        <a:ln>
          <a:solidFill>
            <a:sysClr val="windowText" lastClr="000000"/>
          </a:solidFill>
        </a:ln>
      </xdr:spPr>
    </xdr:pic>
    <xdr:clientData/>
  </xdr:twoCellAnchor>
  <xdr:twoCellAnchor editAs="oneCell">
    <xdr:from>
      <xdr:col>14</xdr:col>
      <xdr:colOff>232834</xdr:colOff>
      <xdr:row>134</xdr:row>
      <xdr:rowOff>63501</xdr:rowOff>
    </xdr:from>
    <xdr:to>
      <xdr:col>19</xdr:col>
      <xdr:colOff>354543</xdr:colOff>
      <xdr:row>148</xdr:row>
      <xdr:rowOff>119853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5"/>
        <a:srcRect l="9884" t="57321" r="72137"/>
        <a:stretch/>
      </xdr:blipFill>
      <xdr:spPr>
        <a:xfrm>
          <a:off x="9133417" y="25823334"/>
          <a:ext cx="3190876" cy="2723352"/>
        </a:xfrm>
        <a:prstGeom prst="rect">
          <a:avLst/>
        </a:prstGeom>
      </xdr:spPr>
    </xdr:pic>
    <xdr:clientData/>
  </xdr:twoCellAnchor>
  <xdr:twoCellAnchor>
    <xdr:from>
      <xdr:col>0</xdr:col>
      <xdr:colOff>169334</xdr:colOff>
      <xdr:row>124</xdr:row>
      <xdr:rowOff>31751</xdr:rowOff>
    </xdr:from>
    <xdr:to>
      <xdr:col>3</xdr:col>
      <xdr:colOff>391583</xdr:colOff>
      <xdr:row>145</xdr:row>
      <xdr:rowOff>116417</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69334" y="23886584"/>
          <a:ext cx="2370666" cy="408516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Model Names:</a:t>
          </a:r>
          <a:endParaRPr lang="en-US">
            <a:effectLst/>
          </a:endParaRPr>
        </a:p>
        <a:p>
          <a:r>
            <a:rPr lang="en-US" sz="1100" b="0">
              <a:solidFill>
                <a:schemeClr val="dk1"/>
              </a:solidFill>
              <a:effectLst/>
              <a:latin typeface="+mn-lt"/>
              <a:ea typeface="+mn-ea"/>
              <a:cs typeface="+mn-cs"/>
            </a:rPr>
            <a:t>This</a:t>
          </a:r>
          <a:r>
            <a:rPr lang="en-US" sz="1100" b="0" baseline="0">
              <a:solidFill>
                <a:schemeClr val="dk1"/>
              </a:solidFill>
              <a:effectLst/>
              <a:latin typeface="+mn-lt"/>
              <a:ea typeface="+mn-ea"/>
              <a:cs typeface="+mn-cs"/>
            </a:rPr>
            <a:t> is where the calculator stores all the names of the models for the drop down list. If a new model is to be added it must be added to this list.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r>
            <a:rPr lang="en-US" sz="1100" u="sng"/>
            <a:t>To Add Model:</a:t>
          </a:r>
        </a:p>
        <a:p>
          <a:r>
            <a:rPr lang="en-US" sz="1100" u="none" baseline="0"/>
            <a:t>1 - Add name of model to bottom or list (ex. ABC123)</a:t>
          </a:r>
        </a:p>
        <a:p>
          <a:r>
            <a:rPr lang="en-US" sz="1100" u="none" baseline="0"/>
            <a:t>2 -At top of page press "Formulas"; then click "Name Manager</a:t>
          </a:r>
        </a:p>
        <a:p>
          <a:r>
            <a:rPr lang="en-US" sz="1100" u="none" baseline="0"/>
            <a:t>3 - Select "MODELS" and press "Edit..."</a:t>
          </a:r>
        </a:p>
        <a:p>
          <a:r>
            <a:rPr lang="en-US" sz="1100" u="none" baseline="0"/>
            <a:t>4- Change the "Refers to:" range so that it includes the newly added model.</a:t>
          </a:r>
        </a:p>
        <a:p>
          <a:endParaRPr lang="en-US" sz="1100" u="none"/>
        </a:p>
      </xdr:txBody>
    </xdr:sp>
    <xdr:clientData/>
  </xdr:twoCellAnchor>
  <xdr:twoCellAnchor>
    <xdr:from>
      <xdr:col>1</xdr:col>
      <xdr:colOff>412750</xdr:colOff>
      <xdr:row>120</xdr:row>
      <xdr:rowOff>116417</xdr:rowOff>
    </xdr:from>
    <xdr:to>
      <xdr:col>2</xdr:col>
      <xdr:colOff>158750</xdr:colOff>
      <xdr:row>124</xdr:row>
      <xdr:rowOff>0</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flipH="1" flipV="1">
          <a:off x="1333500" y="23209250"/>
          <a:ext cx="359833"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0</xdr:col>
      <xdr:colOff>158750</xdr:colOff>
      <xdr:row>146</xdr:row>
      <xdr:rowOff>169333</xdr:rowOff>
    </xdr:from>
    <xdr:to>
      <xdr:col>3</xdr:col>
      <xdr:colOff>505571</xdr:colOff>
      <xdr:row>164</xdr:row>
      <xdr:rowOff>187952</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8"/>
        <a:stretch>
          <a:fillRect/>
        </a:stretch>
      </xdr:blipFill>
      <xdr:spPr>
        <a:xfrm>
          <a:off x="158750" y="28215166"/>
          <a:ext cx="2495238" cy="3447619"/>
        </a:xfrm>
        <a:prstGeom prst="rect">
          <a:avLst/>
        </a:prstGeom>
        <a:ln>
          <a:solidFill>
            <a:sysClr val="windowText" lastClr="000000"/>
          </a:solidFill>
        </a:ln>
      </xdr:spPr>
    </xdr:pic>
    <xdr:clientData/>
  </xdr:twoCellAnchor>
  <xdr:twoCellAnchor editAs="oneCell">
    <xdr:from>
      <xdr:col>4</xdr:col>
      <xdr:colOff>201084</xdr:colOff>
      <xdr:row>145</xdr:row>
      <xdr:rowOff>105833</xdr:rowOff>
    </xdr:from>
    <xdr:to>
      <xdr:col>12</xdr:col>
      <xdr:colOff>471369</xdr:colOff>
      <xdr:row>154</xdr:row>
      <xdr:rowOff>58000</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9"/>
        <a:stretch>
          <a:fillRect/>
        </a:stretch>
      </xdr:blipFill>
      <xdr:spPr>
        <a:xfrm>
          <a:off x="2963334" y="27961166"/>
          <a:ext cx="5180952" cy="1666667"/>
        </a:xfrm>
        <a:prstGeom prst="rect">
          <a:avLst/>
        </a:prstGeom>
        <a:ln>
          <a:solidFill>
            <a:sysClr val="windowText" lastClr="000000"/>
          </a:solidFill>
        </a:ln>
      </xdr:spPr>
    </xdr:pic>
    <xdr:clientData/>
  </xdr:twoCellAnchor>
  <xdr:twoCellAnchor editAs="oneCell">
    <xdr:from>
      <xdr:col>0</xdr:col>
      <xdr:colOff>508000</xdr:colOff>
      <xdr:row>166</xdr:row>
      <xdr:rowOff>0</xdr:rowOff>
    </xdr:from>
    <xdr:to>
      <xdr:col>8</xdr:col>
      <xdr:colOff>499941</xdr:colOff>
      <xdr:row>181</xdr:row>
      <xdr:rowOff>123452</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0"/>
        <a:stretch>
          <a:fillRect/>
        </a:stretch>
      </xdr:blipFill>
      <xdr:spPr>
        <a:xfrm>
          <a:off x="508000" y="31855833"/>
          <a:ext cx="5209524" cy="2980952"/>
        </a:xfrm>
        <a:prstGeom prst="rect">
          <a:avLst/>
        </a:prstGeom>
        <a:ln>
          <a:solidFill>
            <a:sysClr val="windowText" lastClr="000000"/>
          </a:solidFill>
        </a:ln>
      </xdr:spPr>
    </xdr:pic>
    <xdr:clientData/>
  </xdr:twoCellAnchor>
  <xdr:twoCellAnchor editAs="oneCell">
    <xdr:from>
      <xdr:col>4</xdr:col>
      <xdr:colOff>116417</xdr:colOff>
      <xdr:row>154</xdr:row>
      <xdr:rowOff>137586</xdr:rowOff>
    </xdr:from>
    <xdr:to>
      <xdr:col>12</xdr:col>
      <xdr:colOff>386702</xdr:colOff>
      <xdr:row>165</xdr:row>
      <xdr:rowOff>3991</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1"/>
        <a:stretch>
          <a:fillRect/>
        </a:stretch>
      </xdr:blipFill>
      <xdr:spPr>
        <a:xfrm>
          <a:off x="2878667" y="29707419"/>
          <a:ext cx="5180952" cy="1961905"/>
        </a:xfrm>
        <a:prstGeom prst="rect">
          <a:avLst/>
        </a:prstGeom>
        <a:ln>
          <a:solidFill>
            <a:sysClr val="windowText" lastClr="000000"/>
          </a:solidFill>
        </a:ln>
      </xdr:spPr>
    </xdr:pic>
    <xdr:clientData/>
  </xdr:twoCellAnchor>
  <xdr:twoCellAnchor>
    <xdr:from>
      <xdr:col>0</xdr:col>
      <xdr:colOff>370417</xdr:colOff>
      <xdr:row>150</xdr:row>
      <xdr:rowOff>10583</xdr:rowOff>
    </xdr:from>
    <xdr:to>
      <xdr:col>1</xdr:col>
      <xdr:colOff>148167</xdr:colOff>
      <xdr:row>152</xdr:row>
      <xdr:rowOff>0</xdr:rowOff>
    </xdr:to>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370417" y="28818416"/>
          <a:ext cx="698500" cy="37041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1</a:t>
          </a:r>
          <a:endParaRPr lang="en-US" sz="1400" b="1" u="sng"/>
        </a:p>
      </xdr:txBody>
    </xdr:sp>
    <xdr:clientData/>
  </xdr:twoCellAnchor>
  <xdr:twoCellAnchor>
    <xdr:from>
      <xdr:col>6</xdr:col>
      <xdr:colOff>258234</xdr:colOff>
      <xdr:row>147</xdr:row>
      <xdr:rowOff>120650</xdr:rowOff>
    </xdr:from>
    <xdr:to>
      <xdr:col>7</xdr:col>
      <xdr:colOff>342901</xdr:colOff>
      <xdr:row>149</xdr:row>
      <xdr:rowOff>110067</xdr:rowOff>
    </xdr:to>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4248151" y="28356983"/>
          <a:ext cx="698500"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2</a:t>
          </a:r>
          <a:endParaRPr lang="en-US" sz="1400" b="1" u="sng"/>
        </a:p>
      </xdr:txBody>
    </xdr:sp>
    <xdr:clientData/>
  </xdr:twoCellAnchor>
  <xdr:twoCellAnchor>
    <xdr:from>
      <xdr:col>8</xdr:col>
      <xdr:colOff>93135</xdr:colOff>
      <xdr:row>155</xdr:row>
      <xdr:rowOff>50800</xdr:rowOff>
    </xdr:from>
    <xdr:to>
      <xdr:col>9</xdr:col>
      <xdr:colOff>177801</xdr:colOff>
      <xdr:row>157</xdr:row>
      <xdr:rowOff>40217</xdr:rowOff>
    </xdr:to>
    <xdr:sp macro="" textlink="">
      <xdr:nvSpPr>
        <xdr:cNvPr id="44" name="TextBox 43">
          <a:extLst>
            <a:ext uri="{FF2B5EF4-FFF2-40B4-BE49-F238E27FC236}">
              <a16:creationId xmlns:a16="http://schemas.microsoft.com/office/drawing/2014/main" id="{00000000-0008-0000-0400-00002C000000}"/>
            </a:ext>
          </a:extLst>
        </xdr:cNvPr>
        <xdr:cNvSpPr txBox="1"/>
      </xdr:nvSpPr>
      <xdr:spPr>
        <a:xfrm>
          <a:off x="5310718" y="29811133"/>
          <a:ext cx="698500"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3</a:t>
          </a:r>
          <a:endParaRPr lang="en-US" sz="1400" b="1" u="sng"/>
        </a:p>
      </xdr:txBody>
    </xdr:sp>
    <xdr:clientData/>
  </xdr:twoCellAnchor>
  <xdr:twoCellAnchor>
    <xdr:from>
      <xdr:col>6</xdr:col>
      <xdr:colOff>203201</xdr:colOff>
      <xdr:row>171</xdr:row>
      <xdr:rowOff>118533</xdr:rowOff>
    </xdr:from>
    <xdr:to>
      <xdr:col>7</xdr:col>
      <xdr:colOff>287868</xdr:colOff>
      <xdr:row>173</xdr:row>
      <xdr:rowOff>107950</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93118" y="32926866"/>
          <a:ext cx="698500"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4</a:t>
          </a:r>
          <a:endParaRPr lang="en-US" sz="1400" b="1" u="sng"/>
        </a:p>
      </xdr:txBody>
    </xdr:sp>
    <xdr:clientData/>
  </xdr:twoCellAnchor>
  <xdr:twoCellAnchor>
    <xdr:from>
      <xdr:col>4</xdr:col>
      <xdr:colOff>137583</xdr:colOff>
      <xdr:row>124</xdr:row>
      <xdr:rowOff>21167</xdr:rowOff>
    </xdr:from>
    <xdr:to>
      <xdr:col>8</xdr:col>
      <xdr:colOff>52916</xdr:colOff>
      <xdr:row>128</xdr:row>
      <xdr:rowOff>137584</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2899833" y="23876000"/>
          <a:ext cx="2370666" cy="87841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OTHER</a:t>
          </a:r>
          <a:r>
            <a:rPr lang="en-US" sz="1100" b="1" baseline="0">
              <a:solidFill>
                <a:schemeClr val="dk1"/>
              </a:solidFill>
              <a:effectLst/>
              <a:latin typeface="+mn-lt"/>
              <a:ea typeface="+mn-ea"/>
              <a:cs typeface="+mn-cs"/>
            </a:rPr>
            <a:t> INPUT DROP DOWN LIST:</a:t>
          </a:r>
          <a:endParaRPr lang="en-US">
            <a:effectLst/>
          </a:endParaRPr>
        </a:p>
        <a:p>
          <a:r>
            <a:rPr lang="en-US" sz="1100" b="0">
              <a:solidFill>
                <a:schemeClr val="dk1"/>
              </a:solidFill>
              <a:effectLst/>
              <a:latin typeface="+mn-lt"/>
              <a:ea typeface="+mn-ea"/>
              <a:cs typeface="+mn-cs"/>
            </a:rPr>
            <a:t>Where</a:t>
          </a:r>
          <a:r>
            <a:rPr lang="en-US" sz="1100" b="0" baseline="0">
              <a:solidFill>
                <a:schemeClr val="dk1"/>
              </a:solidFill>
              <a:effectLst/>
              <a:latin typeface="+mn-lt"/>
              <a:ea typeface="+mn-ea"/>
              <a:cs typeface="+mn-cs"/>
            </a:rPr>
            <a:t> input drop down lists are stored, </a:t>
          </a:r>
          <a:r>
            <a:rPr lang="en-US" sz="1100" b="1" baseline="0">
              <a:solidFill>
                <a:schemeClr val="dk1"/>
              </a:solidFill>
              <a:effectLst/>
              <a:latin typeface="+mn-lt"/>
              <a:ea typeface="+mn-ea"/>
              <a:cs typeface="+mn-cs"/>
            </a:rPr>
            <a:t>does not need to be changed.</a:t>
          </a:r>
          <a:endParaRPr lang="en-US" sz="1100" b="1" u="none"/>
        </a:p>
      </xdr:txBody>
    </xdr:sp>
    <xdr:clientData/>
  </xdr:twoCellAnchor>
  <xdr:twoCellAnchor>
    <xdr:from>
      <xdr:col>4</xdr:col>
      <xdr:colOff>4234</xdr:colOff>
      <xdr:row>120</xdr:row>
      <xdr:rowOff>131234</xdr:rowOff>
    </xdr:from>
    <xdr:to>
      <xdr:col>4</xdr:col>
      <xdr:colOff>364067</xdr:colOff>
      <xdr:row>124</xdr:row>
      <xdr:rowOff>14817</xdr:rowOff>
    </xdr:to>
    <xdr:cxnSp macro="">
      <xdr:nvCxnSpPr>
        <xdr:cNvPr id="47" name="Straight Arrow Connector 46">
          <a:extLst>
            <a:ext uri="{FF2B5EF4-FFF2-40B4-BE49-F238E27FC236}">
              <a16:creationId xmlns:a16="http://schemas.microsoft.com/office/drawing/2014/main" id="{00000000-0008-0000-0400-00002F000000}"/>
            </a:ext>
          </a:extLst>
        </xdr:cNvPr>
        <xdr:cNvCxnSpPr/>
      </xdr:nvCxnSpPr>
      <xdr:spPr>
        <a:xfrm flipH="1" flipV="1">
          <a:off x="2766484" y="23224067"/>
          <a:ext cx="359833"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237066</xdr:colOff>
      <xdr:row>124</xdr:row>
      <xdr:rowOff>110068</xdr:rowOff>
    </xdr:from>
    <xdr:to>
      <xdr:col>12</xdr:col>
      <xdr:colOff>254000</xdr:colOff>
      <xdr:row>134</xdr:row>
      <xdr:rowOff>127000</xdr:rowOff>
    </xdr:to>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5380566" y="24049568"/>
          <a:ext cx="2429934" cy="192193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Water</a:t>
          </a:r>
          <a:r>
            <a:rPr lang="en-US" sz="1100" b="1" baseline="0">
              <a:solidFill>
                <a:schemeClr val="dk1"/>
              </a:solidFill>
              <a:effectLst/>
              <a:latin typeface="+mn-lt"/>
              <a:ea typeface="+mn-ea"/>
              <a:cs typeface="+mn-cs"/>
            </a:rPr>
            <a:t> Penetration Point:</a:t>
          </a:r>
        </a:p>
        <a:p>
          <a:r>
            <a:rPr lang="en-US" sz="1100" b="0" u="none" baseline="0">
              <a:solidFill>
                <a:schemeClr val="dk1"/>
              </a:solidFill>
              <a:effectLst/>
              <a:latin typeface="+mn-lt"/>
              <a:ea typeface="+mn-ea"/>
              <a:cs typeface="+mn-cs"/>
            </a:rPr>
            <a:t>Location of water penetration point values for each model are stored. </a:t>
          </a:r>
        </a:p>
        <a:p>
          <a:endParaRPr lang="en-US" sz="1100" b="0" u="none" baseline="0">
            <a:solidFill>
              <a:schemeClr val="dk1"/>
            </a:solidFill>
            <a:effectLst/>
            <a:latin typeface="+mn-lt"/>
            <a:ea typeface="+mn-ea"/>
            <a:cs typeface="+mn-cs"/>
          </a:endParaRPr>
        </a:p>
        <a:p>
          <a:r>
            <a:rPr lang="en-US" sz="1100" b="0" u="none" baseline="0">
              <a:solidFill>
                <a:schemeClr val="dk1"/>
              </a:solidFill>
              <a:effectLst/>
              <a:latin typeface="+mn-lt"/>
              <a:ea typeface="+mn-ea"/>
              <a:cs typeface="+mn-cs"/>
            </a:rPr>
            <a:t>*If a </a:t>
          </a:r>
          <a:r>
            <a:rPr lang="en-US" sz="1100" b="1" u="sng" baseline="0">
              <a:solidFill>
                <a:schemeClr val="dk1"/>
              </a:solidFill>
              <a:effectLst/>
              <a:latin typeface="+mn-lt"/>
              <a:ea typeface="+mn-ea"/>
              <a:cs typeface="+mn-cs"/>
            </a:rPr>
            <a:t>new model </a:t>
          </a:r>
          <a:r>
            <a:rPr lang="en-US" sz="1100" b="0" u="none" baseline="0">
              <a:solidFill>
                <a:schemeClr val="dk1"/>
              </a:solidFill>
              <a:effectLst/>
              <a:latin typeface="+mn-lt"/>
              <a:ea typeface="+mn-ea"/>
              <a:cs typeface="+mn-cs"/>
            </a:rPr>
            <a:t>is added, the water penetration point value </a:t>
          </a:r>
          <a:r>
            <a:rPr lang="en-US" sz="1100" b="1" u="sng" baseline="0">
              <a:solidFill>
                <a:schemeClr val="dk1"/>
              </a:solidFill>
              <a:effectLst/>
              <a:latin typeface="+mn-lt"/>
              <a:ea typeface="+mn-ea"/>
              <a:cs typeface="+mn-cs"/>
            </a:rPr>
            <a:t>must be added </a:t>
          </a:r>
          <a:r>
            <a:rPr lang="en-US" sz="1100" b="0" u="none" baseline="0">
              <a:solidFill>
                <a:schemeClr val="dk1"/>
              </a:solidFill>
              <a:effectLst/>
              <a:latin typeface="+mn-lt"/>
              <a:ea typeface="+mn-ea"/>
              <a:cs typeface="+mn-cs"/>
            </a:rPr>
            <a:t>as well. </a:t>
          </a:r>
          <a:r>
            <a:rPr lang="en-US" sz="1100" b="1" u="none" baseline="0">
              <a:solidFill>
                <a:schemeClr val="dk1"/>
              </a:solidFill>
              <a:effectLst/>
              <a:latin typeface="+mn-lt"/>
              <a:ea typeface="+mn-ea"/>
              <a:cs typeface="+mn-cs"/>
            </a:rPr>
            <a:t>ALSO ADJUST FORMULA ON DATA ENTRY TAB TO INCLUDE NEW VALUES (cell: F12)</a:t>
          </a:r>
        </a:p>
        <a:p>
          <a:endParaRPr lang="en-US" sz="1100" b="0" u="none"/>
        </a:p>
      </xdr:txBody>
    </xdr:sp>
    <xdr:clientData/>
  </xdr:twoCellAnchor>
  <xdr:twoCellAnchor>
    <xdr:from>
      <xdr:col>8</xdr:col>
      <xdr:colOff>10584</xdr:colOff>
      <xdr:row>120</xdr:row>
      <xdr:rowOff>91017</xdr:rowOff>
    </xdr:from>
    <xdr:to>
      <xdr:col>8</xdr:col>
      <xdr:colOff>442385</xdr:colOff>
      <xdr:row>124</xdr:row>
      <xdr:rowOff>103718</xdr:rowOff>
    </xdr:to>
    <xdr:cxnSp macro="">
      <xdr:nvCxnSpPr>
        <xdr:cNvPr id="49" name="Straight Arrow Connector 48">
          <a:extLst>
            <a:ext uri="{FF2B5EF4-FFF2-40B4-BE49-F238E27FC236}">
              <a16:creationId xmlns:a16="http://schemas.microsoft.com/office/drawing/2014/main" id="{00000000-0008-0000-0400-000031000000}"/>
            </a:ext>
          </a:extLst>
        </xdr:cNvPr>
        <xdr:cNvCxnSpPr/>
      </xdr:nvCxnSpPr>
      <xdr:spPr>
        <a:xfrm flipH="1" flipV="1">
          <a:off x="5228167" y="23183850"/>
          <a:ext cx="431801" cy="774701"/>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13</xdr:col>
      <xdr:colOff>395816</xdr:colOff>
      <xdr:row>124</xdr:row>
      <xdr:rowOff>110067</xdr:rowOff>
    </xdr:from>
    <xdr:to>
      <xdr:col>17</xdr:col>
      <xdr:colOff>311149</xdr:colOff>
      <xdr:row>132</xdr:row>
      <xdr:rowOff>179917</xdr:rowOff>
    </xdr:to>
    <xdr:sp macro="" textlink="">
      <xdr:nvSpPr>
        <xdr:cNvPr id="52" name="TextBox 51">
          <a:extLst>
            <a:ext uri="{FF2B5EF4-FFF2-40B4-BE49-F238E27FC236}">
              <a16:creationId xmlns:a16="http://schemas.microsoft.com/office/drawing/2014/main" id="{00000000-0008-0000-0400-000034000000}"/>
            </a:ext>
          </a:extLst>
        </xdr:cNvPr>
        <xdr:cNvSpPr txBox="1"/>
      </xdr:nvSpPr>
      <xdr:spPr>
        <a:xfrm>
          <a:off x="8682566" y="23964900"/>
          <a:ext cx="2370666"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OUTPUT:</a:t>
          </a:r>
          <a:endParaRPr lang="en-US">
            <a:effectLst/>
          </a:endParaRPr>
        </a:p>
        <a:p>
          <a:r>
            <a:rPr lang="en-US" sz="1100" b="0">
              <a:solidFill>
                <a:schemeClr val="dk1"/>
              </a:solidFill>
              <a:effectLst/>
              <a:latin typeface="+mn-lt"/>
              <a:ea typeface="+mn-ea"/>
              <a:cs typeface="+mn-cs"/>
            </a:rPr>
            <a:t>This is where</a:t>
          </a:r>
          <a:r>
            <a:rPr lang="en-US" sz="1100" b="0" baseline="0">
              <a:solidFill>
                <a:schemeClr val="dk1"/>
              </a:solidFill>
              <a:effectLst/>
              <a:latin typeface="+mn-lt"/>
              <a:ea typeface="+mn-ea"/>
              <a:cs typeface="+mn-cs"/>
            </a:rPr>
            <a:t> the document receives the output data from the different model Tabs based on which one is selected. </a:t>
          </a:r>
          <a:r>
            <a:rPr lang="en-US" sz="1100" b="1" baseline="0">
              <a:solidFill>
                <a:schemeClr val="dk1"/>
              </a:solidFill>
              <a:effectLst/>
              <a:latin typeface="+mn-lt"/>
              <a:ea typeface="+mn-ea"/>
              <a:cs typeface="+mn-cs"/>
            </a:rPr>
            <a:t>Does not need to be changed.</a:t>
          </a:r>
          <a:endParaRPr lang="en-US" sz="1100" b="1" u="none"/>
        </a:p>
      </xdr:txBody>
    </xdr:sp>
    <xdr:clientData/>
  </xdr:twoCellAnchor>
  <xdr:twoCellAnchor>
    <xdr:from>
      <xdr:col>13</xdr:col>
      <xdr:colOff>442384</xdr:colOff>
      <xdr:row>121</xdr:row>
      <xdr:rowOff>29634</xdr:rowOff>
    </xdr:from>
    <xdr:to>
      <xdr:col>14</xdr:col>
      <xdr:colOff>188384</xdr:colOff>
      <xdr:row>124</xdr:row>
      <xdr:rowOff>103717</xdr:rowOff>
    </xdr:to>
    <xdr:cxnSp macro="">
      <xdr:nvCxnSpPr>
        <xdr:cNvPr id="53" name="Straight Arrow Connector 52">
          <a:extLst>
            <a:ext uri="{FF2B5EF4-FFF2-40B4-BE49-F238E27FC236}">
              <a16:creationId xmlns:a16="http://schemas.microsoft.com/office/drawing/2014/main" id="{00000000-0008-0000-0400-000035000000}"/>
            </a:ext>
          </a:extLst>
        </xdr:cNvPr>
        <xdr:cNvCxnSpPr/>
      </xdr:nvCxnSpPr>
      <xdr:spPr>
        <a:xfrm flipH="1" flipV="1">
          <a:off x="8729134" y="23312967"/>
          <a:ext cx="359833"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17</xdr:col>
      <xdr:colOff>548217</xdr:colOff>
      <xdr:row>124</xdr:row>
      <xdr:rowOff>114300</xdr:rowOff>
    </xdr:from>
    <xdr:to>
      <xdr:col>20</xdr:col>
      <xdr:colOff>465667</xdr:colOff>
      <xdr:row>132</xdr:row>
      <xdr:rowOff>184150</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11290300" y="23969133"/>
          <a:ext cx="1758950"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a:t>
          </a:r>
        </a:p>
        <a:p>
          <a:r>
            <a:rPr lang="en-US" sz="1100" b="1">
              <a:solidFill>
                <a:schemeClr val="dk1"/>
              </a:solidFill>
              <a:effectLst/>
              <a:latin typeface="+mn-lt"/>
              <a:ea typeface="+mn-ea"/>
              <a:cs typeface="+mn-cs"/>
            </a:rPr>
            <a:t>These</a:t>
          </a:r>
          <a:r>
            <a:rPr lang="en-US" sz="1100" b="1" baseline="0">
              <a:solidFill>
                <a:schemeClr val="dk1"/>
              </a:solidFill>
              <a:effectLst/>
              <a:latin typeface="+mn-lt"/>
              <a:ea typeface="+mn-ea"/>
              <a:cs typeface="+mn-cs"/>
            </a:rPr>
            <a:t> cells contain array formulas,</a:t>
          </a:r>
        </a:p>
        <a:p>
          <a:r>
            <a:rPr lang="en-US" sz="1100" b="1" baseline="0">
              <a:solidFill>
                <a:schemeClr val="dk1"/>
              </a:solidFill>
              <a:effectLst/>
              <a:latin typeface="+mn-lt"/>
              <a:ea typeface="+mn-ea"/>
              <a:cs typeface="+mn-cs"/>
            </a:rPr>
            <a:t>you enter them by writing the formula and then pressing</a:t>
          </a:r>
        </a:p>
        <a:p>
          <a:r>
            <a:rPr lang="en-US" sz="1100" b="1" baseline="0">
              <a:solidFill>
                <a:schemeClr val="dk1"/>
              </a:solidFill>
              <a:effectLst/>
              <a:latin typeface="+mn-lt"/>
              <a:ea typeface="+mn-ea"/>
              <a:cs typeface="+mn-cs"/>
            </a:rPr>
            <a:t>"Ctrl" + "Shift" + "Enter"</a:t>
          </a:r>
          <a:endParaRPr lang="en-US">
            <a:effectLst/>
          </a:endParaRPr>
        </a:p>
      </xdr:txBody>
    </xdr:sp>
    <xdr:clientData/>
  </xdr:twoCellAnchor>
  <xdr:twoCellAnchor>
    <xdr:from>
      <xdr:col>18</xdr:col>
      <xdr:colOff>190500</xdr:colOff>
      <xdr:row>115</xdr:row>
      <xdr:rowOff>95250</xdr:rowOff>
    </xdr:from>
    <xdr:to>
      <xdr:col>19</xdr:col>
      <xdr:colOff>256118</xdr:colOff>
      <xdr:row>124</xdr:row>
      <xdr:rowOff>129118</xdr:rowOff>
    </xdr:to>
    <xdr:cxnSp macro="">
      <xdr:nvCxnSpPr>
        <xdr:cNvPr id="55" name="Straight Arrow Connector 54">
          <a:extLst>
            <a:ext uri="{FF2B5EF4-FFF2-40B4-BE49-F238E27FC236}">
              <a16:creationId xmlns:a16="http://schemas.microsoft.com/office/drawing/2014/main" id="{00000000-0008-0000-0400-000037000000}"/>
            </a:ext>
          </a:extLst>
        </xdr:cNvPr>
        <xdr:cNvCxnSpPr/>
      </xdr:nvCxnSpPr>
      <xdr:spPr>
        <a:xfrm flipH="1" flipV="1">
          <a:off x="11546417" y="22235583"/>
          <a:ext cx="679451" cy="1748368"/>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19</xdr:col>
      <xdr:colOff>245534</xdr:colOff>
      <xdr:row>137</xdr:row>
      <xdr:rowOff>118533</xdr:rowOff>
    </xdr:from>
    <xdr:to>
      <xdr:col>22</xdr:col>
      <xdr:colOff>162984</xdr:colOff>
      <xdr:row>145</xdr:row>
      <xdr:rowOff>188383</xdr:rowOff>
    </xdr:to>
    <xdr:sp macro="" textlink="">
      <xdr:nvSpPr>
        <xdr:cNvPr id="58" name="TextBox 57">
          <a:extLst>
            <a:ext uri="{FF2B5EF4-FFF2-40B4-BE49-F238E27FC236}">
              <a16:creationId xmlns:a16="http://schemas.microsoft.com/office/drawing/2014/main" id="{00000000-0008-0000-0400-00003A000000}"/>
            </a:ext>
          </a:extLst>
        </xdr:cNvPr>
        <xdr:cNvSpPr txBox="1"/>
      </xdr:nvSpPr>
      <xdr:spPr>
        <a:xfrm>
          <a:off x="12215284" y="26449866"/>
          <a:ext cx="1758950"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a:t>
          </a:r>
        </a:p>
        <a:p>
          <a:r>
            <a:rPr lang="en-US" sz="1100" b="1">
              <a:solidFill>
                <a:schemeClr val="dk1"/>
              </a:solidFill>
              <a:effectLst/>
              <a:latin typeface="+mn-lt"/>
              <a:ea typeface="+mn-ea"/>
              <a:cs typeface="+mn-cs"/>
            </a:rPr>
            <a:t>This is just to</a:t>
          </a:r>
          <a:r>
            <a:rPr lang="en-US" sz="1100" b="1" baseline="0">
              <a:solidFill>
                <a:schemeClr val="dk1"/>
              </a:solidFill>
              <a:effectLst/>
              <a:latin typeface="+mn-lt"/>
              <a:ea typeface="+mn-ea"/>
              <a:cs typeface="+mn-cs"/>
            </a:rPr>
            <a:t> prevent an error related to the model image output, DO NOT CHANGE</a:t>
          </a:r>
          <a:endParaRPr lang="en-US">
            <a:effectLst/>
          </a:endParaRPr>
        </a:p>
      </xdr:txBody>
    </xdr:sp>
    <xdr:clientData/>
  </xdr:twoCellAnchor>
  <xdr:twoCellAnchor>
    <xdr:from>
      <xdr:col>18</xdr:col>
      <xdr:colOff>504825</xdr:colOff>
      <xdr:row>153</xdr:row>
      <xdr:rowOff>77259</xdr:rowOff>
    </xdr:from>
    <xdr:to>
      <xdr:col>24</xdr:col>
      <xdr:colOff>111125</xdr:colOff>
      <xdr:row>156</xdr:row>
      <xdr:rowOff>171450</xdr:rowOff>
    </xdr:to>
    <xdr:cxnSp macro="">
      <xdr:nvCxnSpPr>
        <xdr:cNvPr id="59" name="Straight Arrow Connector 58">
          <a:extLst>
            <a:ext uri="{FF2B5EF4-FFF2-40B4-BE49-F238E27FC236}">
              <a16:creationId xmlns:a16="http://schemas.microsoft.com/office/drawing/2014/main" id="{00000000-0008-0000-0400-00003B000000}"/>
            </a:ext>
          </a:extLst>
        </xdr:cNvPr>
        <xdr:cNvCxnSpPr/>
      </xdr:nvCxnSpPr>
      <xdr:spPr>
        <a:xfrm flipH="1">
          <a:off x="11791950" y="29452359"/>
          <a:ext cx="3263900" cy="665691"/>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21</xdr:col>
      <xdr:colOff>504673</xdr:colOff>
      <xdr:row>124</xdr:row>
      <xdr:rowOff>97972</xdr:rowOff>
    </xdr:from>
    <xdr:to>
      <xdr:col>25</xdr:col>
      <xdr:colOff>420006</xdr:colOff>
      <xdr:row>132</xdr:row>
      <xdr:rowOff>167822</xdr:rowOff>
    </xdr:to>
    <xdr:sp macro="" textlink="">
      <xdr:nvSpPr>
        <xdr:cNvPr id="63" name="TextBox 62">
          <a:extLst>
            <a:ext uri="{FF2B5EF4-FFF2-40B4-BE49-F238E27FC236}">
              <a16:creationId xmlns:a16="http://schemas.microsoft.com/office/drawing/2014/main" id="{00000000-0008-0000-0400-00003F000000}"/>
            </a:ext>
          </a:extLst>
        </xdr:cNvPr>
        <xdr:cNvSpPr txBox="1"/>
      </xdr:nvSpPr>
      <xdr:spPr>
        <a:xfrm>
          <a:off x="13676387" y="23978508"/>
          <a:ext cx="2364619"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Minimum</a:t>
          </a:r>
          <a:r>
            <a:rPr lang="en-US" sz="1100" b="1" baseline="0">
              <a:solidFill>
                <a:schemeClr val="dk1"/>
              </a:solidFill>
              <a:effectLst/>
              <a:latin typeface="+mn-lt"/>
              <a:ea typeface="+mn-ea"/>
              <a:cs typeface="+mn-cs"/>
            </a:rPr>
            <a:t> Size:</a:t>
          </a:r>
          <a:endParaRPr lang="en-US">
            <a:effectLst/>
          </a:endParaRPr>
        </a:p>
        <a:p>
          <a:r>
            <a:rPr lang="en-US" sz="1100" b="0">
              <a:solidFill>
                <a:schemeClr val="dk1"/>
              </a:solidFill>
              <a:effectLst/>
              <a:latin typeface="+mn-lt"/>
              <a:ea typeface="+mn-ea"/>
              <a:cs typeface="+mn-cs"/>
            </a:rPr>
            <a:t>This is where</a:t>
          </a:r>
          <a:r>
            <a:rPr lang="en-US" sz="1100" b="0" baseline="0">
              <a:solidFill>
                <a:schemeClr val="dk1"/>
              </a:solidFill>
              <a:effectLst/>
              <a:latin typeface="+mn-lt"/>
              <a:ea typeface="+mn-ea"/>
              <a:cs typeface="+mn-cs"/>
            </a:rPr>
            <a:t> the minimum sizes list is stored. If a new model is added the data has to be entered in to 3 cells and match the formatting of the previous  models.</a:t>
          </a:r>
          <a:endParaRPr lang="en-US" sz="1100" b="1" u="none"/>
        </a:p>
      </xdr:txBody>
    </xdr:sp>
    <xdr:clientData/>
  </xdr:twoCellAnchor>
  <xdr:twoCellAnchor>
    <xdr:from>
      <xdr:col>21</xdr:col>
      <xdr:colOff>551241</xdr:colOff>
      <xdr:row>121</xdr:row>
      <xdr:rowOff>17539</xdr:rowOff>
    </xdr:from>
    <xdr:to>
      <xdr:col>22</xdr:col>
      <xdr:colOff>297240</xdr:colOff>
      <xdr:row>124</xdr:row>
      <xdr:rowOff>91622</xdr:rowOff>
    </xdr:to>
    <xdr:cxnSp macro="">
      <xdr:nvCxnSpPr>
        <xdr:cNvPr id="64" name="Straight Arrow Connector 63">
          <a:extLst>
            <a:ext uri="{FF2B5EF4-FFF2-40B4-BE49-F238E27FC236}">
              <a16:creationId xmlns:a16="http://schemas.microsoft.com/office/drawing/2014/main" id="{00000000-0008-0000-0400-000040000000}"/>
            </a:ext>
          </a:extLst>
        </xdr:cNvPr>
        <xdr:cNvCxnSpPr/>
      </xdr:nvCxnSpPr>
      <xdr:spPr>
        <a:xfrm flipH="1" flipV="1">
          <a:off x="13722955" y="23326575"/>
          <a:ext cx="358321"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26</xdr:col>
      <xdr:colOff>57150</xdr:colOff>
      <xdr:row>126</xdr:row>
      <xdr:rowOff>76200</xdr:rowOff>
    </xdr:from>
    <xdr:to>
      <xdr:col>33</xdr:col>
      <xdr:colOff>494712</xdr:colOff>
      <xdr:row>133</xdr:row>
      <xdr:rowOff>152224</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2"/>
        <a:stretch>
          <a:fillRect/>
        </a:stretch>
      </xdr:blipFill>
      <xdr:spPr>
        <a:xfrm>
          <a:off x="16221075" y="24307800"/>
          <a:ext cx="4704762" cy="1409524"/>
        </a:xfrm>
        <a:prstGeom prst="rect">
          <a:avLst/>
        </a:prstGeom>
        <a:ln>
          <a:solidFill>
            <a:sysClr val="windowText" lastClr="000000"/>
          </a:solidFill>
        </a:ln>
      </xdr:spPr>
    </xdr:pic>
    <xdr:clientData/>
  </xdr:twoCellAnchor>
  <xdr:twoCellAnchor>
    <xdr:from>
      <xdr:col>24</xdr:col>
      <xdr:colOff>89959</xdr:colOff>
      <xdr:row>152</xdr:row>
      <xdr:rowOff>132291</xdr:rowOff>
    </xdr:from>
    <xdr:to>
      <xdr:col>27</xdr:col>
      <xdr:colOff>7409</xdr:colOff>
      <xdr:row>158</xdr:row>
      <xdr:rowOff>180975</xdr:rowOff>
    </xdr:to>
    <xdr:sp macro="" textlink="">
      <xdr:nvSpPr>
        <xdr:cNvPr id="66" name="TextBox 65">
          <a:extLst>
            <a:ext uri="{FF2B5EF4-FFF2-40B4-BE49-F238E27FC236}">
              <a16:creationId xmlns:a16="http://schemas.microsoft.com/office/drawing/2014/main" id="{00000000-0008-0000-0400-000042000000}"/>
            </a:ext>
          </a:extLst>
        </xdr:cNvPr>
        <xdr:cNvSpPr txBox="1"/>
      </xdr:nvSpPr>
      <xdr:spPr>
        <a:xfrm>
          <a:off x="15034684" y="29316891"/>
          <a:ext cx="1746250" cy="119168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SUMMARY PICTURES:</a:t>
          </a:r>
        </a:p>
        <a:p>
          <a:r>
            <a:rPr lang="en-US" sz="1100" b="0">
              <a:solidFill>
                <a:schemeClr val="dk1"/>
              </a:solidFill>
              <a:effectLst/>
              <a:latin typeface="+mn-lt"/>
              <a:ea typeface="+mn-ea"/>
              <a:cs typeface="+mn-cs"/>
            </a:rPr>
            <a:t>This</a:t>
          </a:r>
          <a:r>
            <a:rPr lang="en-US" sz="1100" b="0" baseline="0">
              <a:solidFill>
                <a:schemeClr val="dk1"/>
              </a:solidFill>
              <a:effectLst/>
              <a:latin typeface="+mn-lt"/>
              <a:ea typeface="+mn-ea"/>
              <a:cs typeface="+mn-cs"/>
            </a:rPr>
            <a:t> is where the images of the louvers are stored to be displayed on the "SUMMARY" Tab.</a:t>
          </a:r>
          <a:endParaRPr lang="en-US" b="0">
            <a:effectLst/>
          </a:endParaRPr>
        </a:p>
      </xdr:txBody>
    </xdr:sp>
    <xdr:clientData/>
  </xdr:twoCellAnchor>
  <xdr:twoCellAnchor>
    <xdr:from>
      <xdr:col>27</xdr:col>
      <xdr:colOff>296334</xdr:colOff>
      <xdr:row>143</xdr:row>
      <xdr:rowOff>94191</xdr:rowOff>
    </xdr:from>
    <xdr:to>
      <xdr:col>39</xdr:col>
      <xdr:colOff>127000</xdr:colOff>
      <xdr:row>149</xdr:row>
      <xdr:rowOff>142875</xdr:rowOff>
    </xdr:to>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6901584" y="27589691"/>
          <a:ext cx="7069666" cy="119168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HOW TO ADD NEW PICTURE</a:t>
          </a:r>
        </a:p>
        <a:p>
          <a:r>
            <a:rPr lang="en-US" sz="1100" b="0">
              <a:solidFill>
                <a:schemeClr val="dk1"/>
              </a:solidFill>
              <a:effectLst/>
              <a:latin typeface="+mn-lt"/>
              <a:ea typeface="+mn-ea"/>
              <a:cs typeface="+mn-cs"/>
            </a:rPr>
            <a:t>1 - Write</a:t>
          </a:r>
          <a:r>
            <a:rPr lang="en-US" sz="1100" b="0" baseline="0">
              <a:solidFill>
                <a:schemeClr val="dk1"/>
              </a:solidFill>
              <a:effectLst/>
              <a:latin typeface="+mn-lt"/>
              <a:ea typeface="+mn-ea"/>
              <a:cs typeface="+mn-cs"/>
            </a:rPr>
            <a:t> down the model name in the approiate cell and insert photo of louver within the box next to it.</a:t>
          </a:r>
        </a:p>
        <a:p>
          <a:r>
            <a:rPr lang="en-US" sz="1100" baseline="0">
              <a:solidFill>
                <a:schemeClr val="dk1"/>
              </a:solidFill>
              <a:effectLst/>
              <a:latin typeface="+mn-lt"/>
              <a:ea typeface="+mn-ea"/>
              <a:cs typeface="+mn-cs"/>
            </a:rPr>
            <a:t>2 -At top of page press "Formulas"; then click "Name Manager</a:t>
          </a:r>
        </a:p>
        <a:p>
          <a:r>
            <a:rPr lang="en-US" sz="1100" baseline="0">
              <a:solidFill>
                <a:schemeClr val="dk1"/>
              </a:solidFill>
              <a:effectLst/>
              <a:latin typeface="+mn-lt"/>
              <a:ea typeface="+mn-ea"/>
              <a:cs typeface="+mn-cs"/>
            </a:rPr>
            <a:t>3 - Select "LOUVERIMAGE" and press "Edit..."</a:t>
          </a:r>
        </a:p>
        <a:p>
          <a:r>
            <a:rPr lang="en-US" sz="1100" baseline="0">
              <a:solidFill>
                <a:schemeClr val="dk1"/>
              </a:solidFill>
              <a:effectLst/>
              <a:latin typeface="+mn-lt"/>
              <a:ea typeface="+mn-ea"/>
              <a:cs typeface="+mn-cs"/>
            </a:rPr>
            <a:t>4- Edit the "Refers to:" equation and change the underlined value to the cell value in which you inputted the name of the model in Step 1.</a:t>
          </a:r>
          <a:endParaRPr lang="en-US">
            <a:effectLst/>
          </a:endParaRPr>
        </a:p>
      </xdr:txBody>
    </xdr:sp>
    <xdr:clientData/>
  </xdr:twoCellAnchor>
  <xdr:twoCellAnchor>
    <xdr:from>
      <xdr:col>27</xdr:col>
      <xdr:colOff>492125</xdr:colOff>
      <xdr:row>166</xdr:row>
      <xdr:rowOff>162983</xdr:rowOff>
    </xdr:from>
    <xdr:to>
      <xdr:col>28</xdr:col>
      <xdr:colOff>584200</xdr:colOff>
      <xdr:row>168</xdr:row>
      <xdr:rowOff>152400</xdr:rowOff>
    </xdr:to>
    <xdr:sp macro="" textlink="">
      <xdr:nvSpPr>
        <xdr:cNvPr id="69" name="TextBox 68">
          <a:extLst>
            <a:ext uri="{FF2B5EF4-FFF2-40B4-BE49-F238E27FC236}">
              <a16:creationId xmlns:a16="http://schemas.microsoft.com/office/drawing/2014/main" id="{00000000-0008-0000-0400-000045000000}"/>
            </a:ext>
          </a:extLst>
        </xdr:cNvPr>
        <xdr:cNvSpPr txBox="1"/>
      </xdr:nvSpPr>
      <xdr:spPr>
        <a:xfrm>
          <a:off x="17265650" y="32014583"/>
          <a:ext cx="701675" cy="37041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1</a:t>
          </a:r>
          <a:endParaRPr lang="en-US" sz="1400" b="1" u="sng"/>
        </a:p>
      </xdr:txBody>
    </xdr:sp>
    <xdr:clientData/>
  </xdr:twoCellAnchor>
  <xdr:twoCellAnchor editAs="oneCell">
    <xdr:from>
      <xdr:col>37</xdr:col>
      <xdr:colOff>273843</xdr:colOff>
      <xdr:row>150</xdr:row>
      <xdr:rowOff>142875</xdr:rowOff>
    </xdr:from>
    <xdr:to>
      <xdr:col>45</xdr:col>
      <xdr:colOff>544128</xdr:colOff>
      <xdr:row>159</xdr:row>
      <xdr:rowOff>95042</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stretch>
          <a:fillRect/>
        </a:stretch>
      </xdr:blipFill>
      <xdr:spPr>
        <a:xfrm>
          <a:off x="23062406" y="28944094"/>
          <a:ext cx="5128035" cy="1666667"/>
        </a:xfrm>
        <a:prstGeom prst="rect">
          <a:avLst/>
        </a:prstGeom>
        <a:ln>
          <a:solidFill>
            <a:sysClr val="windowText" lastClr="000000"/>
          </a:solidFill>
        </a:ln>
      </xdr:spPr>
    </xdr:pic>
    <xdr:clientData/>
  </xdr:twoCellAnchor>
  <xdr:twoCellAnchor>
    <xdr:from>
      <xdr:col>39</xdr:col>
      <xdr:colOff>330994</xdr:colOff>
      <xdr:row>152</xdr:row>
      <xdr:rowOff>157692</xdr:rowOff>
    </xdr:from>
    <xdr:to>
      <xdr:col>40</xdr:col>
      <xdr:colOff>415660</xdr:colOff>
      <xdr:row>154</xdr:row>
      <xdr:rowOff>147109</xdr:rowOff>
    </xdr:to>
    <xdr:sp macro="" textlink="">
      <xdr:nvSpPr>
        <xdr:cNvPr id="71" name="TextBox 70">
          <a:extLst>
            <a:ext uri="{FF2B5EF4-FFF2-40B4-BE49-F238E27FC236}">
              <a16:creationId xmlns:a16="http://schemas.microsoft.com/office/drawing/2014/main" id="{00000000-0008-0000-0400-000047000000}"/>
            </a:ext>
          </a:extLst>
        </xdr:cNvPr>
        <xdr:cNvSpPr txBox="1"/>
      </xdr:nvSpPr>
      <xdr:spPr>
        <a:xfrm>
          <a:off x="24333994" y="29339911"/>
          <a:ext cx="691885"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2</a:t>
          </a:r>
          <a:endParaRPr lang="en-US" sz="1400" b="1" u="sng"/>
        </a:p>
      </xdr:txBody>
    </xdr:sp>
    <xdr:clientData/>
  </xdr:twoCellAnchor>
  <xdr:twoCellAnchor editAs="oneCell">
    <xdr:from>
      <xdr:col>37</xdr:col>
      <xdr:colOff>309563</xdr:colOff>
      <xdr:row>160</xdr:row>
      <xdr:rowOff>71438</xdr:rowOff>
    </xdr:from>
    <xdr:to>
      <xdr:col>46</xdr:col>
      <xdr:colOff>82690</xdr:colOff>
      <xdr:row>170</xdr:row>
      <xdr:rowOff>166438</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3"/>
        <a:stretch>
          <a:fillRect/>
        </a:stretch>
      </xdr:blipFill>
      <xdr:spPr>
        <a:xfrm>
          <a:off x="23098126" y="30777657"/>
          <a:ext cx="5238095" cy="2000000"/>
        </a:xfrm>
        <a:prstGeom prst="rect">
          <a:avLst/>
        </a:prstGeom>
      </xdr:spPr>
    </xdr:pic>
    <xdr:clientData/>
  </xdr:twoCellAnchor>
  <xdr:twoCellAnchor>
    <xdr:from>
      <xdr:col>40</xdr:col>
      <xdr:colOff>197643</xdr:colOff>
      <xdr:row>161</xdr:row>
      <xdr:rowOff>83873</xdr:rowOff>
    </xdr:from>
    <xdr:to>
      <xdr:col>41</xdr:col>
      <xdr:colOff>282309</xdr:colOff>
      <xdr:row>163</xdr:row>
      <xdr:rowOff>73290</xdr:rowOff>
    </xdr:to>
    <xdr:sp macro="" textlink="">
      <xdr:nvSpPr>
        <xdr:cNvPr id="73" name="TextBox 72">
          <a:extLst>
            <a:ext uri="{FF2B5EF4-FFF2-40B4-BE49-F238E27FC236}">
              <a16:creationId xmlns:a16="http://schemas.microsoft.com/office/drawing/2014/main" id="{00000000-0008-0000-0400-000049000000}"/>
            </a:ext>
          </a:extLst>
        </xdr:cNvPr>
        <xdr:cNvSpPr txBox="1"/>
      </xdr:nvSpPr>
      <xdr:spPr>
        <a:xfrm>
          <a:off x="24807862" y="30980592"/>
          <a:ext cx="691885"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3</a:t>
          </a:r>
          <a:endParaRPr lang="en-US" sz="1400" b="1" u="sng"/>
        </a:p>
      </xdr:txBody>
    </xdr:sp>
    <xdr:clientData/>
  </xdr:twoCellAnchor>
  <xdr:twoCellAnchor editAs="oneCell">
    <xdr:from>
      <xdr:col>37</xdr:col>
      <xdr:colOff>381000</xdr:colOff>
      <xdr:row>172</xdr:row>
      <xdr:rowOff>83344</xdr:rowOff>
    </xdr:from>
    <xdr:to>
      <xdr:col>47</xdr:col>
      <xdr:colOff>185003</xdr:colOff>
      <xdr:row>176</xdr:row>
      <xdr:rowOff>45154</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4"/>
        <a:stretch>
          <a:fillRect/>
        </a:stretch>
      </xdr:blipFill>
      <xdr:spPr>
        <a:xfrm>
          <a:off x="23169563" y="33075563"/>
          <a:ext cx="5876190" cy="723810"/>
        </a:xfrm>
        <a:prstGeom prst="rect">
          <a:avLst/>
        </a:prstGeom>
      </xdr:spPr>
    </xdr:pic>
    <xdr:clientData/>
  </xdr:twoCellAnchor>
  <xdr:twoCellAnchor>
    <xdr:from>
      <xdr:col>42</xdr:col>
      <xdr:colOff>52387</xdr:colOff>
      <xdr:row>172</xdr:row>
      <xdr:rowOff>93398</xdr:rowOff>
    </xdr:from>
    <xdr:to>
      <xdr:col>43</xdr:col>
      <xdr:colOff>137053</xdr:colOff>
      <xdr:row>174</xdr:row>
      <xdr:rowOff>82815</xdr:rowOff>
    </xdr:to>
    <xdr:sp macro="" textlink="">
      <xdr:nvSpPr>
        <xdr:cNvPr id="76" name="TextBox 75">
          <a:extLst>
            <a:ext uri="{FF2B5EF4-FFF2-40B4-BE49-F238E27FC236}">
              <a16:creationId xmlns:a16="http://schemas.microsoft.com/office/drawing/2014/main" id="{00000000-0008-0000-0400-00004C000000}"/>
            </a:ext>
          </a:extLst>
        </xdr:cNvPr>
        <xdr:cNvSpPr txBox="1"/>
      </xdr:nvSpPr>
      <xdr:spPr>
        <a:xfrm>
          <a:off x="25877043" y="33085617"/>
          <a:ext cx="691885"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4</a:t>
          </a:r>
          <a:endParaRPr lang="en-US" sz="1400" b="1" u="sng"/>
        </a:p>
      </xdr:txBody>
    </xdr:sp>
    <xdr:clientData/>
  </xdr:twoCellAnchor>
  <xdr:twoCellAnchor>
    <xdr:from>
      <xdr:col>17</xdr:col>
      <xdr:colOff>474518</xdr:colOff>
      <xdr:row>138</xdr:row>
      <xdr:rowOff>112567</xdr:rowOff>
    </xdr:from>
    <xdr:to>
      <xdr:col>19</xdr:col>
      <xdr:colOff>251114</xdr:colOff>
      <xdr:row>139</xdr:row>
      <xdr:rowOff>183572</xdr:rowOff>
    </xdr:to>
    <xdr:cxnSp macro="">
      <xdr:nvCxnSpPr>
        <xdr:cNvPr id="77" name="Straight Arrow Connector 76">
          <a:extLst>
            <a:ext uri="{FF2B5EF4-FFF2-40B4-BE49-F238E27FC236}">
              <a16:creationId xmlns:a16="http://schemas.microsoft.com/office/drawing/2014/main" id="{00000000-0008-0000-0400-00004D000000}"/>
            </a:ext>
          </a:extLst>
        </xdr:cNvPr>
        <xdr:cNvCxnSpPr/>
      </xdr:nvCxnSpPr>
      <xdr:spPr>
        <a:xfrm flipH="1">
          <a:off x="11099223" y="26687317"/>
          <a:ext cx="988868" cy="261505"/>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230188</xdr:colOff>
      <xdr:row>190</xdr:row>
      <xdr:rowOff>11906</xdr:rowOff>
    </xdr:from>
    <xdr:to>
      <xdr:col>15</xdr:col>
      <xdr:colOff>300553</xdr:colOff>
      <xdr:row>200</xdr:row>
      <xdr:rowOff>46591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5"/>
        <a:stretch>
          <a:fillRect/>
        </a:stretch>
      </xdr:blipFill>
      <xdr:spPr>
        <a:xfrm>
          <a:off x="1150938" y="36778406"/>
          <a:ext cx="8515865" cy="1939685"/>
        </a:xfrm>
        <a:prstGeom prst="rect">
          <a:avLst/>
        </a:prstGeom>
        <a:ln>
          <a:solidFill>
            <a:sysClr val="windowText" lastClr="000000"/>
          </a:solidFill>
        </a:ln>
      </xdr:spPr>
    </xdr:pic>
    <xdr:clientData/>
  </xdr:twoCellAnchor>
  <xdr:twoCellAnchor editAs="oneCell">
    <xdr:from>
      <xdr:col>1</xdr:col>
      <xdr:colOff>23812</xdr:colOff>
      <xdr:row>203</xdr:row>
      <xdr:rowOff>83344</xdr:rowOff>
    </xdr:from>
    <xdr:to>
      <xdr:col>22</xdr:col>
      <xdr:colOff>557933</xdr:colOff>
      <xdr:row>237</xdr:row>
      <xdr:rowOff>111106</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6"/>
        <a:stretch>
          <a:fillRect/>
        </a:stretch>
      </xdr:blipFill>
      <xdr:spPr>
        <a:xfrm>
          <a:off x="952500" y="38576250"/>
          <a:ext cx="13285714" cy="6504762"/>
        </a:xfrm>
        <a:prstGeom prst="rect">
          <a:avLst/>
        </a:prstGeom>
        <a:ln>
          <a:solidFill>
            <a:sysClr val="windowText" lastClr="000000"/>
          </a:solidFill>
        </a:ln>
      </xdr:spPr>
    </xdr:pic>
    <xdr:clientData/>
  </xdr:twoCellAnchor>
  <xdr:twoCellAnchor editAs="oneCell">
    <xdr:from>
      <xdr:col>1</xdr:col>
      <xdr:colOff>23813</xdr:colOff>
      <xdr:row>242</xdr:row>
      <xdr:rowOff>71438</xdr:rowOff>
    </xdr:from>
    <xdr:to>
      <xdr:col>12</xdr:col>
      <xdr:colOff>544407</xdr:colOff>
      <xdr:row>276</xdr:row>
      <xdr:rowOff>146819</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7"/>
        <a:stretch>
          <a:fillRect/>
        </a:stretch>
      </xdr:blipFill>
      <xdr:spPr>
        <a:xfrm>
          <a:off x="952501" y="46136719"/>
          <a:ext cx="7200000" cy="6552381"/>
        </a:xfrm>
        <a:prstGeom prst="rect">
          <a:avLst/>
        </a:prstGeom>
        <a:ln>
          <a:solidFill>
            <a:sysClr val="windowText" lastClr="000000"/>
          </a:solidFill>
        </a:ln>
      </xdr:spPr>
    </xdr:pic>
    <xdr:clientData/>
  </xdr:twoCellAnchor>
  <xdr:twoCellAnchor editAs="oneCell">
    <xdr:from>
      <xdr:col>13</xdr:col>
      <xdr:colOff>261938</xdr:colOff>
      <xdr:row>242</xdr:row>
      <xdr:rowOff>107156</xdr:rowOff>
    </xdr:from>
    <xdr:to>
      <xdr:col>17</xdr:col>
      <xdr:colOff>556872</xdr:colOff>
      <xdr:row>258</xdr:row>
      <xdr:rowOff>97251</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8"/>
        <a:stretch>
          <a:fillRect/>
        </a:stretch>
      </xdr:blipFill>
      <xdr:spPr>
        <a:xfrm>
          <a:off x="8477251" y="46172437"/>
          <a:ext cx="2723809" cy="3038095"/>
        </a:xfrm>
        <a:prstGeom prst="rect">
          <a:avLst/>
        </a:prstGeom>
        <a:ln>
          <a:solidFill>
            <a:sysClr val="windowText" lastClr="000000"/>
          </a:solidFill>
        </a:ln>
      </xdr:spPr>
    </xdr:pic>
    <xdr:clientData/>
  </xdr:twoCellAnchor>
  <xdr:twoCellAnchor editAs="oneCell">
    <xdr:from>
      <xdr:col>18</xdr:col>
      <xdr:colOff>261939</xdr:colOff>
      <xdr:row>242</xdr:row>
      <xdr:rowOff>83344</xdr:rowOff>
    </xdr:from>
    <xdr:to>
      <xdr:col>23</xdr:col>
      <xdr:colOff>549654</xdr:colOff>
      <xdr:row>257</xdr:row>
      <xdr:rowOff>168701</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9"/>
        <a:stretch>
          <a:fillRect/>
        </a:stretch>
      </xdr:blipFill>
      <xdr:spPr>
        <a:xfrm>
          <a:off x="11513345" y="46148625"/>
          <a:ext cx="3323809" cy="2942857"/>
        </a:xfrm>
        <a:prstGeom prst="rect">
          <a:avLst/>
        </a:prstGeom>
        <a:ln>
          <a:solidFill>
            <a:sysClr val="windowText" lastClr="000000"/>
          </a:solidFill>
        </a:ln>
      </xdr:spPr>
    </xdr:pic>
    <xdr:clientData/>
  </xdr:twoCellAnchor>
  <xdr:twoCellAnchor editAs="oneCell">
    <xdr:from>
      <xdr:col>0</xdr:col>
      <xdr:colOff>869157</xdr:colOff>
      <xdr:row>280</xdr:row>
      <xdr:rowOff>11905</xdr:rowOff>
    </xdr:from>
    <xdr:to>
      <xdr:col>23</xdr:col>
      <xdr:colOff>369094</xdr:colOff>
      <xdr:row>302</xdr:row>
      <xdr:rowOff>166686</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0"/>
        <a:srcRect t="52901" r="62288" b="4849"/>
        <a:stretch/>
      </xdr:blipFill>
      <xdr:spPr>
        <a:xfrm>
          <a:off x="869157" y="53459061"/>
          <a:ext cx="13787437" cy="4345781"/>
        </a:xfrm>
        <a:prstGeom prst="rect">
          <a:avLst/>
        </a:prstGeom>
        <a:ln>
          <a:solidFill>
            <a:sysClr val="windowText" lastClr="000000"/>
          </a:solidFill>
        </a:ln>
      </xdr:spPr>
    </xdr:pic>
    <xdr:clientData/>
  </xdr:twoCellAnchor>
  <xdr:twoCellAnchor editAs="oneCell">
    <xdr:from>
      <xdr:col>0</xdr:col>
      <xdr:colOff>869156</xdr:colOff>
      <xdr:row>308</xdr:row>
      <xdr:rowOff>154781</xdr:rowOff>
    </xdr:from>
    <xdr:to>
      <xdr:col>14</xdr:col>
      <xdr:colOff>75196</xdr:colOff>
      <xdr:row>325</xdr:row>
      <xdr:rowOff>1995</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1"/>
        <a:stretch>
          <a:fillRect/>
        </a:stretch>
      </xdr:blipFill>
      <xdr:spPr>
        <a:xfrm>
          <a:off x="869156" y="59078812"/>
          <a:ext cx="8028571" cy="3085714"/>
        </a:xfrm>
        <a:prstGeom prst="rect">
          <a:avLst/>
        </a:prstGeom>
        <a:ln>
          <a:solidFill>
            <a:sysClr val="windowText" lastClr="000000"/>
          </a:solidFill>
        </a:ln>
      </xdr:spPr>
    </xdr:pic>
    <xdr:clientData/>
  </xdr:twoCellAnchor>
  <xdr:twoCellAnchor editAs="oneCell">
    <xdr:from>
      <xdr:col>14</xdr:col>
      <xdr:colOff>535782</xdr:colOff>
      <xdr:row>308</xdr:row>
      <xdr:rowOff>71438</xdr:rowOff>
    </xdr:from>
    <xdr:to>
      <xdr:col>20</xdr:col>
      <xdr:colOff>92469</xdr:colOff>
      <xdr:row>319</xdr:row>
      <xdr:rowOff>147367</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2"/>
        <a:stretch>
          <a:fillRect/>
        </a:stretch>
      </xdr:blipFill>
      <xdr:spPr>
        <a:xfrm>
          <a:off x="9358313" y="58995469"/>
          <a:ext cx="3200000" cy="2171429"/>
        </a:xfrm>
        <a:prstGeom prst="rect">
          <a:avLst/>
        </a:prstGeom>
        <a:ln>
          <a:solidFill>
            <a:sysClr val="windowText" lastClr="000000"/>
          </a:solidFill>
        </a:ln>
      </xdr:spPr>
    </xdr:pic>
    <xdr:clientData/>
  </xdr:twoCellAnchor>
  <xdr:twoCellAnchor editAs="oneCell">
    <xdr:from>
      <xdr:col>20</xdr:col>
      <xdr:colOff>47625</xdr:colOff>
      <xdr:row>308</xdr:row>
      <xdr:rowOff>178594</xdr:rowOff>
    </xdr:from>
    <xdr:to>
      <xdr:col>25</xdr:col>
      <xdr:colOff>106769</xdr:colOff>
      <xdr:row>319</xdr:row>
      <xdr:rowOff>140237</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a:stretch>
          <a:fillRect/>
        </a:stretch>
      </xdr:blipFill>
      <xdr:spPr>
        <a:xfrm>
          <a:off x="12513469" y="59102625"/>
          <a:ext cx="3095238" cy="2057143"/>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13607</xdr:colOff>
      <xdr:row>7</xdr:row>
      <xdr:rowOff>231322</xdr:rowOff>
    </xdr:from>
    <xdr:to>
      <xdr:col>27</xdr:col>
      <xdr:colOff>40821</xdr:colOff>
      <xdr:row>8</xdr:row>
      <xdr:rowOff>40821</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a:off x="22601464" y="2054679"/>
          <a:ext cx="2190750" cy="54428"/>
        </a:xfrm>
        <a:prstGeom prst="straightConnector1">
          <a:avLst/>
        </a:prstGeom>
        <a:ln w="762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830037</xdr:colOff>
      <xdr:row>34</xdr:row>
      <xdr:rowOff>27214</xdr:rowOff>
    </xdr:from>
    <xdr:to>
      <xdr:col>37</xdr:col>
      <xdr:colOff>747973</xdr:colOff>
      <xdr:row>46</xdr:row>
      <xdr:rowOff>111536</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8727180" y="7715250"/>
          <a:ext cx="2693793" cy="252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33</xdr:col>
      <xdr:colOff>27215</xdr:colOff>
      <xdr:row>32</xdr:row>
      <xdr:rowOff>136071</xdr:rowOff>
    </xdr:from>
    <xdr:to>
      <xdr:col>34</xdr:col>
      <xdr:colOff>1267347</xdr:colOff>
      <xdr:row>48</xdr:row>
      <xdr:rowOff>178393</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45148501" y="7443107"/>
          <a:ext cx="2628060" cy="324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35</xdr:col>
      <xdr:colOff>796637</xdr:colOff>
      <xdr:row>32</xdr:row>
      <xdr:rowOff>173181</xdr:rowOff>
    </xdr:from>
    <xdr:to>
      <xdr:col>37</xdr:col>
      <xdr:colOff>1221039</xdr:colOff>
      <xdr:row>49</xdr:row>
      <xdr:rowOff>36135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8612137" y="7446817"/>
          <a:ext cx="3195311" cy="324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33</xdr:col>
      <xdr:colOff>34637</xdr:colOff>
      <xdr:row>32</xdr:row>
      <xdr:rowOff>155863</xdr:rowOff>
    </xdr:from>
    <xdr:to>
      <xdr:col>34</xdr:col>
      <xdr:colOff>1243156</xdr:colOff>
      <xdr:row>49</xdr:row>
      <xdr:rowOff>18817</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45079228" y="7429499"/>
          <a:ext cx="2593973" cy="324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R79"/>
  <sheetViews>
    <sheetView showGridLines="0" zoomScale="85" zoomScaleNormal="85" zoomScaleSheetLayoutView="90" workbookViewId="0">
      <selection activeCell="B8" sqref="B8"/>
    </sheetView>
  </sheetViews>
  <sheetFormatPr defaultRowHeight="15" x14ac:dyDescent="0.25"/>
  <cols>
    <col min="1" max="1" width="30.28515625" customWidth="1"/>
    <col min="2" max="2" width="27" bestFit="1" customWidth="1"/>
    <col min="3" max="3" width="16" customWidth="1"/>
    <col min="4" max="4" width="10.28515625" customWidth="1"/>
    <col min="5" max="5" width="28.140625" customWidth="1"/>
    <col min="6" max="6" width="15.85546875" customWidth="1"/>
    <col min="7" max="7" width="10.85546875" customWidth="1"/>
    <col min="8" max="8" width="12.7109375" customWidth="1"/>
    <col min="12" max="12" width="24.28515625" customWidth="1"/>
    <col min="13" max="13" width="3.7109375" customWidth="1"/>
    <col min="14" max="14" width="20.140625" customWidth="1"/>
    <col min="15" max="15" width="72.42578125" customWidth="1"/>
    <col min="16" max="16" width="18.5703125" customWidth="1"/>
    <col min="17" max="17" width="12.140625" customWidth="1"/>
    <col min="18" max="18" width="16.140625" customWidth="1"/>
    <col min="19" max="19" width="11.7109375" customWidth="1"/>
  </cols>
  <sheetData>
    <row r="1" spans="1:16" ht="54" customHeight="1" x14ac:dyDescent="0.25">
      <c r="A1" s="1"/>
      <c r="B1" s="2"/>
      <c r="C1" s="47"/>
      <c r="D1" s="47"/>
      <c r="E1" s="47"/>
      <c r="F1" s="47"/>
      <c r="G1" s="47"/>
      <c r="H1" s="47"/>
      <c r="I1" s="47"/>
      <c r="J1" s="47"/>
      <c r="K1" s="47"/>
      <c r="L1" s="188"/>
    </row>
    <row r="2" spans="1:16" ht="31.5" x14ac:dyDescent="0.5">
      <c r="A2" s="44" t="s">
        <v>224</v>
      </c>
      <c r="B2" s="45"/>
      <c r="C2" s="47"/>
      <c r="D2" s="47"/>
      <c r="E2" s="47"/>
      <c r="F2" s="47"/>
      <c r="G2" s="47"/>
      <c r="H2" s="47"/>
      <c r="I2" s="47"/>
      <c r="K2" s="47"/>
      <c r="L2" s="188"/>
    </row>
    <row r="3" spans="1:16" ht="21" x14ac:dyDescent="0.35">
      <c r="A3" s="46" t="s">
        <v>1</v>
      </c>
      <c r="B3" s="47"/>
      <c r="C3" s="47"/>
      <c r="D3" s="47"/>
      <c r="E3" s="47"/>
      <c r="F3" s="47"/>
      <c r="G3" s="47"/>
      <c r="H3" s="47"/>
      <c r="I3" s="47"/>
      <c r="K3" s="47"/>
      <c r="L3" s="188"/>
    </row>
    <row r="4" spans="1:16" ht="15.75" x14ac:dyDescent="0.25">
      <c r="A4" s="280" t="s">
        <v>309</v>
      </c>
      <c r="B4" s="47"/>
      <c r="C4" s="47"/>
      <c r="D4" s="47"/>
      <c r="E4" s="47"/>
      <c r="F4" s="47"/>
      <c r="G4" s="47"/>
      <c r="H4" s="47"/>
      <c r="I4" s="47"/>
      <c r="J4" s="47"/>
      <c r="K4" s="47"/>
      <c r="L4" s="188"/>
    </row>
    <row r="5" spans="1:16" ht="16.5" thickBot="1" x14ac:dyDescent="0.3">
      <c r="A5" s="281" t="s">
        <v>144</v>
      </c>
      <c r="B5" s="50"/>
      <c r="C5" s="47"/>
      <c r="D5" s="47"/>
      <c r="E5" s="47"/>
      <c r="F5" s="47"/>
      <c r="G5" s="47"/>
      <c r="H5" s="47"/>
      <c r="I5" s="47"/>
      <c r="J5" s="47"/>
      <c r="K5" s="47"/>
      <c r="L5" s="189"/>
    </row>
    <row r="6" spans="1:16" x14ac:dyDescent="0.25">
      <c r="A6" s="59"/>
      <c r="B6" s="59"/>
      <c r="C6" s="59"/>
      <c r="D6" s="61"/>
      <c r="E6" s="60"/>
      <c r="F6" s="60"/>
      <c r="G6" s="60"/>
      <c r="H6" s="60"/>
      <c r="I6" s="60"/>
      <c r="J6" s="60"/>
      <c r="K6" s="60"/>
      <c r="L6" s="190"/>
    </row>
    <row r="7" spans="1:16" ht="23.25" x14ac:dyDescent="0.35">
      <c r="A7" s="41" t="s">
        <v>2</v>
      </c>
      <c r="B7" s="42"/>
      <c r="C7" s="42"/>
      <c r="D7" s="853" t="s">
        <v>11</v>
      </c>
      <c r="E7" s="854"/>
      <c r="F7" s="43"/>
      <c r="G7" s="43"/>
      <c r="H7" s="43"/>
      <c r="I7" s="43"/>
      <c r="J7" s="43"/>
      <c r="K7" s="43"/>
      <c r="L7" s="191"/>
    </row>
    <row r="8" spans="1:16" ht="18.75" x14ac:dyDescent="0.3">
      <c r="A8" s="52" t="s">
        <v>3</v>
      </c>
      <c r="B8" s="181" t="s">
        <v>225</v>
      </c>
      <c r="C8" s="53"/>
      <c r="D8" s="62"/>
      <c r="E8" s="58" t="s">
        <v>102</v>
      </c>
      <c r="F8" s="174" t="e">
        <f ca="1">SHEETDATA!P2</f>
        <v>#N/A</v>
      </c>
      <c r="G8" s="170"/>
      <c r="H8" s="54"/>
      <c r="I8" s="54"/>
      <c r="J8" s="54"/>
      <c r="K8" s="54"/>
      <c r="L8" s="192"/>
      <c r="N8" s="421" t="str">
        <f ca="1">IF(AND('DATA ENTRY'!O9="",'DATA ENTRY'!O10="",'DATA ENTRY'!O11="",'DATA ENTRY'!O12="",'DATA ENTRY'!O13="", 'DATA ENTRY'!O15=""),"","WARNINGS:")</f>
        <v/>
      </c>
    </row>
    <row r="9" spans="1:16" ht="18.75" x14ac:dyDescent="0.3">
      <c r="A9" s="55" t="s">
        <v>117</v>
      </c>
      <c r="B9" s="182" t="s">
        <v>229</v>
      </c>
      <c r="C9" s="56"/>
      <c r="D9" s="63"/>
      <c r="E9" s="58" t="s">
        <v>12</v>
      </c>
      <c r="F9" s="266">
        <f ca="1">IFERROR(SHEETDATA!P3,0)</f>
        <v>0</v>
      </c>
      <c r="G9" s="170" t="s">
        <v>45</v>
      </c>
      <c r="H9" s="515">
        <f ca="1">F9/10.764</f>
        <v>0</v>
      </c>
      <c r="I9" s="57" t="s">
        <v>250</v>
      </c>
      <c r="J9" s="57"/>
      <c r="K9" s="57"/>
      <c r="L9" s="186"/>
      <c r="N9" s="145" t="str">
        <f>IF(O9="","","LOUVER WIDTH:")</f>
        <v/>
      </c>
      <c r="O9" t="str">
        <f>IF(OR(B10="ENTER WIDTH",B8="SELECT MODEL"),"",IF(AND(B10&lt;SHEETDATA!V17,B9="Inch"),"Louver Width must be at least "&amp;SHEETDATA!V17&amp;" inches (ACTUAL).",IF(AND(B10&lt;(SHEETDATA!V17+0.5),B12="Nominal",B9="Inch"),"Louver Width must be at least "&amp;SHEETDATA!V17&amp;" inches (ACTUAL).",IF(AND(B10&lt;SHEETDATA!Y17,B9="mm"),"Louver Width must be at least "&amp;SHEETDATA!Y17&amp;" mm (ACTUAL).",IF(AND(B10&lt;(SHEETDATA!Y17+12.7),B12="Nominal",B9="mm"),"LouverWidth must be at least "&amp;SHEETDATA!Y17&amp;" mm (ACTUAL).",IF(AND(B10&gt;SHEETDATA!AB17,B9="Inch",B12="Actual"),"Louver Width must be less than "&amp;SHEETDATA!AB17&amp;" inches (ACTUAL).",IF(AND(B10&gt;(SHEETDATA!AB17+0.5),B12="Nominal",B9="Inch"),"Louver Width must be less than "&amp;SHEETDATA!AB17&amp;" inches (ACTUAL).",IF(AND(B10&gt;SHEETDATA!AE17,B9="mm",B12="Actual"),"Louver Width must be less than "&amp;SHEETDATA!AE17&amp;" mm (ACTUAL).",IF(AND(B10&gt;(SHEETDATA!AE17+12.7),B12="Nominal",B9="mm"),"Louver Width must be less than "&amp;SHEETDATA!AE17&amp;" mm (ACTUAL).","")))))))))</f>
        <v/>
      </c>
    </row>
    <row r="10" spans="1:16" ht="18.75" x14ac:dyDescent="0.3">
      <c r="A10" s="55" t="s">
        <v>4</v>
      </c>
      <c r="B10" s="431" t="s">
        <v>316</v>
      </c>
      <c r="C10" s="56" t="str">
        <f>IF(B9="Inch","in.",IF(B9="mm","mm",""))</f>
        <v/>
      </c>
      <c r="D10" s="63"/>
      <c r="E10" s="58" t="s">
        <v>281</v>
      </c>
      <c r="F10" s="266">
        <f ca="1">IFERROR(SHEETDATA!P12,0)</f>
        <v>0</v>
      </c>
      <c r="G10" s="170" t="s">
        <v>45</v>
      </c>
      <c r="H10" s="515">
        <f ca="1">F10/10.764</f>
        <v>0</v>
      </c>
      <c r="I10" s="57" t="s">
        <v>250</v>
      </c>
      <c r="J10" s="57"/>
      <c r="K10" s="57"/>
      <c r="L10" s="186"/>
      <c r="N10" s="145" t="str">
        <f>IF(O10="","","LOUVER HEIGHT:")</f>
        <v/>
      </c>
      <c r="O10" t="str">
        <f>IF(OR(B11="ENTER HEIGHT",B8="SELECT MODEL"),"", IF(AND(B11&lt;SHEETDATA!W17,B9="Inch"), "Louver Height must be at least "&amp;SHEETDATA!W17&amp;" inches (ACTUAL).",IF(AND(B11&lt;(SHEETDATA!W17+0.5),B12="Nominal",B9="Inch"),"Louver Height must be at least "&amp;SHEETDATA!W17&amp;" inches (ACTUAL).",IF(AND(B11&lt;SHEETDATA!Z17,B9="mm"),"Louver Height must be at least "&amp;SHEETDATA!Z17&amp;" mm (ACTUAL).",IF(AND(B11&lt;(SHEETDATA!Z17+12.7),B12="Nominal",B9="mm"),"Louver Height must be at least "&amp;SHEETDATA!Y17&amp;" mm (ACTUAL).",IF(AND(B11&gt;SHEETDATA!AC17,B9="Inch",B12="Actual"), "Louver Height must be less than "&amp;SHEETDATA!AC17&amp;" inches (ACTUAL).",IF(AND(B11&gt;(SHEETDATA!AC17+0.5),B12="Nominal",B9="Inch"),"Louver Height must be less than "&amp;SHEETDATA!AC17&amp;" inches (ACTUAL).",IF(AND(B11&gt;SHEETDATA!AF17,B9="mm",B12="Actual"),"Louver Height must be less than "&amp;SHEETDATA!AF17&amp;" mm (ACTUAL).",IF(AND(B11&gt;(SHEETDATA!AF17+12.7),B12="Nominal",B9="mm"),"Louver Height must be less than "&amp;SHEETDATA!Y17&amp;" mm (ACTUAL).","")))))))))</f>
        <v/>
      </c>
    </row>
    <row r="11" spans="1:16" ht="18.75" x14ac:dyDescent="0.3">
      <c r="A11" s="55" t="s">
        <v>5</v>
      </c>
      <c r="B11" s="432" t="s">
        <v>317</v>
      </c>
      <c r="C11" s="56" t="str">
        <f>IF(B9="Inch","in.",IF(B9="mm","mm",""))</f>
        <v/>
      </c>
      <c r="D11" s="63"/>
      <c r="E11" s="58" t="s">
        <v>13</v>
      </c>
      <c r="F11" s="379">
        <f ca="1">IFERROR(SHEETDATA!P4,0)</f>
        <v>0</v>
      </c>
      <c r="G11" s="57" t="s">
        <v>16</v>
      </c>
      <c r="H11" s="517">
        <f ca="1">F11</f>
        <v>0</v>
      </c>
      <c r="I11" s="57" t="s">
        <v>16</v>
      </c>
      <c r="J11" s="57"/>
      <c r="K11" s="57"/>
      <c r="L11" s="186"/>
      <c r="N11" s="145" t="str">
        <f>IF(O11="","","FREE AREA VELOCITY:")</f>
        <v/>
      </c>
      <c r="O11" s="145" t="str">
        <f>IF(F13="N/A","",IF(F12&gt;=F13,"Exceeding water penetration point, consider reducing the free area velocity.",IF(AND(F12&lt;F13,F12&gt;=(F13*0.9)),"Approaching water penetration point, consider reducing the free area velocity.","")))</f>
        <v/>
      </c>
    </row>
    <row r="12" spans="1:16" ht="18.75" x14ac:dyDescent="0.3">
      <c r="A12" s="55" t="s">
        <v>227</v>
      </c>
      <c r="B12" s="182" t="s">
        <v>228</v>
      </c>
      <c r="C12" s="56"/>
      <c r="D12" s="63"/>
      <c r="E12" s="58" t="s">
        <v>14</v>
      </c>
      <c r="F12" s="267">
        <f ca="1">IFERROR(SHEETDATA!P5,0)</f>
        <v>0</v>
      </c>
      <c r="G12" s="57" t="s">
        <v>0</v>
      </c>
      <c r="H12" s="527">
        <f ca="1">F12*0.00508</f>
        <v>0</v>
      </c>
      <c r="I12" s="57" t="s">
        <v>262</v>
      </c>
      <c r="J12" s="57"/>
      <c r="K12" s="57"/>
      <c r="L12" s="186"/>
      <c r="N12" s="145" t="str">
        <f ca="1">IF(O12="","","PRESSURE DROP:")</f>
        <v/>
      </c>
      <c r="O12" s="145" t="str">
        <f ca="1">IF(F15&gt;4.81034238243,"Exceeding recommended pressure drop limit, reduce pressure drop.","")</f>
        <v/>
      </c>
    </row>
    <row r="13" spans="1:16" ht="18.75" x14ac:dyDescent="0.3">
      <c r="A13" s="55" t="s">
        <v>49</v>
      </c>
      <c r="B13" s="538" t="s">
        <v>313</v>
      </c>
      <c r="C13" s="56" t="str">
        <f>IF(B9="INCH","CFM",IF(B9="mm","L/s",""))</f>
        <v/>
      </c>
      <c r="D13" s="63"/>
      <c r="E13" s="58" t="s">
        <v>50</v>
      </c>
      <c r="F13" s="267" t="str">
        <f>IF(B8="SELECT MODEL","N/A",IF(B14="INTAKE",INDEX(SHEETDATA!H2:I16, MATCH('DATA ENTRY'!B8,SHEETDATA!H2:H16,0),2),"N/A"))</f>
        <v>N/A</v>
      </c>
      <c r="G13" s="57" t="s">
        <v>0</v>
      </c>
      <c r="H13" s="527" t="str">
        <f>IF(F13="N/A","N/A",F13*0.00508)</f>
        <v>N/A</v>
      </c>
      <c r="I13" s="57" t="s">
        <v>262</v>
      </c>
      <c r="J13" s="57" t="s">
        <v>275</v>
      </c>
      <c r="K13" s="57"/>
      <c r="L13" s="186"/>
      <c r="N13" t="str">
        <f>IF(O13="","","AREA:")</f>
        <v/>
      </c>
      <c r="O13" t="str">
        <f>IF(AND(OR(B8="DE445M",B8="ZE445M"),(SHEETDATA!P16)&gt;60),"Overall square footage cannot exceed 60 sq.ft. Your current selection is "&amp;FIXED(SHEETDATA!P16,0)&amp;" sq.ft.","")</f>
        <v/>
      </c>
    </row>
    <row r="14" spans="1:16" ht="18.75" x14ac:dyDescent="0.3">
      <c r="A14" s="55" t="s">
        <v>6</v>
      </c>
      <c r="B14" s="182" t="s">
        <v>226</v>
      </c>
      <c r="C14" s="56"/>
      <c r="D14" s="63"/>
      <c r="E14" s="58" t="s">
        <v>276</v>
      </c>
      <c r="F14" s="267">
        <f ca="1">IFERROR(SHEETDATA!P13,0)</f>
        <v>0</v>
      </c>
      <c r="G14" s="57" t="s">
        <v>0</v>
      </c>
      <c r="H14" s="517">
        <f ca="1">F14*0.00508</f>
        <v>0</v>
      </c>
      <c r="I14" s="57" t="s">
        <v>262</v>
      </c>
      <c r="J14" s="57"/>
      <c r="K14" s="57"/>
      <c r="L14" s="186"/>
      <c r="N14" t="str">
        <f>IF(O14="","","WATER PENETRATION:")</f>
        <v/>
      </c>
      <c r="O14" s="175" t="str">
        <f>IF(OR(B8="DE445M", B8="ZE445M"),"Water Penetration has not been tested for "&amp;B8&amp;".","")</f>
        <v/>
      </c>
    </row>
    <row r="15" spans="1:16" ht="18.75" x14ac:dyDescent="0.3">
      <c r="A15" s="55"/>
      <c r="B15" s="182"/>
      <c r="C15" s="56"/>
      <c r="D15" s="63"/>
      <c r="E15" s="58" t="s">
        <v>15</v>
      </c>
      <c r="F15" s="266">
        <f ca="1">IFERROR(SHEETDATA!P6,0)</f>
        <v>0</v>
      </c>
      <c r="G15" s="57" t="s">
        <v>99</v>
      </c>
      <c r="H15" s="516">
        <f ca="1">F15*248.84</f>
        <v>0</v>
      </c>
      <c r="I15" s="57" t="s">
        <v>263</v>
      </c>
      <c r="J15" s="57"/>
      <c r="K15" s="57"/>
      <c r="L15" s="186"/>
      <c r="N15" s="730" t="str">
        <f>IF(O15="","","APPLICATION:")</f>
        <v/>
      </c>
      <c r="O15" s="817" t="str">
        <f>IF(OR(AND(B8="KX445", B14="Intake"), AND(B8="KX645", B14="Intake")), "Not tested for intake applications. No pressure drop data available.", "")</f>
        <v/>
      </c>
      <c r="P15" s="47"/>
    </row>
    <row r="16" spans="1:16" ht="18.75" x14ac:dyDescent="0.3">
      <c r="A16" s="523" t="s">
        <v>256</v>
      </c>
      <c r="B16" s="521"/>
      <c r="C16" s="56"/>
      <c r="D16" s="63"/>
      <c r="E16" s="58" t="s">
        <v>171</v>
      </c>
      <c r="F16" s="58" t="e">
        <f ca="1">SHEETDATA!P7</f>
        <v>#N/A</v>
      </c>
      <c r="G16" s="57"/>
      <c r="H16" s="63" t="e">
        <f ca="1">F16</f>
        <v>#N/A</v>
      </c>
      <c r="I16" s="57"/>
      <c r="J16" s="57"/>
      <c r="K16" s="57"/>
      <c r="L16" s="186"/>
    </row>
    <row r="17" spans="1:13" ht="18.75" x14ac:dyDescent="0.3">
      <c r="A17" s="55" t="s">
        <v>252</v>
      </c>
      <c r="B17" s="519" t="s">
        <v>254</v>
      </c>
      <c r="C17" s="56"/>
      <c r="D17" s="63"/>
      <c r="E17" s="58" t="s">
        <v>210</v>
      </c>
      <c r="F17" s="267">
        <f ca="1">IFERROR(SHEETDATA!P8,0)</f>
        <v>0</v>
      </c>
      <c r="G17" s="57" t="s">
        <v>86</v>
      </c>
      <c r="H17" s="516">
        <f ca="1">F17/2.205</f>
        <v>0</v>
      </c>
      <c r="I17" s="57" t="s">
        <v>251</v>
      </c>
      <c r="J17" s="57"/>
      <c r="K17" s="57"/>
      <c r="L17" s="186"/>
    </row>
    <row r="18" spans="1:13" ht="19.5" thickBot="1" x14ac:dyDescent="0.35">
      <c r="A18" s="522" t="s">
        <v>253</v>
      </c>
      <c r="B18" s="524" t="s">
        <v>255</v>
      </c>
      <c r="C18" s="183"/>
      <c r="D18" s="184"/>
      <c r="E18" s="185" t="s">
        <v>211</v>
      </c>
      <c r="F18" s="546">
        <f ca="1">IFERROR(SHEETDATA!P9,0)</f>
        <v>0</v>
      </c>
      <c r="G18" s="185" t="s">
        <v>86</v>
      </c>
      <c r="H18" s="547">
        <f ca="1">F18/2.205</f>
        <v>0</v>
      </c>
      <c r="I18" s="185" t="s">
        <v>251</v>
      </c>
      <c r="J18" s="185"/>
      <c r="K18" s="185"/>
      <c r="L18" s="187"/>
    </row>
    <row r="19" spans="1:13" ht="19.5" thickTop="1" x14ac:dyDescent="0.3">
      <c r="A19" s="542" t="s">
        <v>274</v>
      </c>
      <c r="B19" s="51"/>
      <c r="C19" s="51"/>
    </row>
    <row r="20" spans="1:13" ht="18.75" x14ac:dyDescent="0.3">
      <c r="A20" s="265" t="str">
        <f>IF(B8="SELECT MODEL","","Standard Minimum Size for "&amp;B8&amp;" is: "&amp;SHEETDATA!U18&amp;" (W x H) (ACTUAL)")</f>
        <v/>
      </c>
      <c r="B20" s="139"/>
      <c r="C20" s="51"/>
      <c r="E20" s="51"/>
      <c r="F20" s="51"/>
      <c r="G20" s="51"/>
    </row>
    <row r="21" spans="1:13" ht="18.75" x14ac:dyDescent="0.3">
      <c r="A21" s="265" t="s">
        <v>179</v>
      </c>
      <c r="B21" s="51"/>
      <c r="C21" s="51"/>
      <c r="D21" s="51"/>
      <c r="E21" s="51"/>
      <c r="F21" s="51"/>
      <c r="G21" s="51"/>
      <c r="H21" s="51"/>
      <c r="I21" s="51"/>
      <c r="J21" s="51"/>
      <c r="K21" s="51"/>
      <c r="L21" s="51"/>
    </row>
    <row r="22" spans="1:13" ht="18.75" x14ac:dyDescent="0.3">
      <c r="A22" s="265" t="s">
        <v>181</v>
      </c>
      <c r="D22" s="51"/>
      <c r="F22" s="380"/>
      <c r="G22" s="51"/>
      <c r="H22" s="51"/>
      <c r="I22" s="51"/>
      <c r="J22" s="51"/>
      <c r="K22" s="51"/>
      <c r="L22" s="51"/>
      <c r="M22" s="51"/>
    </row>
    <row r="23" spans="1:13" ht="18.75" x14ac:dyDescent="0.3">
      <c r="A23" s="265" t="str">
        <f>IF(B8="SELECT MODEL","",IF(B14="INTAKE","Water Penetration Point is based on Free Area Velocity.",""))</f>
        <v/>
      </c>
      <c r="F23" s="51"/>
      <c r="G23" s="51"/>
      <c r="H23" s="51"/>
      <c r="I23" s="51"/>
      <c r="J23" s="51"/>
      <c r="K23" s="51"/>
      <c r="L23" s="51"/>
      <c r="M23" s="51"/>
    </row>
    <row r="24" spans="1:13" ht="18.75" x14ac:dyDescent="0.3">
      <c r="F24" s="51"/>
      <c r="G24" s="51"/>
      <c r="H24" s="51"/>
      <c r="I24" s="51"/>
      <c r="J24" s="51"/>
      <c r="K24" s="51"/>
      <c r="L24" s="51"/>
      <c r="M24" s="51"/>
    </row>
    <row r="25" spans="1:13" ht="19.5" thickBot="1" x14ac:dyDescent="0.35">
      <c r="F25" s="51"/>
      <c r="G25" s="51"/>
      <c r="H25" s="51"/>
      <c r="I25" s="51"/>
      <c r="J25" s="51"/>
      <c r="K25" s="51"/>
      <c r="L25" s="51"/>
      <c r="M25" s="51"/>
    </row>
    <row r="26" spans="1:13" ht="18.75" x14ac:dyDescent="0.3">
      <c r="A26" s="528" t="s">
        <v>258</v>
      </c>
      <c r="B26" s="529" t="str">
        <f>IF(A27="L/s to CFM:","L/s","CFM")</f>
        <v>L/s</v>
      </c>
      <c r="C26" s="530" t="str">
        <f>IF(A27="L/s to CFM:","CFM","L/s")</f>
        <v>CFM</v>
      </c>
      <c r="H26" s="51"/>
      <c r="I26" s="51"/>
      <c r="J26" s="51"/>
      <c r="K26" s="51"/>
      <c r="L26" s="51"/>
      <c r="M26" s="51"/>
    </row>
    <row r="27" spans="1:13" ht="19.5" thickBot="1" x14ac:dyDescent="0.35">
      <c r="A27" s="531" t="s">
        <v>259</v>
      </c>
      <c r="B27" s="532">
        <v>0</v>
      </c>
      <c r="C27" s="533">
        <f>IF(A27="L/s to CFM:",B27*2.1188799727597,B27/2.1188799727597)</f>
        <v>0</v>
      </c>
      <c r="H27" s="51"/>
      <c r="I27" s="51"/>
      <c r="J27" s="51"/>
      <c r="K27" s="51"/>
      <c r="L27" s="51"/>
      <c r="M27" s="51"/>
    </row>
    <row r="28" spans="1:13" ht="18.75" x14ac:dyDescent="0.3">
      <c r="B28" s="145"/>
      <c r="H28" s="51"/>
      <c r="I28" s="51"/>
      <c r="J28" s="51"/>
      <c r="K28" s="51"/>
      <c r="L28" s="51"/>
    </row>
    <row r="36" spans="5:14" ht="23.25" x14ac:dyDescent="0.35">
      <c r="N36" s="82"/>
    </row>
    <row r="46" spans="5:14" ht="18.75" x14ac:dyDescent="0.3">
      <c r="E46" s="51"/>
      <c r="F46" s="51"/>
    </row>
    <row r="53" spans="5:13" ht="29.25" customHeight="1" x14ac:dyDescent="0.25"/>
    <row r="57" spans="5:13" ht="38.25" customHeight="1" x14ac:dyDescent="0.25"/>
    <row r="61" spans="5:13" ht="18.75" x14ac:dyDescent="0.3">
      <c r="E61" s="51"/>
      <c r="F61" s="51"/>
      <c r="G61" s="51"/>
      <c r="M61" s="51"/>
    </row>
    <row r="62" spans="5:13" ht="18.75" x14ac:dyDescent="0.3">
      <c r="E62" s="51"/>
      <c r="F62" s="51"/>
      <c r="G62" s="51"/>
      <c r="H62" s="51"/>
      <c r="I62" s="51"/>
      <c r="J62" s="51"/>
      <c r="K62" s="51"/>
      <c r="L62" s="51"/>
      <c r="M62" s="51"/>
    </row>
    <row r="63" spans="5:13" ht="18.75" x14ac:dyDescent="0.3">
      <c r="H63" s="51"/>
      <c r="I63" s="51"/>
      <c r="J63" s="51"/>
      <c r="K63" s="51"/>
      <c r="L63" s="51"/>
    </row>
    <row r="77" spans="14:18" x14ac:dyDescent="0.25">
      <c r="N77" s="84"/>
      <c r="O77" s="84"/>
      <c r="P77" s="84"/>
      <c r="Q77" s="84"/>
      <c r="R77" s="84"/>
    </row>
    <row r="78" spans="14:18" x14ac:dyDescent="0.25">
      <c r="N78" s="84"/>
      <c r="O78" s="84"/>
      <c r="P78" s="84"/>
      <c r="Q78" s="84"/>
      <c r="R78" s="84"/>
    </row>
    <row r="79" spans="14:18" x14ac:dyDescent="0.25">
      <c r="N79" s="84"/>
      <c r="O79" s="84"/>
      <c r="P79" s="84"/>
      <c r="Q79" s="84"/>
      <c r="R79" s="84"/>
    </row>
  </sheetData>
  <sheetProtection algorithmName="SHA-512" hashValue="7G/5ctdWJS4ZAiwdzEH+bl3eT/v+eIVwmGjsmPpaxmykOo03mDojg1sIEGuF6q/zh33z9BUhAelgmlzunLXTGw==" saltValue="RX/yGnMHdaeKSIVg/XmHWQ==" spinCount="100000" sheet="1" selectLockedCells="1"/>
  <mergeCells count="1">
    <mergeCell ref="D7:E7"/>
  </mergeCells>
  <conditionalFormatting sqref="B10 N9:O9">
    <cfRule type="expression" dxfId="15" priority="27">
      <formula>IF($N$9="LOUVER WIDTH:",TRUE,FALSE)</formula>
    </cfRule>
  </conditionalFormatting>
  <conditionalFormatting sqref="B10:B11 N13:O13">
    <cfRule type="expression" dxfId="14" priority="17">
      <formula>IF($N$13="AREA:",TRUE,FALSE)</formula>
    </cfRule>
  </conditionalFormatting>
  <conditionalFormatting sqref="B10:B11">
    <cfRule type="expression" dxfId="13" priority="14">
      <formula>$B$9="mm"</formula>
    </cfRule>
  </conditionalFormatting>
  <conditionalFormatting sqref="B11 N10:O10">
    <cfRule type="expression" dxfId="12" priority="26">
      <formula>IF($N$10="LOUVER HEIGHT:",TRUE,FALSE)</formula>
    </cfRule>
  </conditionalFormatting>
  <conditionalFormatting sqref="F12:F13">
    <cfRule type="expression" dxfId="11" priority="8">
      <formula>IF($F$12&lt;=($F$13*0.9),TRUE,FALSE)</formula>
    </cfRule>
    <cfRule type="expression" dxfId="10" priority="9">
      <formula>IF(AND($F$12&gt;($F$13*0.9),$F$12&lt;=$F$13),TRUE,FALSE)</formula>
    </cfRule>
    <cfRule type="expression" dxfId="9" priority="10">
      <formula>IF($F$12&gt;$F$13,TRUE,FALSE)</formula>
    </cfRule>
  </conditionalFormatting>
  <conditionalFormatting sqref="H12:H13">
    <cfRule type="expression" dxfId="8" priority="5">
      <formula>IF($F$12&lt;=($F$13*0.9),TRUE,FALSE)</formula>
    </cfRule>
    <cfRule type="expression" dxfId="7" priority="6">
      <formula>IF(AND($F$12&gt;($F$13*0.9),$F$12&lt;=$F$13),TRUE,FALSE)</formula>
    </cfRule>
    <cfRule type="expression" dxfId="6" priority="7">
      <formula>IF($F$12&gt;$F$13,TRUE,FALSE)</formula>
    </cfRule>
  </conditionalFormatting>
  <conditionalFormatting sqref="N11:O11">
    <cfRule type="expression" dxfId="5" priority="53">
      <formula>IF(AND($F$12&gt;($F$13*0.9),$F$12&lt;=$F$13),TRUE,FALSE)</formula>
    </cfRule>
    <cfRule type="expression" dxfId="4" priority="54">
      <formula>IF($F$12&gt;$F$13,TRUE,FALSE)</formula>
    </cfRule>
  </conditionalFormatting>
  <conditionalFormatting sqref="N12:O12 F15 H15">
    <cfRule type="expression" dxfId="3" priority="21">
      <formula>IF($N$12="Pressure Drop:",TRUE,FALSE)</formula>
    </cfRule>
  </conditionalFormatting>
  <conditionalFormatting sqref="N14:O14">
    <cfRule type="expression" dxfId="2" priority="15">
      <formula>IF($N$14="WATER PENETRATION:",TRUE,FALSE)</formula>
    </cfRule>
  </conditionalFormatting>
  <conditionalFormatting sqref="N15:O15">
    <cfRule type="expression" dxfId="1" priority="1">
      <formula>IF($N$15="APPLICATION:",TRUE,FALSE)</formula>
    </cfRule>
  </conditionalFormatting>
  <dataValidations count="1">
    <dataValidation type="list" allowBlank="1" showInputMessage="1" showErrorMessage="1" sqref="B8" xr:uid="{00000000-0002-0000-0000-000000000000}">
      <formula1>MODELS</formula1>
    </dataValidation>
  </dataValidations>
  <pageMargins left="0.7" right="0.7" top="0.75" bottom="0.75" header="0.3" footer="0.3"/>
  <pageSetup scale="46" orientation="portrait" r:id="rId1"/>
  <rowBreaks count="1" manualBreakCount="1">
    <brk id="36" max="23" man="1"/>
  </rowBreaks>
  <ignoredErrors>
    <ignoredError sqref="H13"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SHEETDATA!$E$2:$E$4</xm:f>
          </x14:formula1>
          <xm:sqref>B14</xm:sqref>
        </x14:dataValidation>
        <x14:dataValidation type="list" allowBlank="1" showInputMessage="1" showErrorMessage="1" xr:uid="{00000000-0002-0000-0000-000002000000}">
          <x14:formula1>
            <xm:f>SHEETDATA!$E$6:$E$8</xm:f>
          </x14:formula1>
          <xm:sqref>B12</xm:sqref>
        </x14:dataValidation>
        <x14:dataValidation type="list" allowBlank="1" showInputMessage="1" showErrorMessage="1" xr:uid="{00000000-0002-0000-0000-000003000000}">
          <x14:formula1>
            <xm:f>SHEETDATA!$E$10:$E$12</xm:f>
          </x14:formula1>
          <xm:sqref>B9</xm:sqref>
        </x14:dataValidation>
        <x14:dataValidation type="list" allowBlank="1" showInputMessage="1" showErrorMessage="1" xr:uid="{00000000-0002-0000-0000-000004000000}">
          <x14:formula1>
            <xm:f>SHEETDATA!$E$14:$E$15</xm:f>
          </x14:formula1>
          <xm:sqref>A27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X278"/>
  <sheetViews>
    <sheetView zoomScale="55" zoomScaleNormal="55" workbookViewId="0">
      <selection activeCell="D28" sqref="D28"/>
    </sheetView>
  </sheetViews>
  <sheetFormatPr defaultRowHeight="15" x14ac:dyDescent="0.25"/>
  <cols>
    <col min="1" max="1" width="12.85546875" customWidth="1"/>
    <col min="2" max="2" width="21.28515625" customWidth="1"/>
    <col min="3" max="3" width="19.7109375" customWidth="1"/>
    <col min="4" max="4" width="14.5703125" customWidth="1"/>
    <col min="5" max="5" width="19.85546875" customWidth="1"/>
    <col min="6" max="13" width="15" customWidth="1"/>
    <col min="14" max="14" width="20.7109375" customWidth="1"/>
    <col min="15" max="15" width="17.85546875" customWidth="1"/>
    <col min="16" max="16" width="13.42578125" customWidth="1"/>
    <col min="17" max="17" width="9.85546875" customWidth="1"/>
    <col min="18" max="18" width="10" customWidth="1"/>
    <col min="19" max="19" width="13.42578125" customWidth="1"/>
    <col min="20" max="20" width="10.28515625" customWidth="1"/>
    <col min="21" max="21" width="15.140625" customWidth="1"/>
    <col min="22" max="22" width="9.140625" customWidth="1"/>
    <col min="23" max="23" width="12.42578125" customWidth="1"/>
    <col min="24" max="24" width="17.28515625" customWidth="1"/>
    <col min="25" max="25" width="16.42578125" customWidth="1"/>
    <col min="26" max="26" width="11.7109375" customWidth="1"/>
    <col min="28" max="31" width="9.140625" customWidth="1"/>
    <col min="32" max="32" width="9.85546875" customWidth="1"/>
    <col min="33" max="35" width="9.140625" customWidth="1"/>
    <col min="38" max="38" width="9.140625" customWidth="1"/>
    <col min="39" max="39" width="15" customWidth="1"/>
    <col min="40"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7" width="0" hidden="1" customWidth="1"/>
    <col min="108" max="109" width="9.140625" hidden="1" customWidth="1"/>
    <col min="110" max="111" width="9.140625" customWidth="1"/>
    <col min="112" max="115" width="9.140625" hidden="1" customWidth="1"/>
    <col min="116" max="116" width="0" hidden="1" customWidth="1"/>
    <col min="117" max="117" width="12.140625"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59" width="9.140625" hidden="1" customWidth="1"/>
    <col min="160" max="161" width="9.140625" customWidth="1"/>
    <col min="162" max="165" width="9.140625" hidden="1" customWidth="1"/>
    <col min="166" max="167" width="0" hidden="1" customWidth="1"/>
    <col min="168" max="169" width="9.140625" hidden="1" customWidth="1"/>
    <col min="170" max="171" width="9.140625" customWidth="1"/>
    <col min="172" max="175" width="9.140625" hidden="1" customWidth="1"/>
    <col min="176" max="177" width="0" hidden="1" customWidth="1"/>
    <col min="178" max="179" width="9.140625" hidden="1" customWidth="1"/>
    <col min="180" max="181" width="9.140625" customWidth="1"/>
    <col min="182" max="185" width="9.140625" hidden="1" customWidth="1"/>
    <col min="186" max="187" width="0" hidden="1" customWidth="1"/>
    <col min="188" max="189" width="9.140625" hidden="1" customWidth="1"/>
    <col min="190" max="191" width="9.140625" customWidth="1"/>
    <col min="192" max="195" width="9.140625" hidden="1" customWidth="1"/>
    <col min="196" max="197" width="0" hidden="1" customWidth="1"/>
    <col min="198"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8.28515625" customWidth="1"/>
    <col min="211" max="211" width="8.140625" customWidth="1"/>
    <col min="212" max="212" width="22.5703125" hidden="1" customWidth="1"/>
    <col min="213" max="213" width="28" hidden="1" customWidth="1"/>
    <col min="214" max="216" width="0" hidden="1" customWidth="1"/>
    <col min="217" max="217" width="20.28515625" hidden="1" customWidth="1"/>
    <col min="218" max="218" width="36" hidden="1" customWidth="1"/>
    <col min="219" max="219" width="35.42578125" hidden="1" customWidth="1"/>
    <col min="220" max="220" width="7.7109375" customWidth="1"/>
    <col min="221" max="221" width="9.5703125" customWidth="1"/>
    <col min="222" max="224" width="0" hidden="1" customWidth="1"/>
    <col min="225" max="225" width="18.28515625" hidden="1" customWidth="1"/>
    <col min="226" max="229" width="0" hidden="1" customWidth="1"/>
    <col min="232" max="239" width="0" hidden="1" customWidth="1"/>
    <col min="242" max="249" width="0" hidden="1" customWidth="1"/>
  </cols>
  <sheetData>
    <row r="1" spans="2:258" ht="21.75" thickBot="1" x14ac:dyDescent="0.4">
      <c r="B1" s="315" t="s">
        <v>39</v>
      </c>
      <c r="C1" s="381" t="s">
        <v>55</v>
      </c>
      <c r="D1" s="387"/>
      <c r="E1" s="387"/>
      <c r="F1" s="388"/>
    </row>
    <row r="2" spans="2:258" ht="21" x14ac:dyDescent="0.35">
      <c r="B2" s="382" t="s">
        <v>40</v>
      </c>
      <c r="C2" s="314"/>
      <c r="D2" s="314" t="s">
        <v>73</v>
      </c>
      <c r="E2" s="314"/>
      <c r="F2" s="331"/>
      <c r="H2" s="403" t="s">
        <v>277</v>
      </c>
      <c r="I2" s="387"/>
      <c r="J2" s="388"/>
      <c r="N2" s="315" t="s">
        <v>64</v>
      </c>
      <c r="O2" s="316"/>
      <c r="P2" s="316"/>
      <c r="Q2" s="316"/>
      <c r="R2" s="316"/>
      <c r="S2" s="316"/>
      <c r="T2" s="316"/>
      <c r="U2" s="316"/>
      <c r="V2" s="316"/>
      <c r="W2" s="324"/>
    </row>
    <row r="3" spans="2:258" ht="18.75" x14ac:dyDescent="0.3">
      <c r="B3" s="382" t="s">
        <v>41</v>
      </c>
      <c r="C3" s="314" t="str">
        <f>IF('DATA ENTRY'!B9="mm",'DATA ENTRY'!B10/25.4,'DATA ENTRY'!B10)</f>
        <v>ENTER WIDTH</v>
      </c>
      <c r="D3" s="287" t="e">
        <f>IF('DATA ENTRY'!B12="ACTUAL",'ZE445'!C3,'ZE445'!C3-0.5)</f>
        <v>#VALUE!</v>
      </c>
      <c r="E3" s="314"/>
      <c r="F3" s="331"/>
      <c r="H3" s="330" t="s">
        <v>278</v>
      </c>
      <c r="J3" s="331" t="e">
        <f>D3*D4/144</f>
        <v>#VALUE!</v>
      </c>
      <c r="N3" s="48"/>
      <c r="O3" s="47"/>
      <c r="P3" s="47"/>
      <c r="Q3" s="47"/>
      <c r="R3" s="47"/>
      <c r="S3" s="47"/>
      <c r="T3" s="47"/>
      <c r="U3" s="47"/>
      <c r="V3" s="47"/>
      <c r="W3" s="278"/>
    </row>
    <row r="4" spans="2:258" ht="18.75" x14ac:dyDescent="0.3">
      <c r="B4" s="382" t="s">
        <v>42</v>
      </c>
      <c r="C4" s="314" t="str">
        <f>IF('DATA ENTRY'!B9="mm",'DATA ENTRY'!B11/25.4,'DATA ENTRY'!B11)</f>
        <v>ENTER HEIGHT</v>
      </c>
      <c r="D4" s="287" t="e">
        <f>IF('DATA ENTRY'!B12="ACTUAL",'ZE445'!C4,'ZE445'!C4-0.5)</f>
        <v>#VALUE!</v>
      </c>
      <c r="E4" s="314"/>
      <c r="F4" s="331"/>
      <c r="H4" s="330" t="s">
        <v>279</v>
      </c>
      <c r="I4" s="314"/>
      <c r="J4" s="331" t="e">
        <f>C5/J3</f>
        <v>#VALUE!</v>
      </c>
      <c r="N4" s="280"/>
      <c r="O4" s="282" t="str">
        <f>C1&amp;"_MODEL"</f>
        <v>ZE445_MODEL</v>
      </c>
      <c r="P4" s="282" t="s">
        <v>132</v>
      </c>
      <c r="Q4" s="282"/>
      <c r="R4" s="282"/>
      <c r="S4" s="282"/>
      <c r="T4" s="282"/>
      <c r="U4" s="282"/>
      <c r="V4" s="287" t="s">
        <v>116</v>
      </c>
      <c r="W4" s="291"/>
    </row>
    <row r="5" spans="2:258" ht="18.75" x14ac:dyDescent="0.3">
      <c r="B5" s="382" t="s">
        <v>43</v>
      </c>
      <c r="C5" s="509" t="str">
        <f>IF('DATA ENTRY'!B9="mm",'DATA ENTRY'!B13*2.1188799727597,'DATA ENTRY'!B13)</f>
        <v>ENTER AIR VOLUME</v>
      </c>
      <c r="D5" s="314"/>
      <c r="E5" s="314"/>
      <c r="F5" s="331"/>
      <c r="H5" s="330"/>
      <c r="I5" s="314"/>
      <c r="J5" s="331"/>
      <c r="N5" s="280" t="s">
        <v>93</v>
      </c>
      <c r="O5" s="282" t="str">
        <f>C1&amp;"_FA"</f>
        <v>ZE445_FA</v>
      </c>
      <c r="P5" s="283" t="e">
        <f>D64</f>
        <v>#VALUE!</v>
      </c>
      <c r="Q5" s="282" t="s">
        <v>45</v>
      </c>
      <c r="R5" s="282"/>
      <c r="S5" s="282"/>
      <c r="T5" s="282"/>
      <c r="U5" s="282"/>
      <c r="V5" s="282" t="str">
        <f>C1&amp;"_W"</f>
        <v>ZE445_W</v>
      </c>
      <c r="W5" s="286" t="e">
        <f>D3</f>
        <v>#VALUE!</v>
      </c>
    </row>
    <row r="6" spans="2:258" ht="18.75" x14ac:dyDescent="0.3">
      <c r="B6" s="382" t="s">
        <v>44</v>
      </c>
      <c r="C6" s="383" t="str">
        <f>'DATA ENTRY'!B14</f>
        <v>SELECT AIR DIRECTION</v>
      </c>
      <c r="D6" s="314"/>
      <c r="E6" s="314"/>
      <c r="F6" s="331"/>
      <c r="H6" s="330"/>
      <c r="I6" s="314"/>
      <c r="J6" s="331"/>
      <c r="N6" s="280" t="s">
        <v>70</v>
      </c>
      <c r="O6" s="282" t="str">
        <f>C1&amp;"_FA%"</f>
        <v>ZE445_FA%</v>
      </c>
      <c r="P6" s="284" t="e">
        <f>D66</f>
        <v>#VALUE!</v>
      </c>
      <c r="Q6" s="282" t="s">
        <v>16</v>
      </c>
      <c r="R6" s="282"/>
      <c r="S6" s="282"/>
      <c r="T6" s="282"/>
      <c r="U6" s="282"/>
      <c r="V6" s="282" t="str">
        <f>C1&amp;"_H"</f>
        <v>ZE445_H</v>
      </c>
      <c r="W6" s="286" t="e">
        <f>D4</f>
        <v>#VALUE!</v>
      </c>
    </row>
    <row r="7" spans="2:258" ht="19.5" thickBot="1" x14ac:dyDescent="0.35">
      <c r="B7" s="330"/>
      <c r="C7" s="314"/>
      <c r="D7" s="314"/>
      <c r="E7" s="314"/>
      <c r="F7" s="331"/>
      <c r="H7" s="543"/>
      <c r="I7" s="544"/>
      <c r="J7" s="545"/>
      <c r="N7" s="280" t="s">
        <v>96</v>
      </c>
      <c r="O7" s="282" t="str">
        <f>C1&amp;"_VEL"</f>
        <v>ZE445_VEL</v>
      </c>
      <c r="P7" s="284" t="e">
        <f>D68</f>
        <v>#VALUE!</v>
      </c>
      <c r="Q7" s="282" t="s">
        <v>0</v>
      </c>
      <c r="R7" s="282"/>
      <c r="S7" s="282"/>
      <c r="T7" s="282"/>
      <c r="U7" s="282"/>
      <c r="V7" s="282" t="str">
        <f>C1&amp;"_SW"</f>
        <v>ZE445_SW</v>
      </c>
      <c r="W7" s="286" t="e">
        <f>C8</f>
        <v>#VALUE!</v>
      </c>
    </row>
    <row r="8" spans="2:258" ht="18.75" x14ac:dyDescent="0.3">
      <c r="B8" s="382" t="s">
        <v>74</v>
      </c>
      <c r="C8" s="314" t="e">
        <f>CEILING(D3/120,1)</f>
        <v>#VALUE!</v>
      </c>
      <c r="D8" s="314"/>
      <c r="E8" s="314" t="s">
        <v>75</v>
      </c>
      <c r="F8" s="331" t="e">
        <f>CEILING(IF(C9&lt;=72,D4/120,D4/72),1)</f>
        <v>#VALUE!</v>
      </c>
      <c r="N8" s="280" t="s">
        <v>94</v>
      </c>
      <c r="O8" s="282" t="str">
        <f>C1&amp;"_Intake"</f>
        <v>ZE445_Intake</v>
      </c>
      <c r="P8" s="285" t="e">
        <f>D69</f>
        <v>#VALUE!</v>
      </c>
      <c r="Q8" s="282" t="s">
        <v>99</v>
      </c>
      <c r="R8" s="282"/>
      <c r="S8" s="282"/>
      <c r="T8" s="282"/>
      <c r="U8" s="282"/>
      <c r="V8" s="282" t="str">
        <f>C1&amp;"_SH"</f>
        <v>ZE445_SH</v>
      </c>
      <c r="W8" s="286" t="e">
        <f>F8</f>
        <v>#VALUE!</v>
      </c>
    </row>
    <row r="9" spans="2:258" ht="18.75" x14ac:dyDescent="0.3">
      <c r="B9" s="382" t="s">
        <v>72</v>
      </c>
      <c r="C9" s="314" t="e">
        <f>D3/C8</f>
        <v>#VALUE!</v>
      </c>
      <c r="D9" s="314"/>
      <c r="E9" s="314" t="s">
        <v>63</v>
      </c>
      <c r="F9" s="389" t="e">
        <f>D4/F8</f>
        <v>#VALUE!</v>
      </c>
      <c r="N9" s="280" t="s">
        <v>95</v>
      </c>
      <c r="O9" s="282" t="str">
        <f>C1&amp;"_Exhaust"</f>
        <v>ZE445_Exhaust</v>
      </c>
      <c r="P9" s="285" t="e">
        <f>D70</f>
        <v>#VALUE!</v>
      </c>
      <c r="Q9" s="282" t="s">
        <v>99</v>
      </c>
      <c r="R9" s="282"/>
      <c r="S9" s="282"/>
      <c r="T9" s="282"/>
      <c r="U9" s="282"/>
      <c r="V9" s="282"/>
      <c r="W9" s="291"/>
    </row>
    <row r="10" spans="2:258" ht="18.75" x14ac:dyDescent="0.3">
      <c r="B10" s="330"/>
      <c r="C10" s="314"/>
      <c r="D10" s="314"/>
      <c r="E10" s="314"/>
      <c r="F10" s="331"/>
      <c r="N10" s="280" t="s">
        <v>100</v>
      </c>
      <c r="O10" s="282" t="str">
        <f>C1&amp;"_SEC"</f>
        <v>ZE445_SEC</v>
      </c>
      <c r="P10" s="282" t="e">
        <f>C11</f>
        <v>#VALUE!</v>
      </c>
      <c r="Q10" s="282"/>
      <c r="R10" s="282"/>
      <c r="S10" s="282"/>
      <c r="T10" s="282"/>
      <c r="U10" s="282"/>
      <c r="V10" s="282"/>
      <c r="W10" s="291"/>
    </row>
    <row r="11" spans="2:258" ht="18.75" x14ac:dyDescent="0.3">
      <c r="B11" s="382" t="s">
        <v>76</v>
      </c>
      <c r="C11" s="314" t="e">
        <f>C8*F8</f>
        <v>#VALUE!</v>
      </c>
      <c r="D11" s="314"/>
      <c r="E11" s="383" t="s">
        <v>164</v>
      </c>
      <c r="F11" s="384">
        <v>9</v>
      </c>
      <c r="N11" s="280" t="s">
        <v>97</v>
      </c>
      <c r="O11" s="282" t="str">
        <f>C1&amp;"_SECW"</f>
        <v>ZE445_SECW</v>
      </c>
      <c r="P11" s="364" t="e">
        <f>AB79</f>
        <v>#VALUE!</v>
      </c>
      <c r="Q11" s="282" t="s">
        <v>86</v>
      </c>
      <c r="R11" s="282"/>
      <c r="S11" s="282"/>
      <c r="T11" s="282"/>
      <c r="U11" s="282"/>
      <c r="V11" s="282"/>
      <c r="W11" s="291"/>
    </row>
    <row r="12" spans="2:258" ht="18.75" x14ac:dyDescent="0.3">
      <c r="B12" s="330"/>
      <c r="C12" s="314"/>
      <c r="D12" s="314"/>
      <c r="E12" s="383" t="s">
        <v>165</v>
      </c>
      <c r="F12" s="384">
        <v>10.5</v>
      </c>
      <c r="N12" s="280" t="s">
        <v>98</v>
      </c>
      <c r="O12" s="282" t="str">
        <f>C1&amp;"_TW"</f>
        <v>ZE445_TW</v>
      </c>
      <c r="P12" s="364" t="e">
        <f>AB78</f>
        <v>#VALUE!</v>
      </c>
      <c r="Q12" s="282" t="s">
        <v>86</v>
      </c>
      <c r="R12" s="47"/>
      <c r="S12" s="47"/>
      <c r="T12" s="47"/>
      <c r="U12" s="47"/>
      <c r="V12" s="47"/>
      <c r="W12" s="278"/>
    </row>
    <row r="13" spans="2:258" ht="18.75" x14ac:dyDescent="0.3">
      <c r="B13" s="330"/>
      <c r="C13" s="314"/>
      <c r="D13" s="314"/>
      <c r="E13" s="383"/>
      <c r="F13" s="384"/>
      <c r="N13" s="280" t="s">
        <v>280</v>
      </c>
      <c r="O13" s="282" t="str">
        <f>$C$1&amp;"_FACEAREA"</f>
        <v>ZE445_FACEAREA</v>
      </c>
      <c r="P13" s="364" t="e">
        <f>J3</f>
        <v>#VALUE!</v>
      </c>
      <c r="Q13" s="282" t="s">
        <v>45</v>
      </c>
      <c r="R13" s="47"/>
      <c r="S13" s="47"/>
      <c r="T13" s="47"/>
      <c r="U13" s="47"/>
      <c r="V13" s="47"/>
      <c r="W13" s="278"/>
    </row>
    <row r="14" spans="2:258" ht="19.5" thickBot="1" x14ac:dyDescent="0.35">
      <c r="B14" s="330"/>
      <c r="C14" s="314"/>
      <c r="D14" s="314"/>
      <c r="E14" s="383"/>
      <c r="F14" s="384"/>
      <c r="N14" s="281" t="s">
        <v>277</v>
      </c>
      <c r="O14" s="395" t="str">
        <f>$C$1&amp;"_FACEVEL"</f>
        <v>ZE445_FACEVEL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93" t="s">
        <v>62</v>
      </c>
      <c r="C16" s="94"/>
      <c r="D16" s="907" t="s">
        <v>124</v>
      </c>
      <c r="E16" s="908"/>
      <c r="F16" s="908"/>
      <c r="G16" s="908"/>
      <c r="H16" s="908"/>
      <c r="I16" s="908"/>
      <c r="J16" s="908"/>
      <c r="K16" s="908"/>
      <c r="L16" s="908"/>
      <c r="M16" s="908"/>
      <c r="N16" s="908"/>
      <c r="O16" s="908"/>
      <c r="P16" s="908"/>
      <c r="Q16" s="908"/>
      <c r="R16" s="908"/>
      <c r="S16" s="908"/>
      <c r="T16" s="908"/>
      <c r="U16" s="908"/>
      <c r="V16" s="908"/>
      <c r="W16" s="909"/>
      <c r="X16" s="94"/>
      <c r="Y16" s="95"/>
      <c r="AT16" s="886" t="s">
        <v>55</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thickBot="1" x14ac:dyDescent="0.3">
      <c r="B17" s="66"/>
      <c r="C17" s="68"/>
      <c r="D17" s="68">
        <f>F11</f>
        <v>9</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5">
        <v>1</v>
      </c>
      <c r="D18" s="344">
        <v>2</v>
      </c>
      <c r="E18" s="345">
        <v>3</v>
      </c>
      <c r="F18" s="345">
        <v>4</v>
      </c>
      <c r="G18" s="345">
        <v>5</v>
      </c>
      <c r="H18" s="345">
        <v>6</v>
      </c>
      <c r="I18" s="345">
        <v>7</v>
      </c>
      <c r="J18" s="345">
        <v>8</v>
      </c>
      <c r="K18" s="345">
        <v>9</v>
      </c>
      <c r="L18" s="345">
        <v>10</v>
      </c>
      <c r="M18" s="345">
        <v>11</v>
      </c>
      <c r="N18" s="345">
        <v>12</v>
      </c>
      <c r="O18" s="345">
        <v>13</v>
      </c>
      <c r="P18" s="345">
        <v>14</v>
      </c>
      <c r="Q18" s="345">
        <v>15</v>
      </c>
      <c r="R18" s="345">
        <v>16</v>
      </c>
      <c r="S18" s="345">
        <v>17</v>
      </c>
      <c r="T18" s="345">
        <v>18</v>
      </c>
      <c r="U18" s="345">
        <v>19</v>
      </c>
      <c r="V18" s="345">
        <v>20</v>
      </c>
      <c r="W18" s="346">
        <v>21</v>
      </c>
      <c r="X18" s="64"/>
      <c r="Y18" s="65"/>
      <c r="AT18" s="4"/>
      <c r="AU18" s="889" t="s">
        <v>17</v>
      </c>
      <c r="AV18" s="890"/>
      <c r="AW18" s="209"/>
      <c r="AX18" s="209"/>
      <c r="AY18" s="209"/>
      <c r="AZ18" s="209"/>
      <c r="BA18" s="209"/>
      <c r="BB18" s="209"/>
      <c r="BC18" s="209"/>
      <c r="BD18" s="209"/>
      <c r="BE18" s="209"/>
      <c r="BF18" s="209"/>
      <c r="BG18" s="209"/>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10.5</v>
      </c>
      <c r="C19" s="227">
        <v>2</v>
      </c>
      <c r="D19" s="99">
        <f t="shared" ref="D19:D38" si="1">AX22/((D$17*B19)/144)</f>
        <v>0.18552380952380951</v>
      </c>
      <c r="E19" s="100">
        <f t="shared" ref="E19:E38" si="2">BH22/((E$17*B19)/144)</f>
        <v>0.20871428571428571</v>
      </c>
      <c r="F19" s="100">
        <f t="shared" ref="F19:F38" si="3">BR22/((F$17*$B19)/144)</f>
        <v>0.23190476190476195</v>
      </c>
      <c r="G19" s="100">
        <f t="shared" ref="G19:G38" si="4">CB22/((G$17*$B19)/144)</f>
        <v>0.24350000000000002</v>
      </c>
      <c r="H19" s="100">
        <f t="shared" ref="H19:H38" si="5">CL22/((H$17*$B19)/144)</f>
        <v>0.25045714285714288</v>
      </c>
      <c r="I19" s="100">
        <f t="shared" ref="I19:I38" si="6">CV22/((I$17*$B19)/144)</f>
        <v>0.2550952380952381</v>
      </c>
      <c r="J19" s="100">
        <f t="shared" ref="J19:J38" si="7">DF22/((J$17*$B19)/144)</f>
        <v>0.25840816326530613</v>
      </c>
      <c r="K19" s="100">
        <f t="shared" ref="K19:K38" si="8">DP22/((K$17*$B19)/144)</f>
        <v>0.26089285714285715</v>
      </c>
      <c r="L19" s="100">
        <f t="shared" ref="L19:L38" si="9">DZ22/((L$17*$B19)/144)</f>
        <v>0.25767195767195766</v>
      </c>
      <c r="M19" s="100">
        <f t="shared" ref="M19:M38" si="10">EJ22/((M$17*$B19)/144)</f>
        <v>0.25973333333333337</v>
      </c>
      <c r="N19" s="100">
        <f t="shared" ref="N19:N38" si="11">ET22/((N$17*$B19)/144)</f>
        <v>0.26141991341991344</v>
      </c>
      <c r="O19" s="100">
        <f t="shared" ref="O19:O38" si="12">FD22/((O$17*$B19)/144)</f>
        <v>0.2623422619047619</v>
      </c>
      <c r="P19" s="100">
        <f t="shared" ref="P19:P30" si="13">FN22/((P$17*$B19)/144)</f>
        <v>0.26356868131868133</v>
      </c>
      <c r="Q19" s="100">
        <f t="shared" ref="Q19:Q30" si="14">FX22/((Q$17*$B19)/144)</f>
        <v>0.26461989795918367</v>
      </c>
      <c r="R19" s="100">
        <f t="shared" ref="R19:R30" si="15">GH22/((R$17*$B19)/144)</f>
        <v>0.26553095238095242</v>
      </c>
      <c r="S19" s="100">
        <f t="shared" ref="S19:S30" si="16">GR22/((S$17*$B19)/144)</f>
        <v>0.26632812499999997</v>
      </c>
      <c r="T19" s="100">
        <f t="shared" ref="T19:T30" si="17">HB22/((T$17*$B19)/144)</f>
        <v>0.26703151260504204</v>
      </c>
      <c r="U19" s="100">
        <f t="shared" ref="U19:U30" si="18">HL22/((U$17*$B19)/144)</f>
        <v>0.26250330687830692</v>
      </c>
      <c r="V19" s="100">
        <f t="shared" ref="V19:V30" si="19">HV22/((V$17*$B19)/144)</f>
        <v>0.26333395989974939</v>
      </c>
      <c r="W19" s="100">
        <f t="shared" ref="W19:W30" si="20">IF22/((W$17*$B19)/144)</f>
        <v>0.26408154761904762</v>
      </c>
      <c r="X19" s="96"/>
      <c r="Y19" s="97"/>
      <c r="Z19" s="83"/>
      <c r="AA19" s="83"/>
      <c r="AT19" s="4"/>
      <c r="AU19" s="891"/>
      <c r="AV19" s="892"/>
      <c r="AW19" s="210"/>
      <c r="AX19" s="210"/>
      <c r="AY19" s="210"/>
      <c r="AZ19" s="210"/>
      <c r="BA19" s="210"/>
      <c r="BB19" s="210"/>
      <c r="BC19" s="210"/>
      <c r="BD19" s="210"/>
      <c r="BE19" s="210"/>
      <c r="BF19" s="210"/>
      <c r="BG19" s="210"/>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6">
        <v>3</v>
      </c>
      <c r="D20" s="98">
        <f t="shared" si="1"/>
        <v>0.23933333333333331</v>
      </c>
      <c r="E20" s="96">
        <f t="shared" si="2"/>
        <v>0.26924999999999999</v>
      </c>
      <c r="F20" s="96">
        <f t="shared" si="3"/>
        <v>0.29916666666666669</v>
      </c>
      <c r="G20" s="96">
        <f t="shared" si="4"/>
        <v>0.31412499999999999</v>
      </c>
      <c r="H20" s="96">
        <f t="shared" si="5"/>
        <v>0.3231</v>
      </c>
      <c r="I20" s="96">
        <f t="shared" si="6"/>
        <v>0.32908333333333334</v>
      </c>
      <c r="J20" s="96">
        <f t="shared" si="7"/>
        <v>0.33335714285714285</v>
      </c>
      <c r="K20" s="96">
        <f t="shared" si="8"/>
        <v>0.33656249999999999</v>
      </c>
      <c r="L20" s="96">
        <f t="shared" si="9"/>
        <v>0.33240740740740737</v>
      </c>
      <c r="M20" s="96">
        <f t="shared" si="10"/>
        <v>0.33506666666666668</v>
      </c>
      <c r="N20" s="96">
        <f t="shared" si="11"/>
        <v>0.33724242424242423</v>
      </c>
      <c r="O20" s="96">
        <f t="shared" si="12"/>
        <v>0.33843229166666661</v>
      </c>
      <c r="P20" s="96">
        <f t="shared" si="13"/>
        <v>0.34001442307692309</v>
      </c>
      <c r="Q20" s="96">
        <f t="shared" si="14"/>
        <v>0.34137053571428572</v>
      </c>
      <c r="R20" s="96">
        <f t="shared" si="15"/>
        <v>0.34254583333333333</v>
      </c>
      <c r="S20" s="96">
        <f t="shared" si="16"/>
        <v>0.34357421874999994</v>
      </c>
      <c r="T20" s="96">
        <f t="shared" si="17"/>
        <v>0.34448161764705881</v>
      </c>
      <c r="U20" s="96">
        <f t="shared" si="18"/>
        <v>0.33864004629629629</v>
      </c>
      <c r="V20" s="96">
        <f t="shared" si="19"/>
        <v>0.3397116228070175</v>
      </c>
      <c r="W20" s="96">
        <f t="shared" si="20"/>
        <v>0.34067604166666665</v>
      </c>
      <c r="X20" s="96"/>
      <c r="Y20" s="65"/>
      <c r="AA20" s="83"/>
      <c r="AT20" s="4"/>
      <c r="AU20" s="893"/>
      <c r="AV20" s="894"/>
      <c r="AW20" s="10"/>
      <c r="AX20" s="10">
        <v>9</v>
      </c>
      <c r="AY20" s="12" t="str">
        <f>"("&amp;ROUND(AX20*25.4/50,0)*50&amp;")"</f>
        <v>(250)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1"/>
        <v>0.29722222222222228</v>
      </c>
      <c r="E21" s="96">
        <f t="shared" si="2"/>
        <v>0.33437500000000003</v>
      </c>
      <c r="F21" s="96">
        <f t="shared" si="3"/>
        <v>0.37152777777777779</v>
      </c>
      <c r="G21" s="96">
        <f t="shared" si="4"/>
        <v>0.3901041666666667</v>
      </c>
      <c r="H21" s="96">
        <f t="shared" si="5"/>
        <v>0.40125000000000005</v>
      </c>
      <c r="I21" s="96">
        <f t="shared" si="6"/>
        <v>0.40868055555555549</v>
      </c>
      <c r="J21" s="96">
        <f t="shared" si="7"/>
        <v>0.41398809523809532</v>
      </c>
      <c r="K21" s="96">
        <f t="shared" si="8"/>
        <v>0.41796875</v>
      </c>
      <c r="L21" s="96">
        <f t="shared" si="9"/>
        <v>0.41280864197530864</v>
      </c>
      <c r="M21" s="96">
        <f t="shared" si="10"/>
        <v>0.41611111111111115</v>
      </c>
      <c r="N21" s="96">
        <f t="shared" si="11"/>
        <v>0.4188131313131313</v>
      </c>
      <c r="O21" s="96">
        <f t="shared" si="12"/>
        <v>0.42029079861111107</v>
      </c>
      <c r="P21" s="96">
        <f t="shared" si="13"/>
        <v>0.42225560897435899</v>
      </c>
      <c r="Q21" s="96">
        <f t="shared" si="14"/>
        <v>0.42393973214285718</v>
      </c>
      <c r="R21" s="96">
        <f t="shared" si="15"/>
        <v>0.42539930555555561</v>
      </c>
      <c r="S21" s="96">
        <f t="shared" si="16"/>
        <v>0.42667643229166669</v>
      </c>
      <c r="T21" s="96">
        <f t="shared" si="17"/>
        <v>0.42780330882352946</v>
      </c>
      <c r="U21" s="96">
        <f t="shared" si="18"/>
        <v>0.42054880401234568</v>
      </c>
      <c r="V21" s="96">
        <f t="shared" si="19"/>
        <v>0.42187956871345034</v>
      </c>
      <c r="W21" s="96">
        <f t="shared" si="20"/>
        <v>0.42307725694444448</v>
      </c>
      <c r="X21" s="96"/>
      <c r="Y21" s="65"/>
      <c r="AA21" s="83"/>
      <c r="AT21" s="4"/>
      <c r="AU21" s="10"/>
      <c r="AV21" s="17"/>
      <c r="AW21" s="18"/>
      <c r="AX21" s="18"/>
      <c r="AY21" s="18">
        <v>0</v>
      </c>
      <c r="AZ21" s="12">
        <f t="shared" ref="AZ21:BG21" si="21">AY21+1</f>
        <v>1</v>
      </c>
      <c r="BA21" s="12">
        <f t="shared" si="21"/>
        <v>2</v>
      </c>
      <c r="BB21" s="12">
        <f t="shared" si="21"/>
        <v>3</v>
      </c>
      <c r="BC21" s="12">
        <f t="shared" si="21"/>
        <v>4</v>
      </c>
      <c r="BD21" s="12">
        <f t="shared" si="21"/>
        <v>5</v>
      </c>
      <c r="BE21" s="12">
        <f t="shared" si="21"/>
        <v>6</v>
      </c>
      <c r="BF21" s="12">
        <f t="shared" si="21"/>
        <v>7</v>
      </c>
      <c r="BG21" s="12">
        <f t="shared" si="21"/>
        <v>8</v>
      </c>
      <c r="BH21" s="11">
        <v>6</v>
      </c>
      <c r="BI21" s="12">
        <f>BH21+1</f>
        <v>7</v>
      </c>
      <c r="BJ21" s="12">
        <f t="shared" ref="BJ21:DU21" si="22">BI21+1</f>
        <v>8</v>
      </c>
      <c r="BK21" s="12">
        <f t="shared" si="22"/>
        <v>9</v>
      </c>
      <c r="BL21" s="12">
        <f t="shared" si="22"/>
        <v>10</v>
      </c>
      <c r="BM21" s="12">
        <f t="shared" si="22"/>
        <v>11</v>
      </c>
      <c r="BN21" s="12">
        <f t="shared" si="22"/>
        <v>12</v>
      </c>
      <c r="BO21" s="12">
        <f t="shared" si="22"/>
        <v>13</v>
      </c>
      <c r="BP21" s="12">
        <f t="shared" si="22"/>
        <v>14</v>
      </c>
      <c r="BQ21" s="12">
        <f t="shared" si="22"/>
        <v>15</v>
      </c>
      <c r="BR21" s="12">
        <f>BQ21+1</f>
        <v>16</v>
      </c>
      <c r="BS21" s="12">
        <f t="shared" si="22"/>
        <v>17</v>
      </c>
      <c r="BT21" s="12">
        <f t="shared" si="22"/>
        <v>18</v>
      </c>
      <c r="BU21" s="12">
        <f t="shared" si="22"/>
        <v>19</v>
      </c>
      <c r="BV21" s="12">
        <f t="shared" si="22"/>
        <v>20</v>
      </c>
      <c r="BW21" s="12">
        <f t="shared" si="22"/>
        <v>21</v>
      </c>
      <c r="BX21" s="12">
        <f t="shared" si="22"/>
        <v>22</v>
      </c>
      <c r="BY21" s="12">
        <f t="shared" si="22"/>
        <v>23</v>
      </c>
      <c r="BZ21" s="12">
        <f t="shared" si="22"/>
        <v>24</v>
      </c>
      <c r="CA21" s="12">
        <f t="shared" si="22"/>
        <v>25</v>
      </c>
      <c r="CB21" s="12">
        <f t="shared" si="22"/>
        <v>26</v>
      </c>
      <c r="CC21" s="12">
        <f t="shared" si="22"/>
        <v>27</v>
      </c>
      <c r="CD21" s="12">
        <f t="shared" si="22"/>
        <v>28</v>
      </c>
      <c r="CE21" s="12">
        <f t="shared" si="22"/>
        <v>29</v>
      </c>
      <c r="CF21" s="12">
        <f t="shared" si="22"/>
        <v>30</v>
      </c>
      <c r="CG21" s="12">
        <f t="shared" si="22"/>
        <v>31</v>
      </c>
      <c r="CH21" s="12">
        <f t="shared" si="22"/>
        <v>32</v>
      </c>
      <c r="CI21" s="12">
        <f t="shared" si="22"/>
        <v>33</v>
      </c>
      <c r="CJ21" s="12">
        <f t="shared" si="22"/>
        <v>34</v>
      </c>
      <c r="CK21" s="12">
        <f t="shared" si="22"/>
        <v>35</v>
      </c>
      <c r="CL21" s="12">
        <f t="shared" si="22"/>
        <v>36</v>
      </c>
      <c r="CM21" s="12">
        <f t="shared" si="22"/>
        <v>37</v>
      </c>
      <c r="CN21" s="12">
        <f t="shared" si="22"/>
        <v>38</v>
      </c>
      <c r="CO21" s="12">
        <f t="shared" si="22"/>
        <v>39</v>
      </c>
      <c r="CP21" s="12">
        <f t="shared" si="22"/>
        <v>40</v>
      </c>
      <c r="CQ21" s="12">
        <f t="shared" si="22"/>
        <v>41</v>
      </c>
      <c r="CR21" s="12">
        <f t="shared" si="22"/>
        <v>42</v>
      </c>
      <c r="CS21" s="12">
        <f t="shared" si="22"/>
        <v>43</v>
      </c>
      <c r="CT21" s="12">
        <f t="shared" si="22"/>
        <v>44</v>
      </c>
      <c r="CU21" s="12">
        <f t="shared" si="22"/>
        <v>45</v>
      </c>
      <c r="CV21" s="12">
        <f t="shared" si="22"/>
        <v>46</v>
      </c>
      <c r="CW21" s="12">
        <f t="shared" si="22"/>
        <v>47</v>
      </c>
      <c r="CX21" s="12">
        <f t="shared" si="22"/>
        <v>48</v>
      </c>
      <c r="CY21" s="12">
        <f t="shared" si="22"/>
        <v>49</v>
      </c>
      <c r="CZ21" s="12">
        <f t="shared" si="22"/>
        <v>50</v>
      </c>
      <c r="DA21" s="12">
        <f t="shared" si="22"/>
        <v>51</v>
      </c>
      <c r="DB21" s="12">
        <f t="shared" si="22"/>
        <v>52</v>
      </c>
      <c r="DC21" s="12">
        <f t="shared" si="22"/>
        <v>53</v>
      </c>
      <c r="DD21" s="12">
        <f t="shared" si="22"/>
        <v>54</v>
      </c>
      <c r="DE21" s="12">
        <f t="shared" si="22"/>
        <v>55</v>
      </c>
      <c r="DF21" s="12">
        <f t="shared" si="22"/>
        <v>56</v>
      </c>
      <c r="DG21" s="12">
        <f t="shared" si="22"/>
        <v>57</v>
      </c>
      <c r="DH21" s="12">
        <f t="shared" si="22"/>
        <v>58</v>
      </c>
      <c r="DI21" s="12">
        <f t="shared" si="22"/>
        <v>59</v>
      </c>
      <c r="DJ21" s="12">
        <f t="shared" si="22"/>
        <v>60</v>
      </c>
      <c r="DK21" s="12">
        <f t="shared" si="22"/>
        <v>61</v>
      </c>
      <c r="DL21" s="12">
        <f t="shared" si="22"/>
        <v>62</v>
      </c>
      <c r="DM21" s="12">
        <f t="shared" si="22"/>
        <v>63</v>
      </c>
      <c r="DN21" s="12">
        <f t="shared" si="22"/>
        <v>64</v>
      </c>
      <c r="DO21" s="12">
        <f t="shared" si="22"/>
        <v>65</v>
      </c>
      <c r="DP21" s="12">
        <f t="shared" si="22"/>
        <v>66</v>
      </c>
      <c r="DQ21" s="12">
        <f t="shared" si="22"/>
        <v>67</v>
      </c>
      <c r="DR21" s="12">
        <f t="shared" si="22"/>
        <v>68</v>
      </c>
      <c r="DS21" s="12">
        <f t="shared" si="22"/>
        <v>69</v>
      </c>
      <c r="DT21" s="12">
        <f t="shared" si="22"/>
        <v>70</v>
      </c>
      <c r="DU21" s="12">
        <f t="shared" si="22"/>
        <v>71</v>
      </c>
      <c r="DV21" s="12">
        <f t="shared" ref="DV21:GG21" si="23">DU21+1</f>
        <v>72</v>
      </c>
      <c r="DW21" s="12">
        <f t="shared" si="23"/>
        <v>73</v>
      </c>
      <c r="DX21" s="12">
        <f t="shared" si="23"/>
        <v>74</v>
      </c>
      <c r="DY21" s="12">
        <f t="shared" si="23"/>
        <v>75</v>
      </c>
      <c r="DZ21" s="12">
        <f t="shared" si="23"/>
        <v>76</v>
      </c>
      <c r="EA21" s="12">
        <f t="shared" si="23"/>
        <v>77</v>
      </c>
      <c r="EB21" s="12">
        <f t="shared" si="23"/>
        <v>78</v>
      </c>
      <c r="EC21" s="12">
        <f t="shared" si="23"/>
        <v>79</v>
      </c>
      <c r="ED21" s="12">
        <f t="shared" si="23"/>
        <v>80</v>
      </c>
      <c r="EE21" s="12">
        <f t="shared" si="23"/>
        <v>81</v>
      </c>
      <c r="EF21" s="12">
        <f t="shared" si="23"/>
        <v>82</v>
      </c>
      <c r="EG21" s="12">
        <f t="shared" si="23"/>
        <v>83</v>
      </c>
      <c r="EH21" s="12">
        <f t="shared" si="23"/>
        <v>84</v>
      </c>
      <c r="EI21" s="12">
        <f t="shared" si="23"/>
        <v>85</v>
      </c>
      <c r="EJ21" s="12">
        <f t="shared" si="23"/>
        <v>86</v>
      </c>
      <c r="EK21" s="12">
        <f t="shared" si="23"/>
        <v>87</v>
      </c>
      <c r="EL21" s="12">
        <f t="shared" si="23"/>
        <v>88</v>
      </c>
      <c r="EM21" s="12">
        <f t="shared" si="23"/>
        <v>89</v>
      </c>
      <c r="EN21" s="12">
        <f t="shared" si="23"/>
        <v>90</v>
      </c>
      <c r="EO21" s="12">
        <f t="shared" si="23"/>
        <v>91</v>
      </c>
      <c r="EP21" s="12">
        <f t="shared" si="23"/>
        <v>92</v>
      </c>
      <c r="EQ21" s="12">
        <f t="shared" si="23"/>
        <v>93</v>
      </c>
      <c r="ER21" s="12">
        <f t="shared" si="23"/>
        <v>94</v>
      </c>
      <c r="ES21" s="12">
        <f t="shared" si="23"/>
        <v>95</v>
      </c>
      <c r="ET21" s="12">
        <f t="shared" si="23"/>
        <v>96</v>
      </c>
      <c r="EU21" s="12">
        <f t="shared" si="23"/>
        <v>97</v>
      </c>
      <c r="EV21" s="12">
        <f t="shared" si="23"/>
        <v>98</v>
      </c>
      <c r="EW21" s="12">
        <f t="shared" si="23"/>
        <v>99</v>
      </c>
      <c r="EX21" s="12">
        <f t="shared" si="23"/>
        <v>100</v>
      </c>
      <c r="EY21" s="12">
        <f t="shared" si="23"/>
        <v>101</v>
      </c>
      <c r="EZ21" s="12">
        <f t="shared" si="23"/>
        <v>102</v>
      </c>
      <c r="FA21" s="12">
        <f t="shared" si="23"/>
        <v>103</v>
      </c>
      <c r="FB21" s="12">
        <f t="shared" si="23"/>
        <v>104</v>
      </c>
      <c r="FC21" s="12">
        <f t="shared" si="23"/>
        <v>105</v>
      </c>
      <c r="FD21" s="12">
        <f t="shared" si="23"/>
        <v>106</v>
      </c>
      <c r="FE21" s="12">
        <f t="shared" si="23"/>
        <v>107</v>
      </c>
      <c r="FF21" s="12">
        <f t="shared" si="23"/>
        <v>108</v>
      </c>
      <c r="FG21" s="12">
        <f t="shared" si="23"/>
        <v>109</v>
      </c>
      <c r="FH21" s="12">
        <f t="shared" si="23"/>
        <v>110</v>
      </c>
      <c r="FI21" s="12">
        <f t="shared" si="23"/>
        <v>111</v>
      </c>
      <c r="FJ21" s="12">
        <f t="shared" si="23"/>
        <v>112</v>
      </c>
      <c r="FK21" s="12">
        <f t="shared" si="23"/>
        <v>113</v>
      </c>
      <c r="FL21" s="12">
        <f t="shared" si="23"/>
        <v>114</v>
      </c>
      <c r="FM21" s="12">
        <f t="shared" si="23"/>
        <v>115</v>
      </c>
      <c r="FN21" s="12">
        <f t="shared" si="23"/>
        <v>116</v>
      </c>
      <c r="FO21" s="12">
        <f t="shared" si="23"/>
        <v>117</v>
      </c>
      <c r="FP21" s="12">
        <f t="shared" si="23"/>
        <v>118</v>
      </c>
      <c r="FQ21" s="12">
        <f t="shared" si="23"/>
        <v>119</v>
      </c>
      <c r="FR21" s="12">
        <f t="shared" si="23"/>
        <v>120</v>
      </c>
      <c r="FS21" s="12">
        <f t="shared" si="23"/>
        <v>121</v>
      </c>
      <c r="FT21" s="12">
        <f t="shared" si="23"/>
        <v>122</v>
      </c>
      <c r="FU21" s="12">
        <f t="shared" si="23"/>
        <v>123</v>
      </c>
      <c r="FV21" s="12">
        <f t="shared" si="23"/>
        <v>124</v>
      </c>
      <c r="FW21" s="12">
        <f t="shared" si="23"/>
        <v>125</v>
      </c>
      <c r="FX21" s="12">
        <f t="shared" si="23"/>
        <v>126</v>
      </c>
      <c r="FY21" s="12">
        <f t="shared" si="23"/>
        <v>127</v>
      </c>
      <c r="FZ21" s="12">
        <f t="shared" si="23"/>
        <v>128</v>
      </c>
      <c r="GA21" s="12">
        <f t="shared" si="23"/>
        <v>129</v>
      </c>
      <c r="GB21" s="12">
        <f t="shared" si="23"/>
        <v>130</v>
      </c>
      <c r="GC21" s="12">
        <f t="shared" si="23"/>
        <v>131</v>
      </c>
      <c r="GD21" s="12">
        <f t="shared" si="23"/>
        <v>132</v>
      </c>
      <c r="GE21" s="12">
        <f t="shared" si="23"/>
        <v>133</v>
      </c>
      <c r="GF21" s="12">
        <f t="shared" si="23"/>
        <v>134</v>
      </c>
      <c r="GG21" s="12">
        <f t="shared" si="23"/>
        <v>135</v>
      </c>
      <c r="GH21" s="12">
        <f t="shared" ref="GH21:IO21" si="24">GG21+1</f>
        <v>136</v>
      </c>
      <c r="GI21" s="12">
        <f t="shared" si="24"/>
        <v>137</v>
      </c>
      <c r="GJ21" s="12">
        <f t="shared" si="24"/>
        <v>138</v>
      </c>
      <c r="GK21" s="12">
        <f t="shared" si="24"/>
        <v>139</v>
      </c>
      <c r="GL21" s="12">
        <f t="shared" si="24"/>
        <v>140</v>
      </c>
      <c r="GM21" s="12">
        <f t="shared" si="24"/>
        <v>141</v>
      </c>
      <c r="GN21" s="12">
        <f t="shared" si="24"/>
        <v>142</v>
      </c>
      <c r="GO21" s="12">
        <f t="shared" si="24"/>
        <v>143</v>
      </c>
      <c r="GP21" s="12">
        <f t="shared" si="24"/>
        <v>144</v>
      </c>
      <c r="GQ21" s="12">
        <f t="shared" si="24"/>
        <v>145</v>
      </c>
      <c r="GR21" s="12">
        <f t="shared" si="24"/>
        <v>146</v>
      </c>
      <c r="GS21" s="12">
        <f t="shared" si="24"/>
        <v>147</v>
      </c>
      <c r="GT21" s="12">
        <f t="shared" si="24"/>
        <v>148</v>
      </c>
      <c r="GU21" s="12">
        <f t="shared" si="24"/>
        <v>149</v>
      </c>
      <c r="GV21" s="12">
        <f t="shared" si="24"/>
        <v>150</v>
      </c>
      <c r="GW21" s="12">
        <f t="shared" si="24"/>
        <v>151</v>
      </c>
      <c r="GX21" s="12">
        <f t="shared" si="24"/>
        <v>152</v>
      </c>
      <c r="GY21" s="12">
        <f t="shared" si="24"/>
        <v>153</v>
      </c>
      <c r="GZ21" s="12">
        <f t="shared" si="24"/>
        <v>154</v>
      </c>
      <c r="HA21" s="12">
        <f t="shared" si="24"/>
        <v>155</v>
      </c>
      <c r="HB21" s="12">
        <f t="shared" si="24"/>
        <v>156</v>
      </c>
      <c r="HC21" s="12">
        <f t="shared" si="24"/>
        <v>157</v>
      </c>
      <c r="HD21" s="12">
        <f t="shared" si="24"/>
        <v>158</v>
      </c>
      <c r="HE21" s="12">
        <f t="shared" si="24"/>
        <v>159</v>
      </c>
      <c r="HF21" s="12">
        <f t="shared" si="24"/>
        <v>160</v>
      </c>
      <c r="HG21" s="12">
        <f t="shared" si="24"/>
        <v>161</v>
      </c>
      <c r="HH21" s="12">
        <f t="shared" si="24"/>
        <v>162</v>
      </c>
      <c r="HI21" s="12">
        <f t="shared" si="24"/>
        <v>163</v>
      </c>
      <c r="HJ21" s="12">
        <f t="shared" si="24"/>
        <v>164</v>
      </c>
      <c r="HK21" s="12">
        <f t="shared" si="24"/>
        <v>165</v>
      </c>
      <c r="HL21" s="12">
        <f t="shared" si="24"/>
        <v>166</v>
      </c>
      <c r="HM21" s="12">
        <f t="shared" si="24"/>
        <v>167</v>
      </c>
      <c r="HN21" s="12">
        <f t="shared" si="24"/>
        <v>168</v>
      </c>
      <c r="HO21" s="12">
        <f t="shared" si="24"/>
        <v>169</v>
      </c>
      <c r="HP21" s="12">
        <f t="shared" si="24"/>
        <v>170</v>
      </c>
      <c r="HQ21" s="12">
        <f t="shared" si="24"/>
        <v>171</v>
      </c>
      <c r="HR21" s="12">
        <f t="shared" si="24"/>
        <v>172</v>
      </c>
      <c r="HS21" s="12">
        <f t="shared" si="24"/>
        <v>173</v>
      </c>
      <c r="HT21" s="12">
        <f t="shared" si="24"/>
        <v>174</v>
      </c>
      <c r="HU21" s="12">
        <f t="shared" si="24"/>
        <v>175</v>
      </c>
      <c r="HV21" s="12">
        <f t="shared" si="24"/>
        <v>176</v>
      </c>
      <c r="HW21" s="12">
        <f t="shared" si="24"/>
        <v>177</v>
      </c>
      <c r="HX21" s="12">
        <f t="shared" si="24"/>
        <v>178</v>
      </c>
      <c r="HY21" s="12">
        <f t="shared" si="24"/>
        <v>179</v>
      </c>
      <c r="HZ21" s="12">
        <f t="shared" si="24"/>
        <v>180</v>
      </c>
      <c r="IA21" s="12">
        <f t="shared" si="24"/>
        <v>181</v>
      </c>
      <c r="IB21" s="12">
        <f t="shared" si="24"/>
        <v>182</v>
      </c>
      <c r="IC21" s="12">
        <f t="shared" si="24"/>
        <v>183</v>
      </c>
      <c r="ID21" s="12">
        <f t="shared" si="24"/>
        <v>184</v>
      </c>
      <c r="IE21" s="12">
        <f t="shared" si="24"/>
        <v>185</v>
      </c>
      <c r="IF21" s="12">
        <f t="shared" si="24"/>
        <v>186</v>
      </c>
      <c r="IG21" s="12">
        <f t="shared" si="24"/>
        <v>187</v>
      </c>
      <c r="IH21" s="12">
        <f t="shared" si="24"/>
        <v>188</v>
      </c>
      <c r="II21" s="12">
        <f t="shared" si="24"/>
        <v>189</v>
      </c>
      <c r="IJ21" s="12">
        <f t="shared" si="24"/>
        <v>190</v>
      </c>
      <c r="IK21" s="12">
        <f t="shared" si="24"/>
        <v>191</v>
      </c>
      <c r="IL21" s="12">
        <f t="shared" si="24"/>
        <v>192</v>
      </c>
      <c r="IM21" s="12">
        <f t="shared" si="24"/>
        <v>193</v>
      </c>
      <c r="IN21" s="12">
        <f t="shared" si="24"/>
        <v>194</v>
      </c>
      <c r="IO21" s="12">
        <f t="shared" si="24"/>
        <v>195</v>
      </c>
      <c r="IP21" s="15"/>
      <c r="IQ21" s="16"/>
      <c r="IR21" s="16"/>
      <c r="IS21" s="16"/>
      <c r="IT21" s="16"/>
      <c r="IU21" s="16"/>
      <c r="IV21" s="16"/>
      <c r="IW21" s="16"/>
      <c r="IX21" s="8"/>
    </row>
    <row r="22" spans="2:258" ht="15.75" thickBot="1" x14ac:dyDescent="0.3">
      <c r="B22" s="103">
        <f t="shared" ref="B22:B38" si="25">B21+6</f>
        <v>24</v>
      </c>
      <c r="C22" s="226">
        <v>5</v>
      </c>
      <c r="D22" s="98">
        <f t="shared" si="1"/>
        <v>0.29305555555555557</v>
      </c>
      <c r="E22" s="96">
        <f t="shared" si="2"/>
        <v>0.32968750000000002</v>
      </c>
      <c r="F22" s="96">
        <f t="shared" si="3"/>
        <v>0.36631944444444442</v>
      </c>
      <c r="G22" s="96">
        <f t="shared" si="4"/>
        <v>0.38463541666666667</v>
      </c>
      <c r="H22" s="96">
        <f t="shared" si="5"/>
        <v>0.395625</v>
      </c>
      <c r="I22" s="96">
        <f t="shared" si="6"/>
        <v>0.40295138888888893</v>
      </c>
      <c r="J22" s="96">
        <f t="shared" si="7"/>
        <v>0.4081845238095238</v>
      </c>
      <c r="K22" s="96">
        <f t="shared" si="8"/>
        <v>0.41210937500000006</v>
      </c>
      <c r="L22" s="96">
        <f t="shared" si="9"/>
        <v>0.40702160493827161</v>
      </c>
      <c r="M22" s="96">
        <f t="shared" si="10"/>
        <v>0.4102777777777778</v>
      </c>
      <c r="N22" s="96">
        <f t="shared" si="11"/>
        <v>0.41294191919191919</v>
      </c>
      <c r="O22" s="96">
        <f t="shared" si="12"/>
        <v>0.41439887152777782</v>
      </c>
      <c r="P22" s="96">
        <f t="shared" si="13"/>
        <v>0.41633613782051282</v>
      </c>
      <c r="Q22" s="96">
        <f t="shared" si="14"/>
        <v>0.41799665178571432</v>
      </c>
      <c r="R22" s="96">
        <f t="shared" si="15"/>
        <v>0.41943576388888892</v>
      </c>
      <c r="S22" s="96">
        <f t="shared" si="16"/>
        <v>0.42069498697916674</v>
      </c>
      <c r="T22" s="96">
        <f t="shared" si="17"/>
        <v>0.42180606617647065</v>
      </c>
      <c r="U22" s="96">
        <f t="shared" si="18"/>
        <v>0.41465326003086417</v>
      </c>
      <c r="V22" s="96">
        <f t="shared" si="19"/>
        <v>0.41596536915204685</v>
      </c>
      <c r="W22" s="96">
        <f t="shared" si="20"/>
        <v>0.41714626736111116</v>
      </c>
      <c r="X22" s="96"/>
      <c r="Y22" s="65"/>
      <c r="AA22" s="83"/>
      <c r="AT22" s="4"/>
      <c r="AU22" s="216">
        <f>F12</f>
        <v>10.5</v>
      </c>
      <c r="AV22" s="12" t="str">
        <f>"("&amp;ROUND(AU22*25.4/50,0)*50&amp;")"</f>
        <v>(250)</v>
      </c>
      <c r="AW22" s="217">
        <v>7</v>
      </c>
      <c r="AX22" s="20">
        <f t="shared" ref="AX22:AX41" si="26">($IR22+(($IQ22-1)*$IS22)+$IT22)*BG22/144</f>
        <v>0.12175</v>
      </c>
      <c r="AY22" s="21" t="str">
        <f t="shared" ref="AY22" si="27">"("&amp;FIXED(AX22*0.092903,2)&amp;")"</f>
        <v>(0.01)</v>
      </c>
      <c r="AZ22" s="22">
        <v>2</v>
      </c>
      <c r="BA22" s="22">
        <f t="shared" ref="BA22:BA41" si="28">$IU$23*AZ22</f>
        <v>3</v>
      </c>
      <c r="BB22" s="22">
        <v>0</v>
      </c>
      <c r="BC22" s="22">
        <f t="shared" ref="BC22:BC41" si="29">$IW$23*BB22</f>
        <v>0</v>
      </c>
      <c r="BD22" s="22">
        <v>0</v>
      </c>
      <c r="BE22" s="22">
        <f t="shared" ref="BE22:BE41" si="30">$IV$23*BD22</f>
        <v>0</v>
      </c>
      <c r="BF22" s="22">
        <f t="shared" ref="BF22" si="31">BA22+BC22+BE22</f>
        <v>3</v>
      </c>
      <c r="BG22" s="23">
        <f t="shared" ref="BG22:BG41" si="32">AX$20-BA22-BC22-BE22</f>
        <v>6</v>
      </c>
      <c r="BH22" s="20">
        <f t="shared" ref="BH22:BH41" si="33">($IR22+(($IQ22-1)*$IS22)+$IT22)*BQ22/144</f>
        <v>0.18262500000000001</v>
      </c>
      <c r="BI22" s="21" t="str">
        <f t="shared" ref="BI22" si="34">"("&amp;FIXED(BH22*0.092903,2)&amp;")"</f>
        <v>(0.02)</v>
      </c>
      <c r="BJ22" s="22">
        <v>2</v>
      </c>
      <c r="BK22" s="22">
        <f t="shared" ref="BK22:BK41" si="35">$IU$23*BJ22</f>
        <v>3</v>
      </c>
      <c r="BL22" s="22">
        <v>0</v>
      </c>
      <c r="BM22" s="22">
        <f t="shared" ref="BM22:BM41" si="36">$IW$23*BL22</f>
        <v>0</v>
      </c>
      <c r="BN22" s="22">
        <v>0</v>
      </c>
      <c r="BO22" s="22">
        <f t="shared" ref="BO22:BO41" si="37">$IV$23*BN22</f>
        <v>0</v>
      </c>
      <c r="BP22" s="22">
        <f t="shared" ref="BP22" si="38">BK22+BM22+BO22</f>
        <v>3</v>
      </c>
      <c r="BQ22" s="23">
        <f t="shared" ref="BQ22:BQ41" si="39">BH$20-BK22-BM22-BO22</f>
        <v>9</v>
      </c>
      <c r="BR22" s="20">
        <f t="shared" ref="BR22:BR41" si="40">($IR22+(($IQ22-1)*$IS22)+$IT22)*CA22/144</f>
        <v>0.30437500000000006</v>
      </c>
      <c r="BS22" s="21" t="str">
        <f t="shared" ref="BS22:BS41" si="41">"("&amp;ROUND(BR22*0.092903,2)&amp;")"</f>
        <v>(0.03)</v>
      </c>
      <c r="BT22" s="22">
        <v>2</v>
      </c>
      <c r="BU22" s="22">
        <f t="shared" ref="BU22:BU41" si="42">$IU$23*BT22</f>
        <v>3</v>
      </c>
      <c r="BV22" s="22">
        <v>0</v>
      </c>
      <c r="BW22" s="22">
        <f t="shared" ref="BW22:BW41" si="43">$IW$23*BV22</f>
        <v>0</v>
      </c>
      <c r="BX22" s="22">
        <v>0</v>
      </c>
      <c r="BY22" s="22">
        <f t="shared" ref="BY22:BY41" si="44">$IV$23*BX22</f>
        <v>0</v>
      </c>
      <c r="BZ22" s="22">
        <f t="shared" ref="BZ22" si="45">BU22+BW22+BY22</f>
        <v>3</v>
      </c>
      <c r="CA22" s="23">
        <f t="shared" ref="CA22:CA41" si="46">BR$20-BU22-BW22-BY22</f>
        <v>15</v>
      </c>
      <c r="CB22" s="20">
        <f t="shared" ref="CB22:CB41" si="47">($IR22+(($IQ22-1)*$IS22)+$IT22)*CK22/144</f>
        <v>0.42612500000000003</v>
      </c>
      <c r="CC22" s="21" t="str">
        <f t="shared" ref="CC22:CC41" si="48">"("&amp;ROUND(CB22*0.092903,2)&amp;")"</f>
        <v>(0.04)</v>
      </c>
      <c r="CD22" s="22">
        <v>2</v>
      </c>
      <c r="CE22" s="22">
        <f t="shared" ref="CE22:CE41" si="49">$IU$23*CD22</f>
        <v>3</v>
      </c>
      <c r="CF22" s="22">
        <v>0</v>
      </c>
      <c r="CG22" s="22">
        <f t="shared" ref="CG22:CG41" si="50">$IW$23*CF22</f>
        <v>0</v>
      </c>
      <c r="CH22" s="22">
        <v>0</v>
      </c>
      <c r="CI22" s="22">
        <f t="shared" ref="CI22:CI41" si="51">$IV$23*CH22</f>
        <v>0</v>
      </c>
      <c r="CJ22" s="22">
        <f t="shared" ref="CJ22" si="52">CE22+CG22+CI22</f>
        <v>3</v>
      </c>
      <c r="CK22" s="23">
        <f t="shared" ref="CK22:CK41" si="53">CB$20-CE22-CG22-CI22</f>
        <v>21</v>
      </c>
      <c r="CL22" s="20">
        <f t="shared" ref="CL22:CL41" si="54">($IR22+(($IQ22-1)*$IS22)+$IT22)*CU22/144</f>
        <v>0.547875</v>
      </c>
      <c r="CM22" s="21" t="str">
        <f t="shared" ref="CM22:CM41" si="55">"("&amp;ROUND(CL22*0.092903,2)&amp;")"</f>
        <v>(0.05)</v>
      </c>
      <c r="CN22" s="22">
        <v>2</v>
      </c>
      <c r="CO22" s="22">
        <f t="shared" ref="CO22:CO41" si="56">$IU$23*CN22</f>
        <v>3</v>
      </c>
      <c r="CP22" s="22">
        <v>0</v>
      </c>
      <c r="CQ22" s="22">
        <f t="shared" ref="CQ22:CQ41" si="57">$IW$23*CP22</f>
        <v>0</v>
      </c>
      <c r="CR22" s="22">
        <v>0</v>
      </c>
      <c r="CS22" s="22">
        <f t="shared" ref="CS22:CS41" si="58">$IV$23*CR22</f>
        <v>0</v>
      </c>
      <c r="CT22" s="22">
        <f t="shared" ref="CT22" si="59">CO22+CQ22+CS22</f>
        <v>3</v>
      </c>
      <c r="CU22" s="23">
        <f t="shared" ref="CU22:CU41" si="60">CL$20-CO22-CQ22-CS22</f>
        <v>27</v>
      </c>
      <c r="CV22" s="20">
        <f t="shared" ref="CV22:CV41" si="61">($IR22+(($IQ22-1)*$IS22)+$IT22)*DE22/144</f>
        <v>0.66962500000000003</v>
      </c>
      <c r="CW22" s="21" t="str">
        <f t="shared" ref="CW22:CW41" si="62">"("&amp;ROUND(CV22*0.092903,2)&amp;")"</f>
        <v>(0.06)</v>
      </c>
      <c r="CX22" s="22">
        <v>2</v>
      </c>
      <c r="CY22" s="22">
        <f t="shared" ref="CY22:CY41" si="63">$IU$23*CX22</f>
        <v>3</v>
      </c>
      <c r="CZ22" s="22">
        <v>0</v>
      </c>
      <c r="DA22" s="22">
        <f t="shared" ref="DA22:DA41" si="64">$IW$23*CZ22</f>
        <v>0</v>
      </c>
      <c r="DB22" s="22">
        <v>0</v>
      </c>
      <c r="DC22" s="22">
        <f t="shared" ref="DC22:DC41" si="65">$IV$23*DB22</f>
        <v>0</v>
      </c>
      <c r="DD22" s="22">
        <f t="shared" ref="DD22" si="66">CY22+DA22+DC22</f>
        <v>3</v>
      </c>
      <c r="DE22" s="23">
        <f t="shared" ref="DE22:DE41" si="67">CV$20-CY22-DA22-DC22</f>
        <v>33</v>
      </c>
      <c r="DF22" s="20">
        <f t="shared" ref="DF22:DF41" si="68">($IR22+(($IQ22-1)*$IS22)+$IT22)*DO22/144</f>
        <v>0.79137500000000005</v>
      </c>
      <c r="DG22" s="21" t="str">
        <f t="shared" ref="DG22:DG41" si="69">"("&amp;ROUND(DF22*0.092903,2)&amp;")"</f>
        <v>(0.07)</v>
      </c>
      <c r="DH22" s="22">
        <v>2</v>
      </c>
      <c r="DI22" s="22">
        <f t="shared" ref="DI22:DI41" si="70">$IU$23*DH22</f>
        <v>3</v>
      </c>
      <c r="DJ22" s="22">
        <v>0</v>
      </c>
      <c r="DK22" s="22">
        <f t="shared" ref="DK22:DK41" si="71">$IW$23*DJ22</f>
        <v>0</v>
      </c>
      <c r="DL22" s="22">
        <v>0</v>
      </c>
      <c r="DM22" s="22">
        <f t="shared" ref="DM22:DM41" si="72">$IV$23*DL22</f>
        <v>0</v>
      </c>
      <c r="DN22" s="22">
        <f t="shared" ref="DN22" si="73">DI22+DK22+DM22</f>
        <v>3</v>
      </c>
      <c r="DO22" s="23">
        <f t="shared" ref="DO22:DO41" si="74">DF$20-DI22-DK22-DM22</f>
        <v>39</v>
      </c>
      <c r="DP22" s="20">
        <f t="shared" ref="DP22:DP41" si="75">($IR22+(($IQ22-1)*$IS22)+$IT22)*DY22/144</f>
        <v>0.91312500000000008</v>
      </c>
      <c r="DQ22" s="21" t="str">
        <f t="shared" ref="DQ22:DQ41" si="76">"("&amp;ROUND(DP22*0.092903,2)&amp;")"</f>
        <v>(0.08)</v>
      </c>
      <c r="DR22" s="22">
        <v>2</v>
      </c>
      <c r="DS22" s="22">
        <f t="shared" ref="DS22:DS41" si="77">$IU$23*DR22</f>
        <v>3</v>
      </c>
      <c r="DT22" s="22">
        <v>0</v>
      </c>
      <c r="DU22" s="22">
        <f t="shared" ref="DU22:DU41" si="78">$IW$23*DT22</f>
        <v>0</v>
      </c>
      <c r="DV22" s="22">
        <v>0</v>
      </c>
      <c r="DW22" s="22">
        <f t="shared" ref="DW22:DW41" si="79">$IV$23*DV22</f>
        <v>0</v>
      </c>
      <c r="DX22" s="22">
        <f t="shared" ref="DX22" si="80">DS22+DU22+DW22</f>
        <v>3</v>
      </c>
      <c r="DY22" s="23">
        <f t="shared" ref="DY22:DY41" si="81">DP$20-DS22-DU22-DW22</f>
        <v>45</v>
      </c>
      <c r="DZ22" s="20">
        <f t="shared" ref="DZ22:DZ41" si="82">($IR22+(($IQ22-1)*$IS22)+$IT22)*EI22/144</f>
        <v>1.0145833333333334</v>
      </c>
      <c r="EA22" s="21" t="str">
        <f t="shared" ref="EA22" si="83">"("&amp;FIXED(DZ22*0.092903,2)&amp;")"</f>
        <v>(0.09)</v>
      </c>
      <c r="EB22" s="22">
        <v>2</v>
      </c>
      <c r="EC22" s="22">
        <f t="shared" ref="EC22:EC41" si="84">$IU$23*EB22</f>
        <v>3</v>
      </c>
      <c r="ED22" s="22">
        <v>0</v>
      </c>
      <c r="EE22" s="22">
        <f t="shared" ref="EE22:EE41" si="85">$IW$23*ED22</f>
        <v>0</v>
      </c>
      <c r="EF22" s="22">
        <v>1</v>
      </c>
      <c r="EG22" s="22">
        <f t="shared" ref="EG22:EG41" si="86">$IV$23*EF22</f>
        <v>1</v>
      </c>
      <c r="EH22" s="22">
        <f t="shared" ref="EH22" si="87">EC22+EE22+EG22</f>
        <v>4</v>
      </c>
      <c r="EI22" s="23">
        <f t="shared" ref="EI22:EI41" si="88">DZ$20-EC22-EE22-EG22</f>
        <v>50</v>
      </c>
      <c r="EJ22" s="20">
        <f t="shared" ref="EJ22:EJ41" si="89">($IR22+(($IQ22-1)*$IS22)+$IT22)*ES22/144</f>
        <v>1.1363333333333334</v>
      </c>
      <c r="EK22" s="21" t="str">
        <f t="shared" ref="EK22" si="90">"("&amp;FIXED(EJ22*0.092903,2)&amp;")"</f>
        <v>(0.11)</v>
      </c>
      <c r="EL22" s="22">
        <v>2</v>
      </c>
      <c r="EM22" s="22">
        <f t="shared" ref="EM22:EM41" si="91">$IU$23*EL22</f>
        <v>3</v>
      </c>
      <c r="EN22" s="22">
        <v>0</v>
      </c>
      <c r="EO22" s="22">
        <f t="shared" ref="EO22:EO41" si="92">$IW$23*EN22</f>
        <v>0</v>
      </c>
      <c r="EP22" s="22">
        <v>1</v>
      </c>
      <c r="EQ22" s="22">
        <f t="shared" ref="EQ22:EQ41" si="93">$IV$23*EP22</f>
        <v>1</v>
      </c>
      <c r="ER22" s="22">
        <f t="shared" ref="ER22" si="94">EM22+EO22+EQ22</f>
        <v>4</v>
      </c>
      <c r="ES22" s="23">
        <f t="shared" ref="ES22:ES41" si="95">EJ$20-EM22-EO22-EQ22</f>
        <v>56</v>
      </c>
      <c r="ET22" s="20">
        <f t="shared" ref="ET22:ET41" si="96">($IR22+(($IQ22-1)*$IS22)+$IT22)*FC22/144</f>
        <v>1.2580833333333334</v>
      </c>
      <c r="EU22" s="21" t="str">
        <f t="shared" ref="EU22" si="97">"("&amp;FIXED(ET22*0.092903,2)&amp;")"</f>
        <v>(0.12)</v>
      </c>
      <c r="EV22" s="22">
        <v>2</v>
      </c>
      <c r="EW22" s="22">
        <f t="shared" ref="EW22:EW41" si="98">$IU$23*EV22</f>
        <v>3</v>
      </c>
      <c r="EX22" s="22">
        <v>0</v>
      </c>
      <c r="EY22" s="22">
        <f t="shared" ref="EY22:EY41" si="99">$IW$23*EX22</f>
        <v>0</v>
      </c>
      <c r="EZ22" s="22">
        <v>1</v>
      </c>
      <c r="FA22" s="22">
        <f t="shared" ref="FA22:FA41" si="100">$IV$23*EZ22</f>
        <v>1</v>
      </c>
      <c r="FB22" s="22">
        <f t="shared" ref="FB22" si="101">EW22+EY22+FA22</f>
        <v>4</v>
      </c>
      <c r="FC22" s="23">
        <f t="shared" ref="FC22:FC41" si="102">ET$20-EW22-EY22-FA22</f>
        <v>62</v>
      </c>
      <c r="FD22" s="20">
        <f t="shared" ref="FD22:FD41" si="103">($IR22+(($IQ22-1)*$IS22)+$IT22)*FM22/144</f>
        <v>1.3772968750000001</v>
      </c>
      <c r="FE22" s="21" t="str">
        <f t="shared" ref="FE22" si="104">"("&amp;FIXED(FD22*0.092903,2)&amp;")"</f>
        <v>(0.13)</v>
      </c>
      <c r="FF22" s="22">
        <v>2</v>
      </c>
      <c r="FG22" s="22">
        <f t="shared" ref="FG22:FG41" si="105">$IU$23*FF22</f>
        <v>3</v>
      </c>
      <c r="FH22" s="22">
        <v>1</v>
      </c>
      <c r="FI22" s="22">
        <f t="shared" ref="FI22:FI41" si="106">$IW$23*FH22</f>
        <v>1.125</v>
      </c>
      <c r="FJ22" s="22">
        <v>0</v>
      </c>
      <c r="FK22" s="22">
        <f t="shared" ref="FK22:FK41" si="107">$IV$23*FJ22</f>
        <v>0</v>
      </c>
      <c r="FL22" s="22">
        <f t="shared" ref="FL22" si="108">FG22+FI22+FK22</f>
        <v>4.125</v>
      </c>
      <c r="FM22" s="23">
        <f t="shared" ref="FM22:FM41" si="109">FD$20-FG22-FI22-FK22</f>
        <v>67.875</v>
      </c>
      <c r="FN22" s="20">
        <f t="shared" ref="FN22:FN33" si="110">($IR22+(($IQ22-1)*$IS22)+$IT22)*FW22/144</f>
        <v>1.4990468750000001</v>
      </c>
      <c r="FO22" s="21" t="str">
        <f t="shared" ref="FO22" si="111">"("&amp;FIXED(FN22*0.092903,2)&amp;")"</f>
        <v>(0.14)</v>
      </c>
      <c r="FP22" s="22">
        <v>2</v>
      </c>
      <c r="FQ22" s="22">
        <f t="shared" ref="FQ22:FQ33" si="112">$IU$23*FP22</f>
        <v>3</v>
      </c>
      <c r="FR22" s="22">
        <v>1</v>
      </c>
      <c r="FS22" s="22">
        <f t="shared" ref="FS22:FS33" si="113">$IW$23*FR22</f>
        <v>1.125</v>
      </c>
      <c r="FT22" s="22">
        <v>0</v>
      </c>
      <c r="FU22" s="22">
        <f t="shared" ref="FU22:FU33" si="114">$IV$23*FT22</f>
        <v>0</v>
      </c>
      <c r="FV22" s="22">
        <f t="shared" ref="FV22" si="115">FQ22+FS22+FU22</f>
        <v>4.125</v>
      </c>
      <c r="FW22" s="23">
        <f t="shared" ref="FW22:FW33" si="116">FN$20-FQ22-FS22-FU22</f>
        <v>73.875</v>
      </c>
      <c r="FX22" s="20">
        <f t="shared" ref="FX22:FX33" si="117">($IR22+(($IQ22-1)*$IS22)+$IT22)*GG22/144</f>
        <v>1.6207968750000001</v>
      </c>
      <c r="FY22" s="21" t="str">
        <f t="shared" ref="FY22" si="118">"("&amp;FIXED(FX22*0.092903,2)&amp;")"</f>
        <v>(0.15)</v>
      </c>
      <c r="FZ22" s="22">
        <v>2</v>
      </c>
      <c r="GA22" s="22">
        <f t="shared" ref="GA22:GA33" si="119">$IU$23*FZ22</f>
        <v>3</v>
      </c>
      <c r="GB22" s="22">
        <v>1</v>
      </c>
      <c r="GC22" s="22">
        <f t="shared" ref="GC22:GC33" si="120">$IW$23*GB22</f>
        <v>1.125</v>
      </c>
      <c r="GD22" s="22">
        <v>0</v>
      </c>
      <c r="GE22" s="22">
        <f t="shared" ref="GE22:GE33" si="121">$IV$23*GD22</f>
        <v>0</v>
      </c>
      <c r="GF22" s="22">
        <f t="shared" ref="GF22" si="122">GA22+GC22+GE22</f>
        <v>4.125</v>
      </c>
      <c r="GG22" s="23">
        <f t="shared" ref="GG22:GG33" si="123">FX$20-GA22-GC22-GE22</f>
        <v>79.875</v>
      </c>
      <c r="GH22" s="20">
        <f t="shared" ref="GH22:GH33" si="124">($IR22+(($IQ22-1)*$IS22)+$IT22)*GQ22/144</f>
        <v>1.7425468750000002</v>
      </c>
      <c r="GI22" s="21" t="str">
        <f t="shared" ref="GI22" si="125">"("&amp;FIXED(GH22*0.092903,2)&amp;")"</f>
        <v>(0.16)</v>
      </c>
      <c r="GJ22" s="22">
        <v>2</v>
      </c>
      <c r="GK22" s="22">
        <f t="shared" ref="GK22:GK33" si="126">$IU$23*GJ22</f>
        <v>3</v>
      </c>
      <c r="GL22" s="22">
        <v>1</v>
      </c>
      <c r="GM22" s="22">
        <f t="shared" ref="GM22:GM33" si="127">$IW$23*GL22</f>
        <v>1.125</v>
      </c>
      <c r="GN22" s="22">
        <v>0</v>
      </c>
      <c r="GO22" s="22">
        <f t="shared" ref="GO22:GO33" si="128">$IV$23*GN22</f>
        <v>0</v>
      </c>
      <c r="GP22" s="22">
        <f t="shared" ref="GP22" si="129">GK22+GM22+GO22</f>
        <v>4.125</v>
      </c>
      <c r="GQ22" s="23">
        <f t="shared" ref="GQ22:GQ33" si="130">GH$20-GK22-GM22-GO22</f>
        <v>85.875</v>
      </c>
      <c r="GR22" s="20">
        <f t="shared" ref="GR22:GR33" si="131">($IR22+(($IQ22-1)*$IS22)+$IT22)*HA22/144</f>
        <v>1.864296875</v>
      </c>
      <c r="GS22" s="21" t="str">
        <f t="shared" ref="GS22" si="132">"("&amp;FIXED(GR22*0.092903,2)&amp;")"</f>
        <v>(0.17)</v>
      </c>
      <c r="GT22" s="22">
        <v>2</v>
      </c>
      <c r="GU22" s="22">
        <f t="shared" ref="GU22:GU33" si="133">$IU$23*GT22</f>
        <v>3</v>
      </c>
      <c r="GV22" s="22">
        <v>1</v>
      </c>
      <c r="GW22" s="22">
        <f t="shared" ref="GW22:GW33" si="134">$IW$23*GV22</f>
        <v>1.125</v>
      </c>
      <c r="GX22" s="22">
        <v>0</v>
      </c>
      <c r="GY22" s="22">
        <f t="shared" ref="GY22:GY33" si="135">$IV$23*GX22</f>
        <v>0</v>
      </c>
      <c r="GZ22" s="22">
        <f t="shared" ref="GZ22" si="136">GU22+GW22+GY22</f>
        <v>4.125</v>
      </c>
      <c r="HA22" s="23">
        <f t="shared" ref="HA22:HA33" si="137">GR$20-GU22-GW22-GY22</f>
        <v>91.875</v>
      </c>
      <c r="HB22" s="20">
        <f t="shared" ref="HB22:HB33" si="138">($IR22+(($IQ22-1)*$IS22)+$IT22)*HK22/144</f>
        <v>1.986046875</v>
      </c>
      <c r="HC22" s="21" t="str">
        <f t="shared" ref="HC22" si="139">"("&amp;FIXED(HB22*0.092903,2)&amp;")"</f>
        <v>(0.18)</v>
      </c>
      <c r="HD22" s="22">
        <v>2</v>
      </c>
      <c r="HE22" s="22">
        <f t="shared" ref="HE22:HE33" si="140">$IU$23*HD22</f>
        <v>3</v>
      </c>
      <c r="HF22" s="22">
        <v>1</v>
      </c>
      <c r="HG22" s="22">
        <f t="shared" ref="HG22:HG33" si="141">$IW$23*HF22</f>
        <v>1.125</v>
      </c>
      <c r="HH22" s="22">
        <v>0</v>
      </c>
      <c r="HI22" s="22">
        <f t="shared" ref="HI22:HI33" si="142">$IV$23*HH22</f>
        <v>0</v>
      </c>
      <c r="HJ22" s="22">
        <f t="shared" ref="HJ22" si="143">HE22+HG22+HI22</f>
        <v>4.125</v>
      </c>
      <c r="HK22" s="23">
        <f t="shared" ref="HK22:HK33" si="144">HB$20-HE22-HG22-HI22</f>
        <v>97.875</v>
      </c>
      <c r="HL22" s="20">
        <f t="shared" ref="HL22:HL33" si="145">($IR22+(($IQ22-1)*$IS22)+$IT22)*HU22/144</f>
        <v>2.0672135416666668</v>
      </c>
      <c r="HM22" s="21" t="str">
        <f t="shared" ref="HM22" si="146">"("&amp;FIXED(HL22*0.092903,2)&amp;")"</f>
        <v>(0.19)</v>
      </c>
      <c r="HN22" s="22">
        <v>2</v>
      </c>
      <c r="HO22" s="22">
        <f t="shared" ref="HO22:HO33" si="147">$IU$23*HN22</f>
        <v>3</v>
      </c>
      <c r="HP22" s="22">
        <v>1</v>
      </c>
      <c r="HQ22" s="22">
        <f t="shared" ref="HQ22:HQ33" si="148">$IW$23*HP22</f>
        <v>1.125</v>
      </c>
      <c r="HR22" s="22">
        <v>2</v>
      </c>
      <c r="HS22" s="22">
        <f t="shared" ref="HS22:HS33" si="149">$IV$23*HR22</f>
        <v>2</v>
      </c>
      <c r="HT22" s="22">
        <f t="shared" ref="HT22" si="150">HO22+HQ22+HS22</f>
        <v>6.125</v>
      </c>
      <c r="HU22" s="23">
        <f t="shared" ref="HU22:HU33" si="151">HL$20-HO22-HQ22-HS22</f>
        <v>101.875</v>
      </c>
      <c r="HV22" s="20">
        <f t="shared" ref="HV22:HV33" si="152">($IR22+(($IQ22-1)*$IS22)+$IT22)*IE22/144</f>
        <v>2.1889635416666668</v>
      </c>
      <c r="HW22" s="21" t="str">
        <f t="shared" ref="HW22" si="153">"("&amp;FIXED(HV22*0.092903,2)&amp;")"</f>
        <v>(0.20)</v>
      </c>
      <c r="HX22" s="22">
        <v>2</v>
      </c>
      <c r="HY22" s="22">
        <f t="shared" ref="HY22:HY33" si="154">$IU$23*HX22</f>
        <v>3</v>
      </c>
      <c r="HZ22" s="22">
        <v>1</v>
      </c>
      <c r="IA22" s="22">
        <f t="shared" ref="IA22:IA33" si="155">$IW$23*HZ22</f>
        <v>1.125</v>
      </c>
      <c r="IB22" s="22">
        <v>2</v>
      </c>
      <c r="IC22" s="22">
        <f t="shared" ref="IC22:IC33" si="156">$IV$23*IB22</f>
        <v>2</v>
      </c>
      <c r="ID22" s="22">
        <f t="shared" ref="ID22" si="157">HY22+IA22+IC22</f>
        <v>6.125</v>
      </c>
      <c r="IE22" s="23">
        <f t="shared" ref="IE22:IE33" si="158">HV$20-HY22-IA22-IC22</f>
        <v>107.875</v>
      </c>
      <c r="IF22" s="20">
        <f t="shared" ref="IF22:IF33" si="159">($IR22+(($IQ22-1)*$IS22)+$IT22)*IO22/144</f>
        <v>2.3107135416666669</v>
      </c>
      <c r="IG22" s="21" t="str">
        <f t="shared" ref="IG22" si="160">"("&amp;FIXED(IF22*0.092903,2)&amp;")"</f>
        <v>(0.21)</v>
      </c>
      <c r="IH22" s="22">
        <v>2</v>
      </c>
      <c r="II22" s="22">
        <f t="shared" ref="II22:II33" si="161">$IU$23*IH22</f>
        <v>3</v>
      </c>
      <c r="IJ22" s="22">
        <v>1</v>
      </c>
      <c r="IK22" s="22">
        <f t="shared" ref="IK22:IK33" si="162">$IW$23*IJ22</f>
        <v>1.125</v>
      </c>
      <c r="IL22" s="22">
        <v>2</v>
      </c>
      <c r="IM22" s="22">
        <f t="shared" ref="IM22:IM33" si="163">$IV$23*IL22</f>
        <v>2</v>
      </c>
      <c r="IN22" s="22">
        <f t="shared" ref="IN22" si="164">II22+IK22+IM22</f>
        <v>6.125</v>
      </c>
      <c r="IO22" s="23">
        <f t="shared" ref="IO22:IO33" si="165">IF$20-II22-IK22-IM22</f>
        <v>113.875</v>
      </c>
      <c r="IP22" s="15"/>
      <c r="IQ22" s="25">
        <v>1</v>
      </c>
      <c r="IR22" s="26">
        <v>2.5</v>
      </c>
      <c r="IS22" s="26">
        <v>2.8079999999999998</v>
      </c>
      <c r="IT22" s="26">
        <v>0.42199999999999999</v>
      </c>
      <c r="IU22" s="26">
        <v>1.5</v>
      </c>
      <c r="IV22" s="26">
        <v>1</v>
      </c>
      <c r="IW22" s="26">
        <v>1.125</v>
      </c>
      <c r="IX22" s="8"/>
    </row>
    <row r="23" spans="2:258" ht="15.75" thickBot="1" x14ac:dyDescent="0.3">
      <c r="B23" s="103">
        <f t="shared" si="25"/>
        <v>30</v>
      </c>
      <c r="C23" s="221">
        <v>6</v>
      </c>
      <c r="D23" s="98">
        <f t="shared" si="1"/>
        <v>0.30711111111111106</v>
      </c>
      <c r="E23" s="96">
        <f t="shared" si="2"/>
        <v>0.34549999999999997</v>
      </c>
      <c r="F23" s="96">
        <f t="shared" si="3"/>
        <v>0.38388888888888884</v>
      </c>
      <c r="G23" s="96">
        <f t="shared" si="4"/>
        <v>0.40308333333333329</v>
      </c>
      <c r="H23" s="96">
        <f t="shared" si="5"/>
        <v>0.41460000000000002</v>
      </c>
      <c r="I23" s="96">
        <f t="shared" si="6"/>
        <v>0.4222777777777777</v>
      </c>
      <c r="J23" s="96">
        <f t="shared" si="7"/>
        <v>0.42776190476190468</v>
      </c>
      <c r="K23" s="96">
        <f t="shared" si="8"/>
        <v>0.43187499999999995</v>
      </c>
      <c r="L23" s="96">
        <f t="shared" si="9"/>
        <v>0.42654320987654315</v>
      </c>
      <c r="M23" s="96">
        <f t="shared" si="10"/>
        <v>0.42995555555555554</v>
      </c>
      <c r="N23" s="96">
        <f t="shared" si="11"/>
        <v>0.43274747474747471</v>
      </c>
      <c r="O23" s="96">
        <f t="shared" si="12"/>
        <v>0.43427430555555552</v>
      </c>
      <c r="P23" s="96">
        <f t="shared" si="13"/>
        <v>0.43630448717948711</v>
      </c>
      <c r="Q23" s="96">
        <f t="shared" si="14"/>
        <v>0.43804464285714284</v>
      </c>
      <c r="R23" s="96">
        <f t="shared" si="15"/>
        <v>0.43955277777777774</v>
      </c>
      <c r="S23" s="96">
        <f t="shared" si="16"/>
        <v>0.44087239583333326</v>
      </c>
      <c r="T23" s="96">
        <f t="shared" si="17"/>
        <v>0.44203676470588232</v>
      </c>
      <c r="U23" s="96">
        <f t="shared" si="18"/>
        <v>0.43454089506172833</v>
      </c>
      <c r="V23" s="96">
        <f t="shared" si="19"/>
        <v>0.43591593567251452</v>
      </c>
      <c r="W23" s="96">
        <f t="shared" si="20"/>
        <v>0.43715347222222223</v>
      </c>
      <c r="X23" s="96"/>
      <c r="Y23" s="65"/>
      <c r="AA23" s="83"/>
      <c r="AT23" s="4"/>
      <c r="AU23" s="14">
        <v>12</v>
      </c>
      <c r="AV23" s="12" t="str">
        <f>"("&amp;ROUND(AU23*25.4/50,0)*50&amp;")"</f>
        <v>(300)</v>
      </c>
      <c r="AW23" s="19">
        <v>8</v>
      </c>
      <c r="AX23" s="20">
        <f t="shared" si="26"/>
        <v>0.17949999999999999</v>
      </c>
      <c r="AY23" s="21" t="str">
        <f>"("&amp;FIXED(AX23*0.092903,2)&amp;")"</f>
        <v>(0.02)</v>
      </c>
      <c r="AZ23" s="22">
        <v>2</v>
      </c>
      <c r="BA23" s="22">
        <f t="shared" si="28"/>
        <v>3</v>
      </c>
      <c r="BB23" s="22">
        <v>0</v>
      </c>
      <c r="BC23" s="22">
        <f t="shared" si="29"/>
        <v>0</v>
      </c>
      <c r="BD23" s="22">
        <v>0</v>
      </c>
      <c r="BE23" s="22">
        <f t="shared" si="30"/>
        <v>0</v>
      </c>
      <c r="BF23" s="22">
        <f>BA23+BC23+BE23</f>
        <v>3</v>
      </c>
      <c r="BG23" s="23">
        <f t="shared" si="32"/>
        <v>6</v>
      </c>
      <c r="BH23" s="373">
        <f t="shared" si="33"/>
        <v>0.26924999999999999</v>
      </c>
      <c r="BI23" s="374" t="str">
        <f>"("&amp;FIXED(BH23*0.092903,2)&amp;")"</f>
        <v>(0.03)</v>
      </c>
      <c r="BJ23" s="375">
        <v>2</v>
      </c>
      <c r="BK23" s="375">
        <f t="shared" si="35"/>
        <v>3</v>
      </c>
      <c r="BL23" s="375">
        <v>0</v>
      </c>
      <c r="BM23" s="375">
        <f t="shared" si="36"/>
        <v>0</v>
      </c>
      <c r="BN23" s="375">
        <v>0</v>
      </c>
      <c r="BO23" s="375">
        <f t="shared" si="37"/>
        <v>0</v>
      </c>
      <c r="BP23" s="375">
        <f>BK23+BM23+BO23</f>
        <v>3</v>
      </c>
      <c r="BQ23" s="376">
        <f t="shared" si="39"/>
        <v>9</v>
      </c>
      <c r="BR23" s="373">
        <f t="shared" si="40"/>
        <v>0.44875000000000004</v>
      </c>
      <c r="BS23" s="374" t="str">
        <f t="shared" si="41"/>
        <v>(0.04)</v>
      </c>
      <c r="BT23" s="375">
        <v>2</v>
      </c>
      <c r="BU23" s="375">
        <f t="shared" si="42"/>
        <v>3</v>
      </c>
      <c r="BV23" s="375">
        <v>0</v>
      </c>
      <c r="BW23" s="375">
        <f t="shared" si="43"/>
        <v>0</v>
      </c>
      <c r="BX23" s="375">
        <v>0</v>
      </c>
      <c r="BY23" s="375">
        <f t="shared" si="44"/>
        <v>0</v>
      </c>
      <c r="BZ23" s="375">
        <f>BU23+BW23+BY23</f>
        <v>3</v>
      </c>
      <c r="CA23" s="376">
        <f t="shared" si="46"/>
        <v>15</v>
      </c>
      <c r="CB23" s="373">
        <f t="shared" si="47"/>
        <v>0.62824999999999998</v>
      </c>
      <c r="CC23" s="374" t="str">
        <f t="shared" si="48"/>
        <v>(0.06)</v>
      </c>
      <c r="CD23" s="375">
        <v>2</v>
      </c>
      <c r="CE23" s="375">
        <f t="shared" si="49"/>
        <v>3</v>
      </c>
      <c r="CF23" s="375">
        <v>0</v>
      </c>
      <c r="CG23" s="375">
        <f t="shared" si="50"/>
        <v>0</v>
      </c>
      <c r="CH23" s="375">
        <v>0</v>
      </c>
      <c r="CI23" s="375">
        <f t="shared" si="51"/>
        <v>0</v>
      </c>
      <c r="CJ23" s="375">
        <f>CE23+CG23+CI23</f>
        <v>3</v>
      </c>
      <c r="CK23" s="376">
        <f t="shared" si="53"/>
        <v>21</v>
      </c>
      <c r="CL23" s="373">
        <f t="shared" si="54"/>
        <v>0.80774999999999997</v>
      </c>
      <c r="CM23" s="374" t="str">
        <f t="shared" si="55"/>
        <v>(0.08)</v>
      </c>
      <c r="CN23" s="375">
        <v>2</v>
      </c>
      <c r="CO23" s="375">
        <f t="shared" si="56"/>
        <v>3</v>
      </c>
      <c r="CP23" s="375">
        <v>0</v>
      </c>
      <c r="CQ23" s="375">
        <f t="shared" si="57"/>
        <v>0</v>
      </c>
      <c r="CR23" s="375">
        <v>0</v>
      </c>
      <c r="CS23" s="375">
        <f t="shared" si="58"/>
        <v>0</v>
      </c>
      <c r="CT23" s="375">
        <f>CO23+CQ23+CS23</f>
        <v>3</v>
      </c>
      <c r="CU23" s="376">
        <f t="shared" si="60"/>
        <v>27</v>
      </c>
      <c r="CV23" s="373">
        <f t="shared" si="61"/>
        <v>0.98724999999999996</v>
      </c>
      <c r="CW23" s="374" t="str">
        <f t="shared" si="62"/>
        <v>(0.09)</v>
      </c>
      <c r="CX23" s="375">
        <v>2</v>
      </c>
      <c r="CY23" s="375">
        <f t="shared" si="63"/>
        <v>3</v>
      </c>
      <c r="CZ23" s="375">
        <v>0</v>
      </c>
      <c r="DA23" s="375">
        <f t="shared" si="64"/>
        <v>0</v>
      </c>
      <c r="DB23" s="375">
        <v>0</v>
      </c>
      <c r="DC23" s="375">
        <f t="shared" si="65"/>
        <v>0</v>
      </c>
      <c r="DD23" s="375">
        <f>CY23+DA23+DC23</f>
        <v>3</v>
      </c>
      <c r="DE23" s="376">
        <f t="shared" si="67"/>
        <v>33</v>
      </c>
      <c r="DF23" s="373">
        <f t="shared" si="68"/>
        <v>1.16675</v>
      </c>
      <c r="DG23" s="374" t="str">
        <f t="shared" si="69"/>
        <v>(0.11)</v>
      </c>
      <c r="DH23" s="375">
        <v>2</v>
      </c>
      <c r="DI23" s="375">
        <f t="shared" si="70"/>
        <v>3</v>
      </c>
      <c r="DJ23" s="375">
        <v>0</v>
      </c>
      <c r="DK23" s="375">
        <f t="shared" si="71"/>
        <v>0</v>
      </c>
      <c r="DL23" s="375">
        <v>0</v>
      </c>
      <c r="DM23" s="375">
        <f t="shared" si="72"/>
        <v>0</v>
      </c>
      <c r="DN23" s="375">
        <f>DI23+DK23+DM23</f>
        <v>3</v>
      </c>
      <c r="DO23" s="376">
        <f t="shared" si="74"/>
        <v>39</v>
      </c>
      <c r="DP23" s="373">
        <f t="shared" si="75"/>
        <v>1.3462499999999999</v>
      </c>
      <c r="DQ23" s="374" t="str">
        <f t="shared" si="76"/>
        <v>(0.13)</v>
      </c>
      <c r="DR23" s="375">
        <v>2</v>
      </c>
      <c r="DS23" s="375">
        <f t="shared" si="77"/>
        <v>3</v>
      </c>
      <c r="DT23" s="375">
        <v>0</v>
      </c>
      <c r="DU23" s="375">
        <f t="shared" si="78"/>
        <v>0</v>
      </c>
      <c r="DV23" s="375">
        <v>0</v>
      </c>
      <c r="DW23" s="375">
        <f t="shared" si="79"/>
        <v>0</v>
      </c>
      <c r="DX23" s="375">
        <f>DS23+DU23+DW23</f>
        <v>3</v>
      </c>
      <c r="DY23" s="376">
        <f t="shared" si="81"/>
        <v>45</v>
      </c>
      <c r="DZ23" s="373">
        <f t="shared" si="82"/>
        <v>1.4958333333333331</v>
      </c>
      <c r="EA23" s="374" t="str">
        <f>"("&amp;FIXED(DZ23*0.092903,2)&amp;")"</f>
        <v>(0.14)</v>
      </c>
      <c r="EB23" s="375">
        <v>2</v>
      </c>
      <c r="EC23" s="375">
        <f t="shared" si="84"/>
        <v>3</v>
      </c>
      <c r="ED23" s="375">
        <v>0</v>
      </c>
      <c r="EE23" s="375">
        <f t="shared" si="85"/>
        <v>0</v>
      </c>
      <c r="EF23" s="375">
        <v>1</v>
      </c>
      <c r="EG23" s="375">
        <f t="shared" si="86"/>
        <v>1</v>
      </c>
      <c r="EH23" s="375">
        <f>EC23+EE23+EG23</f>
        <v>4</v>
      </c>
      <c r="EI23" s="376">
        <f t="shared" si="88"/>
        <v>50</v>
      </c>
      <c r="EJ23" s="373">
        <f t="shared" si="89"/>
        <v>1.6753333333333333</v>
      </c>
      <c r="EK23" s="374" t="str">
        <f>"("&amp;FIXED(EJ23*0.092903,2)&amp;")"</f>
        <v>(0.16)</v>
      </c>
      <c r="EL23" s="375">
        <v>2</v>
      </c>
      <c r="EM23" s="375">
        <f t="shared" si="91"/>
        <v>3</v>
      </c>
      <c r="EN23" s="375">
        <v>0</v>
      </c>
      <c r="EO23" s="375">
        <f t="shared" si="92"/>
        <v>0</v>
      </c>
      <c r="EP23" s="375">
        <v>1</v>
      </c>
      <c r="EQ23" s="375">
        <f t="shared" si="93"/>
        <v>1</v>
      </c>
      <c r="ER23" s="375">
        <f>EM23+EO23+EQ23</f>
        <v>4</v>
      </c>
      <c r="ES23" s="376">
        <f t="shared" si="95"/>
        <v>56</v>
      </c>
      <c r="ET23" s="373">
        <f t="shared" si="96"/>
        <v>1.8548333333333333</v>
      </c>
      <c r="EU23" s="374" t="str">
        <f>"("&amp;FIXED(ET23*0.092903,2)&amp;")"</f>
        <v>(0.17)</v>
      </c>
      <c r="EV23" s="375">
        <v>2</v>
      </c>
      <c r="EW23" s="375">
        <f t="shared" si="98"/>
        <v>3</v>
      </c>
      <c r="EX23" s="375">
        <v>0</v>
      </c>
      <c r="EY23" s="375">
        <f t="shared" si="99"/>
        <v>0</v>
      </c>
      <c r="EZ23" s="375">
        <v>1</v>
      </c>
      <c r="FA23" s="375">
        <f t="shared" si="100"/>
        <v>1</v>
      </c>
      <c r="FB23" s="375">
        <f>EW23+EY23+FA23</f>
        <v>4</v>
      </c>
      <c r="FC23" s="376">
        <f t="shared" si="102"/>
        <v>62</v>
      </c>
      <c r="FD23" s="373">
        <f t="shared" si="103"/>
        <v>2.0305937499999995</v>
      </c>
      <c r="FE23" s="374" t="str">
        <f>"("&amp;FIXED(FD23*0.092903,2)&amp;")"</f>
        <v>(0.19)</v>
      </c>
      <c r="FF23" s="375">
        <v>2</v>
      </c>
      <c r="FG23" s="375">
        <f t="shared" si="105"/>
        <v>3</v>
      </c>
      <c r="FH23" s="375">
        <v>1</v>
      </c>
      <c r="FI23" s="375">
        <f t="shared" si="106"/>
        <v>1.125</v>
      </c>
      <c r="FJ23" s="375">
        <v>0</v>
      </c>
      <c r="FK23" s="375">
        <f t="shared" si="107"/>
        <v>0</v>
      </c>
      <c r="FL23" s="375">
        <f>FG23+FI23+FK23</f>
        <v>4.125</v>
      </c>
      <c r="FM23" s="376">
        <f t="shared" si="109"/>
        <v>67.875</v>
      </c>
      <c r="FN23" s="373">
        <f t="shared" si="110"/>
        <v>2.21009375</v>
      </c>
      <c r="FO23" s="374" t="str">
        <f>"("&amp;FIXED(FN23*0.092903,2)&amp;")"</f>
        <v>(0.21)</v>
      </c>
      <c r="FP23" s="375">
        <v>2</v>
      </c>
      <c r="FQ23" s="375">
        <f t="shared" si="112"/>
        <v>3</v>
      </c>
      <c r="FR23" s="375">
        <v>1</v>
      </c>
      <c r="FS23" s="375">
        <f t="shared" si="113"/>
        <v>1.125</v>
      </c>
      <c r="FT23" s="375">
        <v>0</v>
      </c>
      <c r="FU23" s="375">
        <f t="shared" si="114"/>
        <v>0</v>
      </c>
      <c r="FV23" s="375">
        <f>FQ23+FS23+FU23</f>
        <v>4.125</v>
      </c>
      <c r="FW23" s="376">
        <f t="shared" si="116"/>
        <v>73.875</v>
      </c>
      <c r="FX23" s="373">
        <f t="shared" si="117"/>
        <v>2.38959375</v>
      </c>
      <c r="FY23" s="374" t="str">
        <f>"("&amp;FIXED(FX23*0.092903,2)&amp;")"</f>
        <v>(0.22)</v>
      </c>
      <c r="FZ23" s="375">
        <v>2</v>
      </c>
      <c r="GA23" s="375">
        <f t="shared" si="119"/>
        <v>3</v>
      </c>
      <c r="GB23" s="375">
        <v>1</v>
      </c>
      <c r="GC23" s="375">
        <f t="shared" si="120"/>
        <v>1.125</v>
      </c>
      <c r="GD23" s="375">
        <v>0</v>
      </c>
      <c r="GE23" s="375">
        <f t="shared" si="121"/>
        <v>0</v>
      </c>
      <c r="GF23" s="375">
        <f>GA23+GC23+GE23</f>
        <v>4.125</v>
      </c>
      <c r="GG23" s="376">
        <f t="shared" si="123"/>
        <v>79.875</v>
      </c>
      <c r="GH23" s="373">
        <f t="shared" si="124"/>
        <v>2.56909375</v>
      </c>
      <c r="GI23" s="374" t="str">
        <f>"("&amp;FIXED(GH23*0.092903,2)&amp;")"</f>
        <v>(0.24)</v>
      </c>
      <c r="GJ23" s="375">
        <v>2</v>
      </c>
      <c r="GK23" s="375">
        <f t="shared" si="126"/>
        <v>3</v>
      </c>
      <c r="GL23" s="375">
        <v>1</v>
      </c>
      <c r="GM23" s="375">
        <f t="shared" si="127"/>
        <v>1.125</v>
      </c>
      <c r="GN23" s="375">
        <v>0</v>
      </c>
      <c r="GO23" s="375">
        <f t="shared" si="128"/>
        <v>0</v>
      </c>
      <c r="GP23" s="375">
        <f>GK23+GM23+GO23</f>
        <v>4.125</v>
      </c>
      <c r="GQ23" s="376">
        <f t="shared" si="130"/>
        <v>85.875</v>
      </c>
      <c r="GR23" s="373">
        <f t="shared" si="131"/>
        <v>2.7485937499999995</v>
      </c>
      <c r="GS23" s="374" t="str">
        <f>"("&amp;FIXED(GR23*0.092903,2)&amp;")"</f>
        <v>(0.26)</v>
      </c>
      <c r="GT23" s="375">
        <v>2</v>
      </c>
      <c r="GU23" s="375">
        <f t="shared" si="133"/>
        <v>3</v>
      </c>
      <c r="GV23" s="375">
        <v>1</v>
      </c>
      <c r="GW23" s="375">
        <f t="shared" si="134"/>
        <v>1.125</v>
      </c>
      <c r="GX23" s="375">
        <v>0</v>
      </c>
      <c r="GY23" s="375">
        <f t="shared" si="135"/>
        <v>0</v>
      </c>
      <c r="GZ23" s="375">
        <f>GU23+GW23+GY23</f>
        <v>4.125</v>
      </c>
      <c r="HA23" s="376">
        <f t="shared" si="137"/>
        <v>91.875</v>
      </c>
      <c r="HB23" s="373">
        <f t="shared" si="138"/>
        <v>2.9280937499999999</v>
      </c>
      <c r="HC23" s="374" t="str">
        <f>"("&amp;FIXED(HB23*0.092903,2)&amp;")"</f>
        <v>(0.27)</v>
      </c>
      <c r="HD23" s="375">
        <v>2</v>
      </c>
      <c r="HE23" s="375">
        <f t="shared" si="140"/>
        <v>3</v>
      </c>
      <c r="HF23" s="375">
        <v>1</v>
      </c>
      <c r="HG23" s="375">
        <f t="shared" si="141"/>
        <v>1.125</v>
      </c>
      <c r="HH23" s="375">
        <v>0</v>
      </c>
      <c r="HI23" s="375">
        <f t="shared" si="142"/>
        <v>0</v>
      </c>
      <c r="HJ23" s="375">
        <f>HE23+HG23+HI23</f>
        <v>4.125</v>
      </c>
      <c r="HK23" s="376">
        <f t="shared" si="144"/>
        <v>97.875</v>
      </c>
      <c r="HL23" s="373">
        <f t="shared" si="145"/>
        <v>3.0477604166666667</v>
      </c>
      <c r="HM23" s="374" t="str">
        <f>"("&amp;FIXED(HL23*0.092903,2)&amp;")"</f>
        <v>(0.28)</v>
      </c>
      <c r="HN23" s="375">
        <v>2</v>
      </c>
      <c r="HO23" s="375">
        <f t="shared" si="147"/>
        <v>3</v>
      </c>
      <c r="HP23" s="375">
        <v>1</v>
      </c>
      <c r="HQ23" s="375">
        <f t="shared" si="148"/>
        <v>1.125</v>
      </c>
      <c r="HR23" s="375">
        <v>2</v>
      </c>
      <c r="HS23" s="375">
        <f t="shared" si="149"/>
        <v>2</v>
      </c>
      <c r="HT23" s="375">
        <f>HO23+HQ23+HS23</f>
        <v>6.125</v>
      </c>
      <c r="HU23" s="376">
        <f t="shared" si="151"/>
        <v>101.875</v>
      </c>
      <c r="HV23" s="373">
        <f t="shared" si="152"/>
        <v>3.2272604166666663</v>
      </c>
      <c r="HW23" s="374" t="str">
        <f>"("&amp;FIXED(HV23*0.092903,2)&amp;")"</f>
        <v>(0.30)</v>
      </c>
      <c r="HX23" s="375">
        <v>2</v>
      </c>
      <c r="HY23" s="375">
        <f t="shared" si="154"/>
        <v>3</v>
      </c>
      <c r="HZ23" s="375">
        <v>1</v>
      </c>
      <c r="IA23" s="375">
        <f t="shared" si="155"/>
        <v>1.125</v>
      </c>
      <c r="IB23" s="375">
        <v>2</v>
      </c>
      <c r="IC23" s="375">
        <f t="shared" si="156"/>
        <v>2</v>
      </c>
      <c r="ID23" s="375">
        <f>HY23+IA23+IC23</f>
        <v>6.125</v>
      </c>
      <c r="IE23" s="376">
        <f t="shared" si="158"/>
        <v>107.875</v>
      </c>
      <c r="IF23" s="373">
        <f t="shared" si="159"/>
        <v>3.4067604166666663</v>
      </c>
      <c r="IG23" s="374" t="str">
        <f>"("&amp;FIXED(IF23*0.092903,2)&amp;")"</f>
        <v>(0.32)</v>
      </c>
      <c r="IH23" s="22">
        <v>2</v>
      </c>
      <c r="II23" s="22">
        <f t="shared" si="161"/>
        <v>3</v>
      </c>
      <c r="IJ23" s="22">
        <v>1</v>
      </c>
      <c r="IK23" s="22">
        <f t="shared" si="162"/>
        <v>1.125</v>
      </c>
      <c r="IL23" s="22">
        <v>2</v>
      </c>
      <c r="IM23" s="22">
        <f t="shared" si="163"/>
        <v>2</v>
      </c>
      <c r="IN23" s="22">
        <f>II23+IK23+IM23</f>
        <v>6.125</v>
      </c>
      <c r="IO23" s="23">
        <f t="shared" si="165"/>
        <v>113.875</v>
      </c>
      <c r="IP23" s="24"/>
      <c r="IQ23" s="25">
        <v>1</v>
      </c>
      <c r="IR23" s="26">
        <v>2.5</v>
      </c>
      <c r="IS23" s="26">
        <v>2.8079999999999998</v>
      </c>
      <c r="IT23" s="26">
        <v>1.8080000000000001</v>
      </c>
      <c r="IU23" s="26">
        <v>1.5</v>
      </c>
      <c r="IV23" s="26">
        <v>1</v>
      </c>
      <c r="IW23" s="26">
        <v>1.125</v>
      </c>
      <c r="IX23" s="8"/>
    </row>
    <row r="24" spans="2:258" ht="15.75" thickBot="1" x14ac:dyDescent="0.3">
      <c r="B24" s="103">
        <f t="shared" si="25"/>
        <v>36</v>
      </c>
      <c r="C24" s="226">
        <v>7</v>
      </c>
      <c r="D24" s="98">
        <f t="shared" si="1"/>
        <v>0.32266666666666666</v>
      </c>
      <c r="E24" s="96">
        <f t="shared" si="2"/>
        <v>0.36299999999999999</v>
      </c>
      <c r="F24" s="96">
        <f t="shared" si="3"/>
        <v>0.40333333333333338</v>
      </c>
      <c r="G24" s="96">
        <f t="shared" si="4"/>
        <v>0.42349999999999999</v>
      </c>
      <c r="H24" s="96">
        <f t="shared" si="5"/>
        <v>0.43559999999999999</v>
      </c>
      <c r="I24" s="96">
        <f t="shared" si="6"/>
        <v>0.44366666666666665</v>
      </c>
      <c r="J24" s="96">
        <f t="shared" si="7"/>
        <v>0.4494285714285714</v>
      </c>
      <c r="K24" s="96">
        <f t="shared" si="8"/>
        <v>0.45374999999999993</v>
      </c>
      <c r="L24" s="96">
        <f t="shared" si="9"/>
        <v>0.44814814814814813</v>
      </c>
      <c r="M24" s="96">
        <f t="shared" si="10"/>
        <v>0.45173333333333332</v>
      </c>
      <c r="N24" s="96">
        <f t="shared" si="11"/>
        <v>0.45466666666666666</v>
      </c>
      <c r="O24" s="96">
        <f t="shared" si="12"/>
        <v>0.45627083333333335</v>
      </c>
      <c r="P24" s="96">
        <f t="shared" si="13"/>
        <v>0.45840384615384611</v>
      </c>
      <c r="Q24" s="96">
        <f t="shared" si="14"/>
        <v>0.46023214285714287</v>
      </c>
      <c r="R24" s="96">
        <f t="shared" si="15"/>
        <v>0.46181666666666671</v>
      </c>
      <c r="S24" s="96">
        <f t="shared" si="16"/>
        <v>0.46320312499999999</v>
      </c>
      <c r="T24" s="96">
        <f t="shared" si="17"/>
        <v>0.46442647058823527</v>
      </c>
      <c r="U24" s="96">
        <f t="shared" si="18"/>
        <v>0.45655092592592589</v>
      </c>
      <c r="V24" s="96">
        <f t="shared" si="19"/>
        <v>0.45799561403508771</v>
      </c>
      <c r="W24" s="96">
        <f t="shared" si="20"/>
        <v>0.45929583333333329</v>
      </c>
      <c r="X24" s="96"/>
      <c r="Y24" s="65"/>
      <c r="AA24" s="83"/>
      <c r="AT24" s="4"/>
      <c r="AU24" s="14">
        <f>AU23+6</f>
        <v>18</v>
      </c>
      <c r="AV24" s="12" t="str">
        <f t="shared" ref="AV24:AV41" si="166">"("&amp;ROUND(AU24*25.4/50,0)*50&amp;")"</f>
        <v>(450)</v>
      </c>
      <c r="AW24" s="19">
        <f>AW23+1</f>
        <v>9</v>
      </c>
      <c r="AX24" s="20">
        <f t="shared" si="26"/>
        <v>0.33437500000000003</v>
      </c>
      <c r="AY24" s="21" t="str">
        <f t="shared" ref="AY24:AY30" si="167">"("&amp;FIXED(AX24*0.092903,2)&amp;")"</f>
        <v>(0.03)</v>
      </c>
      <c r="AZ24" s="22">
        <v>2</v>
      </c>
      <c r="BA24" s="22">
        <f t="shared" si="28"/>
        <v>3</v>
      </c>
      <c r="BB24" s="22">
        <v>0</v>
      </c>
      <c r="BC24" s="22">
        <f t="shared" si="29"/>
        <v>0</v>
      </c>
      <c r="BD24" s="22">
        <v>0</v>
      </c>
      <c r="BE24" s="22">
        <f t="shared" si="30"/>
        <v>0</v>
      </c>
      <c r="BF24" s="22">
        <f t="shared" ref="BF24:BF41" si="168">BA24+BC24+BE24</f>
        <v>3</v>
      </c>
      <c r="BG24" s="23">
        <f t="shared" si="32"/>
        <v>6</v>
      </c>
      <c r="BH24" s="373">
        <f t="shared" si="33"/>
        <v>0.50156250000000002</v>
      </c>
      <c r="BI24" s="374" t="str">
        <f t="shared" ref="BI24:BI40" si="169">"("&amp;FIXED(BH24*0.092903,2)&amp;")"</f>
        <v>(0.05)</v>
      </c>
      <c r="BJ24" s="375">
        <v>2</v>
      </c>
      <c r="BK24" s="375">
        <f t="shared" si="35"/>
        <v>3</v>
      </c>
      <c r="BL24" s="375">
        <v>0</v>
      </c>
      <c r="BM24" s="375">
        <f t="shared" si="36"/>
        <v>0</v>
      </c>
      <c r="BN24" s="375">
        <v>0</v>
      </c>
      <c r="BO24" s="375">
        <f t="shared" si="37"/>
        <v>0</v>
      </c>
      <c r="BP24" s="375">
        <f t="shared" ref="BP24:BP41" si="170">BK24+BM24+BO24</f>
        <v>3</v>
      </c>
      <c r="BQ24" s="376">
        <f t="shared" si="39"/>
        <v>9</v>
      </c>
      <c r="BR24" s="373">
        <f t="shared" si="40"/>
        <v>0.8359375</v>
      </c>
      <c r="BS24" s="374" t="str">
        <f t="shared" si="41"/>
        <v>(0.08)</v>
      </c>
      <c r="BT24" s="375">
        <v>2</v>
      </c>
      <c r="BU24" s="375">
        <f t="shared" si="42"/>
        <v>3</v>
      </c>
      <c r="BV24" s="375">
        <v>0</v>
      </c>
      <c r="BW24" s="375">
        <f t="shared" si="43"/>
        <v>0</v>
      </c>
      <c r="BX24" s="375">
        <v>0</v>
      </c>
      <c r="BY24" s="375">
        <f t="shared" si="44"/>
        <v>0</v>
      </c>
      <c r="BZ24" s="375">
        <f t="shared" ref="BZ24:BZ41" si="171">BU24+BW24+BY24</f>
        <v>3</v>
      </c>
      <c r="CA24" s="376">
        <f t="shared" si="46"/>
        <v>15</v>
      </c>
      <c r="CB24" s="373">
        <f t="shared" si="47"/>
        <v>1.1703125000000001</v>
      </c>
      <c r="CC24" s="374" t="str">
        <f t="shared" si="48"/>
        <v>(0.11)</v>
      </c>
      <c r="CD24" s="375">
        <v>2</v>
      </c>
      <c r="CE24" s="375">
        <f t="shared" si="49"/>
        <v>3</v>
      </c>
      <c r="CF24" s="375">
        <v>0</v>
      </c>
      <c r="CG24" s="375">
        <f t="shared" si="50"/>
        <v>0</v>
      </c>
      <c r="CH24" s="375">
        <v>0</v>
      </c>
      <c r="CI24" s="375">
        <f t="shared" si="51"/>
        <v>0</v>
      </c>
      <c r="CJ24" s="375">
        <f t="shared" ref="CJ24:CJ41" si="172">CE24+CG24+CI24</f>
        <v>3</v>
      </c>
      <c r="CK24" s="376">
        <f t="shared" si="53"/>
        <v>21</v>
      </c>
      <c r="CL24" s="373">
        <f t="shared" si="54"/>
        <v>1.5046875000000002</v>
      </c>
      <c r="CM24" s="374" t="str">
        <f t="shared" si="55"/>
        <v>(0.14)</v>
      </c>
      <c r="CN24" s="375">
        <v>2</v>
      </c>
      <c r="CO24" s="375">
        <f t="shared" si="56"/>
        <v>3</v>
      </c>
      <c r="CP24" s="375">
        <v>0</v>
      </c>
      <c r="CQ24" s="375">
        <f t="shared" si="57"/>
        <v>0</v>
      </c>
      <c r="CR24" s="375">
        <v>0</v>
      </c>
      <c r="CS24" s="375">
        <f t="shared" si="58"/>
        <v>0</v>
      </c>
      <c r="CT24" s="375">
        <f t="shared" ref="CT24:CT41" si="173">CO24+CQ24+CS24</f>
        <v>3</v>
      </c>
      <c r="CU24" s="376">
        <f t="shared" si="60"/>
        <v>27</v>
      </c>
      <c r="CV24" s="373">
        <f t="shared" si="61"/>
        <v>1.8390624999999998</v>
      </c>
      <c r="CW24" s="374" t="str">
        <f t="shared" si="62"/>
        <v>(0.17)</v>
      </c>
      <c r="CX24" s="375">
        <v>2</v>
      </c>
      <c r="CY24" s="375">
        <f t="shared" si="63"/>
        <v>3</v>
      </c>
      <c r="CZ24" s="375">
        <v>0</v>
      </c>
      <c r="DA24" s="375">
        <f t="shared" si="64"/>
        <v>0</v>
      </c>
      <c r="DB24" s="375">
        <v>0</v>
      </c>
      <c r="DC24" s="375">
        <f t="shared" si="65"/>
        <v>0</v>
      </c>
      <c r="DD24" s="375">
        <f t="shared" ref="DD24:DD41" si="174">CY24+DA24+DC24</f>
        <v>3</v>
      </c>
      <c r="DE24" s="376">
        <f t="shared" si="67"/>
        <v>33</v>
      </c>
      <c r="DF24" s="373">
        <f t="shared" si="68"/>
        <v>2.1734375000000004</v>
      </c>
      <c r="DG24" s="374" t="str">
        <f t="shared" si="69"/>
        <v>(0.2)</v>
      </c>
      <c r="DH24" s="375">
        <v>2</v>
      </c>
      <c r="DI24" s="375">
        <f t="shared" si="70"/>
        <v>3</v>
      </c>
      <c r="DJ24" s="375">
        <v>0</v>
      </c>
      <c r="DK24" s="375">
        <f t="shared" si="71"/>
        <v>0</v>
      </c>
      <c r="DL24" s="375">
        <v>0</v>
      </c>
      <c r="DM24" s="375">
        <f t="shared" si="72"/>
        <v>0</v>
      </c>
      <c r="DN24" s="375">
        <f t="shared" ref="DN24:DN41" si="175">DI24+DK24+DM24</f>
        <v>3</v>
      </c>
      <c r="DO24" s="376">
        <f t="shared" si="74"/>
        <v>39</v>
      </c>
      <c r="DP24" s="373">
        <f t="shared" si="75"/>
        <v>2.5078125</v>
      </c>
      <c r="DQ24" s="374" t="str">
        <f t="shared" si="76"/>
        <v>(0.23)</v>
      </c>
      <c r="DR24" s="375">
        <v>2</v>
      </c>
      <c r="DS24" s="375">
        <f t="shared" si="77"/>
        <v>3</v>
      </c>
      <c r="DT24" s="375">
        <v>0</v>
      </c>
      <c r="DU24" s="375">
        <f t="shared" si="78"/>
        <v>0</v>
      </c>
      <c r="DV24" s="375">
        <v>0</v>
      </c>
      <c r="DW24" s="375">
        <f t="shared" si="79"/>
        <v>0</v>
      </c>
      <c r="DX24" s="375">
        <f t="shared" ref="DX24:DX41" si="176">DS24+DU24+DW24</f>
        <v>3</v>
      </c>
      <c r="DY24" s="376">
        <f t="shared" si="81"/>
        <v>45</v>
      </c>
      <c r="DZ24" s="373">
        <f t="shared" si="82"/>
        <v>2.7864583333333335</v>
      </c>
      <c r="EA24" s="374" t="str">
        <f t="shared" ref="EA24:EA40" si="177">"("&amp;FIXED(DZ24*0.092903,2)&amp;")"</f>
        <v>(0.26)</v>
      </c>
      <c r="EB24" s="375">
        <v>2</v>
      </c>
      <c r="EC24" s="375">
        <f t="shared" si="84"/>
        <v>3</v>
      </c>
      <c r="ED24" s="375">
        <v>0</v>
      </c>
      <c r="EE24" s="375">
        <f t="shared" si="85"/>
        <v>0</v>
      </c>
      <c r="EF24" s="375">
        <v>1</v>
      </c>
      <c r="EG24" s="375">
        <f t="shared" si="86"/>
        <v>1</v>
      </c>
      <c r="EH24" s="375">
        <f t="shared" ref="EH24:EH41" si="178">EC24+EE24+EG24</f>
        <v>4</v>
      </c>
      <c r="EI24" s="376">
        <f t="shared" si="88"/>
        <v>50</v>
      </c>
      <c r="EJ24" s="373">
        <f t="shared" si="89"/>
        <v>3.1208333333333336</v>
      </c>
      <c r="EK24" s="374" t="str">
        <f t="shared" ref="EK24:EK30" si="179">"("&amp;FIXED(EJ24*0.092903,2)&amp;")"</f>
        <v>(0.29)</v>
      </c>
      <c r="EL24" s="375">
        <v>2</v>
      </c>
      <c r="EM24" s="375">
        <f t="shared" si="91"/>
        <v>3</v>
      </c>
      <c r="EN24" s="375">
        <v>0</v>
      </c>
      <c r="EO24" s="375">
        <f t="shared" si="92"/>
        <v>0</v>
      </c>
      <c r="EP24" s="375">
        <v>1</v>
      </c>
      <c r="EQ24" s="375">
        <f t="shared" si="93"/>
        <v>1</v>
      </c>
      <c r="ER24" s="375">
        <f t="shared" ref="ER24:ER41" si="180">EM24+EO24+EQ24</f>
        <v>4</v>
      </c>
      <c r="ES24" s="376">
        <f t="shared" si="95"/>
        <v>56</v>
      </c>
      <c r="ET24" s="373">
        <f t="shared" si="96"/>
        <v>3.4552083333333332</v>
      </c>
      <c r="EU24" s="374" t="str">
        <f t="shared" ref="EU24:EU30" si="181">"("&amp;FIXED(ET24*0.092903,2)&amp;")"</f>
        <v>(0.32)</v>
      </c>
      <c r="EV24" s="375">
        <v>2</v>
      </c>
      <c r="EW24" s="375">
        <f t="shared" si="98"/>
        <v>3</v>
      </c>
      <c r="EX24" s="375">
        <v>0</v>
      </c>
      <c r="EY24" s="375">
        <f t="shared" si="99"/>
        <v>0</v>
      </c>
      <c r="EZ24" s="375">
        <v>1</v>
      </c>
      <c r="FA24" s="375">
        <f t="shared" si="100"/>
        <v>1</v>
      </c>
      <c r="FB24" s="375">
        <f t="shared" ref="FB24:FB41" si="182">EW24+EY24+FA24</f>
        <v>4</v>
      </c>
      <c r="FC24" s="376">
        <f t="shared" si="102"/>
        <v>62</v>
      </c>
      <c r="FD24" s="373">
        <f t="shared" si="103"/>
        <v>3.7826171874999996</v>
      </c>
      <c r="FE24" s="374" t="str">
        <f t="shared" ref="FE24:FO40" si="183">"("&amp;FIXED(FD24*0.092903,2)&amp;")"</f>
        <v>(0.35)</v>
      </c>
      <c r="FF24" s="375">
        <v>2</v>
      </c>
      <c r="FG24" s="375">
        <f t="shared" si="105"/>
        <v>3</v>
      </c>
      <c r="FH24" s="375">
        <v>1</v>
      </c>
      <c r="FI24" s="375">
        <f t="shared" si="106"/>
        <v>1.125</v>
      </c>
      <c r="FJ24" s="375">
        <v>0</v>
      </c>
      <c r="FK24" s="375">
        <f t="shared" si="107"/>
        <v>0</v>
      </c>
      <c r="FL24" s="375">
        <f t="shared" ref="FL24:FL41" si="184">FG24+FI24+FK24</f>
        <v>4.125</v>
      </c>
      <c r="FM24" s="376">
        <f t="shared" si="109"/>
        <v>67.875</v>
      </c>
      <c r="FN24" s="373">
        <f t="shared" si="110"/>
        <v>4.1169921875000002</v>
      </c>
      <c r="FO24" s="374" t="str">
        <f t="shared" si="183"/>
        <v>(0.38)</v>
      </c>
      <c r="FP24" s="375">
        <v>2</v>
      </c>
      <c r="FQ24" s="375">
        <f t="shared" si="112"/>
        <v>3</v>
      </c>
      <c r="FR24" s="375">
        <v>1</v>
      </c>
      <c r="FS24" s="375">
        <f t="shared" si="113"/>
        <v>1.125</v>
      </c>
      <c r="FT24" s="375">
        <v>0</v>
      </c>
      <c r="FU24" s="375">
        <f t="shared" si="114"/>
        <v>0</v>
      </c>
      <c r="FV24" s="375">
        <f t="shared" ref="FV24:FV33" si="185">FQ24+FS24+FU24</f>
        <v>4.125</v>
      </c>
      <c r="FW24" s="376">
        <f t="shared" si="116"/>
        <v>73.875</v>
      </c>
      <c r="FX24" s="373">
        <f t="shared" si="117"/>
        <v>4.4513671875000007</v>
      </c>
      <c r="FY24" s="374" t="str">
        <f t="shared" ref="FY24:FY30" si="186">"("&amp;FIXED(FX24*0.092903,2)&amp;")"</f>
        <v>(0.41)</v>
      </c>
      <c r="FZ24" s="375">
        <v>2</v>
      </c>
      <c r="GA24" s="375">
        <f t="shared" si="119"/>
        <v>3</v>
      </c>
      <c r="GB24" s="375">
        <v>1</v>
      </c>
      <c r="GC24" s="375">
        <f t="shared" si="120"/>
        <v>1.125</v>
      </c>
      <c r="GD24" s="375">
        <v>0</v>
      </c>
      <c r="GE24" s="375">
        <f t="shared" si="121"/>
        <v>0</v>
      </c>
      <c r="GF24" s="375">
        <f t="shared" ref="GF24:GF33" si="187">GA24+GC24+GE24</f>
        <v>4.125</v>
      </c>
      <c r="GG24" s="376">
        <f t="shared" si="123"/>
        <v>79.875</v>
      </c>
      <c r="GH24" s="373">
        <f t="shared" si="124"/>
        <v>4.7857421875000004</v>
      </c>
      <c r="GI24" s="374" t="str">
        <f t="shared" ref="GI24:GI30" si="188">"("&amp;FIXED(GH24*0.092903,2)&amp;")"</f>
        <v>(0.44)</v>
      </c>
      <c r="GJ24" s="375">
        <v>2</v>
      </c>
      <c r="GK24" s="375">
        <f t="shared" si="126"/>
        <v>3</v>
      </c>
      <c r="GL24" s="375">
        <v>1</v>
      </c>
      <c r="GM24" s="375">
        <f t="shared" si="127"/>
        <v>1.125</v>
      </c>
      <c r="GN24" s="375">
        <v>0</v>
      </c>
      <c r="GO24" s="375">
        <f t="shared" si="128"/>
        <v>0</v>
      </c>
      <c r="GP24" s="375">
        <f t="shared" ref="GP24:GP33" si="189">GK24+GM24+GO24</f>
        <v>4.125</v>
      </c>
      <c r="GQ24" s="376">
        <f t="shared" si="130"/>
        <v>85.875</v>
      </c>
      <c r="GR24" s="373">
        <f t="shared" si="131"/>
        <v>5.1201171875</v>
      </c>
      <c r="GS24" s="374" t="str">
        <f t="shared" ref="GS24:GS30" si="190">"("&amp;FIXED(GR24*0.092903,2)&amp;")"</f>
        <v>(0.48)</v>
      </c>
      <c r="GT24" s="375">
        <v>2</v>
      </c>
      <c r="GU24" s="375">
        <f t="shared" si="133"/>
        <v>3</v>
      </c>
      <c r="GV24" s="375">
        <v>1</v>
      </c>
      <c r="GW24" s="375">
        <f t="shared" si="134"/>
        <v>1.125</v>
      </c>
      <c r="GX24" s="375">
        <v>0</v>
      </c>
      <c r="GY24" s="375">
        <f t="shared" si="135"/>
        <v>0</v>
      </c>
      <c r="GZ24" s="375">
        <f t="shared" ref="GZ24:GZ33" si="191">GU24+GW24+GY24</f>
        <v>4.125</v>
      </c>
      <c r="HA24" s="376">
        <f t="shared" si="137"/>
        <v>91.875</v>
      </c>
      <c r="HB24" s="373">
        <f t="shared" si="138"/>
        <v>5.4544921875000005</v>
      </c>
      <c r="HC24" s="374" t="str">
        <f t="shared" ref="HC24:HC30" si="192">"("&amp;FIXED(HB24*0.092903,2)&amp;")"</f>
        <v>(0.51)</v>
      </c>
      <c r="HD24" s="375">
        <v>2</v>
      </c>
      <c r="HE24" s="375">
        <f t="shared" si="140"/>
        <v>3</v>
      </c>
      <c r="HF24" s="375">
        <v>1</v>
      </c>
      <c r="HG24" s="375">
        <f t="shared" si="141"/>
        <v>1.125</v>
      </c>
      <c r="HH24" s="375">
        <v>0</v>
      </c>
      <c r="HI24" s="375">
        <f t="shared" si="142"/>
        <v>0</v>
      </c>
      <c r="HJ24" s="375">
        <f t="shared" ref="HJ24:HJ33" si="193">HE24+HG24+HI24</f>
        <v>4.125</v>
      </c>
      <c r="HK24" s="376">
        <f t="shared" si="144"/>
        <v>97.875</v>
      </c>
      <c r="HL24" s="373">
        <f t="shared" si="145"/>
        <v>5.677408854166667</v>
      </c>
      <c r="HM24" s="374" t="str">
        <f t="shared" ref="HM24:HM33" si="194">"("&amp;FIXED(HL24*0.092903,2)&amp;")"</f>
        <v>(0.53)</v>
      </c>
      <c r="HN24" s="375">
        <v>2</v>
      </c>
      <c r="HO24" s="375">
        <f t="shared" si="147"/>
        <v>3</v>
      </c>
      <c r="HP24" s="375">
        <v>1</v>
      </c>
      <c r="HQ24" s="375">
        <f t="shared" si="148"/>
        <v>1.125</v>
      </c>
      <c r="HR24" s="375">
        <v>2</v>
      </c>
      <c r="HS24" s="375">
        <f t="shared" si="149"/>
        <v>2</v>
      </c>
      <c r="HT24" s="375">
        <f t="shared" ref="HT24:HT33" si="195">HO24+HQ24+HS24</f>
        <v>6.125</v>
      </c>
      <c r="HU24" s="376">
        <f t="shared" si="151"/>
        <v>101.875</v>
      </c>
      <c r="HV24" s="373">
        <f t="shared" si="152"/>
        <v>6.0117838541666675</v>
      </c>
      <c r="HW24" s="374" t="str">
        <f t="shared" ref="HW24:HW30" si="196">"("&amp;FIXED(HV24*0.092903,2)&amp;")"</f>
        <v>(0.56)</v>
      </c>
      <c r="HX24" s="375">
        <v>2</v>
      </c>
      <c r="HY24" s="375">
        <f t="shared" si="154"/>
        <v>3</v>
      </c>
      <c r="HZ24" s="375">
        <v>1</v>
      </c>
      <c r="IA24" s="375">
        <f t="shared" si="155"/>
        <v>1.125</v>
      </c>
      <c r="IB24" s="375">
        <v>2</v>
      </c>
      <c r="IC24" s="375">
        <f t="shared" si="156"/>
        <v>2</v>
      </c>
      <c r="ID24" s="375">
        <f t="shared" ref="ID24:ID33" si="197">HY24+IA24+IC24</f>
        <v>6.125</v>
      </c>
      <c r="IE24" s="376">
        <f t="shared" si="158"/>
        <v>107.875</v>
      </c>
      <c r="IF24" s="373">
        <f t="shared" si="159"/>
        <v>6.3461588541666671</v>
      </c>
      <c r="IG24" s="374" t="str">
        <f t="shared" ref="IG24:IG30" si="198">"("&amp;FIXED(IF24*0.092903,2)&amp;")"</f>
        <v>(0.59)</v>
      </c>
      <c r="IH24" s="22">
        <v>2</v>
      </c>
      <c r="II24" s="22">
        <f t="shared" si="161"/>
        <v>3</v>
      </c>
      <c r="IJ24" s="22">
        <v>1</v>
      </c>
      <c r="IK24" s="22">
        <f t="shared" si="162"/>
        <v>1.125</v>
      </c>
      <c r="IL24" s="22">
        <v>2</v>
      </c>
      <c r="IM24" s="22">
        <f t="shared" si="163"/>
        <v>2</v>
      </c>
      <c r="IN24" s="22">
        <f t="shared" ref="IN24:IN33" si="199">II24+IK24+IM24</f>
        <v>6.125</v>
      </c>
      <c r="IO24" s="23">
        <f t="shared" si="165"/>
        <v>113.875</v>
      </c>
      <c r="IP24" s="24"/>
      <c r="IQ24" s="25">
        <v>2</v>
      </c>
      <c r="IR24" s="26">
        <v>2.5</v>
      </c>
      <c r="IS24" s="26">
        <v>2.8079999999999998</v>
      </c>
      <c r="IT24" s="26">
        <v>2.7170000000000001</v>
      </c>
      <c r="IU24" s="26">
        <v>1.5</v>
      </c>
      <c r="IV24" s="26">
        <v>1</v>
      </c>
      <c r="IW24" s="26">
        <v>1.125</v>
      </c>
      <c r="IX24" s="8"/>
    </row>
    <row r="25" spans="2:258" ht="15.75" thickBot="1" x14ac:dyDescent="0.3">
      <c r="B25" s="103">
        <f t="shared" si="25"/>
        <v>42</v>
      </c>
      <c r="C25" s="221">
        <v>8</v>
      </c>
      <c r="D25" s="98">
        <f t="shared" si="1"/>
        <v>0.33580952380952378</v>
      </c>
      <c r="E25" s="96">
        <f t="shared" si="2"/>
        <v>0.37778571428571428</v>
      </c>
      <c r="F25" s="96">
        <f t="shared" si="3"/>
        <v>0.41976190476190473</v>
      </c>
      <c r="G25" s="96">
        <f t="shared" si="4"/>
        <v>0.44074999999999998</v>
      </c>
      <c r="H25" s="96">
        <f t="shared" si="5"/>
        <v>0.4533428571428571</v>
      </c>
      <c r="I25" s="96">
        <f t="shared" si="6"/>
        <v>0.46173809523809517</v>
      </c>
      <c r="J25" s="96">
        <f t="shared" si="7"/>
        <v>0.46773469387755096</v>
      </c>
      <c r="K25" s="96">
        <f t="shared" si="8"/>
        <v>0.47223214285714288</v>
      </c>
      <c r="L25" s="96">
        <f t="shared" si="9"/>
        <v>0.46640211640211637</v>
      </c>
      <c r="M25" s="96">
        <f t="shared" si="10"/>
        <v>0.47013333333333329</v>
      </c>
      <c r="N25" s="96">
        <f t="shared" si="11"/>
        <v>0.47318614718614715</v>
      </c>
      <c r="O25" s="96">
        <f t="shared" si="12"/>
        <v>0.47485565476190467</v>
      </c>
      <c r="P25" s="96">
        <f t="shared" si="13"/>
        <v>0.47707554945054942</v>
      </c>
      <c r="Q25" s="96">
        <f t="shared" si="14"/>
        <v>0.4789783163265306</v>
      </c>
      <c r="R25" s="96">
        <f t="shared" si="15"/>
        <v>0.48062738095238094</v>
      </c>
      <c r="S25" s="96">
        <f t="shared" si="16"/>
        <v>0.48207031249999999</v>
      </c>
      <c r="T25" s="96">
        <f t="shared" si="17"/>
        <v>0.48334348739495792</v>
      </c>
      <c r="U25" s="96">
        <f t="shared" si="18"/>
        <v>0.47514715608465607</v>
      </c>
      <c r="V25" s="96">
        <f t="shared" si="19"/>
        <v>0.47665068922305764</v>
      </c>
      <c r="W25" s="96">
        <f t="shared" si="20"/>
        <v>0.47800386904761905</v>
      </c>
      <c r="X25" s="96"/>
      <c r="Y25" s="65"/>
      <c r="AA25" s="83"/>
      <c r="AT25" s="4"/>
      <c r="AU25" s="14">
        <f t="shared" ref="AU25:AU41" si="200">AU24+6</f>
        <v>24</v>
      </c>
      <c r="AV25" s="12" t="str">
        <f t="shared" si="166"/>
        <v>(600)</v>
      </c>
      <c r="AW25" s="19">
        <f t="shared" ref="AW25:AW41" si="201">AW24+1</f>
        <v>10</v>
      </c>
      <c r="AX25" s="20">
        <f t="shared" si="26"/>
        <v>0.43958333333333338</v>
      </c>
      <c r="AY25" s="21" t="str">
        <f t="shared" si="167"/>
        <v>(0.04)</v>
      </c>
      <c r="AZ25" s="22">
        <v>2</v>
      </c>
      <c r="BA25" s="22">
        <f t="shared" si="28"/>
        <v>3</v>
      </c>
      <c r="BB25" s="22">
        <v>0</v>
      </c>
      <c r="BC25" s="22">
        <f t="shared" si="29"/>
        <v>0</v>
      </c>
      <c r="BD25" s="22">
        <v>0</v>
      </c>
      <c r="BE25" s="22">
        <f t="shared" si="30"/>
        <v>0</v>
      </c>
      <c r="BF25" s="22">
        <f t="shared" si="168"/>
        <v>3</v>
      </c>
      <c r="BG25" s="23">
        <f t="shared" si="32"/>
        <v>6</v>
      </c>
      <c r="BH25" s="373">
        <f t="shared" si="33"/>
        <v>0.65937500000000004</v>
      </c>
      <c r="BI25" s="374" t="str">
        <f t="shared" si="169"/>
        <v>(0.06)</v>
      </c>
      <c r="BJ25" s="375">
        <v>2</v>
      </c>
      <c r="BK25" s="375">
        <f t="shared" si="35"/>
        <v>3</v>
      </c>
      <c r="BL25" s="375">
        <v>0</v>
      </c>
      <c r="BM25" s="375">
        <f t="shared" si="36"/>
        <v>0</v>
      </c>
      <c r="BN25" s="375">
        <v>0</v>
      </c>
      <c r="BO25" s="375">
        <f t="shared" si="37"/>
        <v>0</v>
      </c>
      <c r="BP25" s="375">
        <f t="shared" si="170"/>
        <v>3</v>
      </c>
      <c r="BQ25" s="376">
        <f t="shared" si="39"/>
        <v>9</v>
      </c>
      <c r="BR25" s="373">
        <f t="shared" si="40"/>
        <v>1.0989583333333333</v>
      </c>
      <c r="BS25" s="374" t="str">
        <f t="shared" si="41"/>
        <v>(0.1)</v>
      </c>
      <c r="BT25" s="375">
        <v>2</v>
      </c>
      <c r="BU25" s="375">
        <f t="shared" si="42"/>
        <v>3</v>
      </c>
      <c r="BV25" s="375">
        <v>0</v>
      </c>
      <c r="BW25" s="375">
        <f t="shared" si="43"/>
        <v>0</v>
      </c>
      <c r="BX25" s="375">
        <v>0</v>
      </c>
      <c r="BY25" s="375">
        <f t="shared" si="44"/>
        <v>0</v>
      </c>
      <c r="BZ25" s="375">
        <f t="shared" si="171"/>
        <v>3</v>
      </c>
      <c r="CA25" s="376">
        <f t="shared" si="46"/>
        <v>15</v>
      </c>
      <c r="CB25" s="373">
        <f t="shared" si="47"/>
        <v>1.5385416666666667</v>
      </c>
      <c r="CC25" s="374" t="str">
        <f t="shared" si="48"/>
        <v>(0.14)</v>
      </c>
      <c r="CD25" s="375">
        <v>2</v>
      </c>
      <c r="CE25" s="375">
        <f t="shared" si="49"/>
        <v>3</v>
      </c>
      <c r="CF25" s="375">
        <v>0</v>
      </c>
      <c r="CG25" s="375">
        <f t="shared" si="50"/>
        <v>0</v>
      </c>
      <c r="CH25" s="375">
        <v>0</v>
      </c>
      <c r="CI25" s="375">
        <f t="shared" si="51"/>
        <v>0</v>
      </c>
      <c r="CJ25" s="375">
        <f t="shared" si="172"/>
        <v>3</v>
      </c>
      <c r="CK25" s="376">
        <f t="shared" si="53"/>
        <v>21</v>
      </c>
      <c r="CL25" s="373">
        <f t="shared" si="54"/>
        <v>1.9781250000000001</v>
      </c>
      <c r="CM25" s="374" t="str">
        <f t="shared" si="55"/>
        <v>(0.18)</v>
      </c>
      <c r="CN25" s="375">
        <v>2</v>
      </c>
      <c r="CO25" s="375">
        <f t="shared" si="56"/>
        <v>3</v>
      </c>
      <c r="CP25" s="375">
        <v>0</v>
      </c>
      <c r="CQ25" s="375">
        <f t="shared" si="57"/>
        <v>0</v>
      </c>
      <c r="CR25" s="375">
        <v>0</v>
      </c>
      <c r="CS25" s="375">
        <f t="shared" si="58"/>
        <v>0</v>
      </c>
      <c r="CT25" s="375">
        <f t="shared" si="173"/>
        <v>3</v>
      </c>
      <c r="CU25" s="376">
        <f t="shared" si="60"/>
        <v>27</v>
      </c>
      <c r="CV25" s="373">
        <f t="shared" si="61"/>
        <v>2.4177083333333336</v>
      </c>
      <c r="CW25" s="374" t="str">
        <f t="shared" si="62"/>
        <v>(0.22)</v>
      </c>
      <c r="CX25" s="375">
        <v>2</v>
      </c>
      <c r="CY25" s="375">
        <f t="shared" si="63"/>
        <v>3</v>
      </c>
      <c r="CZ25" s="375">
        <v>0</v>
      </c>
      <c r="DA25" s="375">
        <f t="shared" si="64"/>
        <v>0</v>
      </c>
      <c r="DB25" s="375">
        <v>0</v>
      </c>
      <c r="DC25" s="375">
        <f t="shared" si="65"/>
        <v>0</v>
      </c>
      <c r="DD25" s="375">
        <f t="shared" si="174"/>
        <v>3</v>
      </c>
      <c r="DE25" s="376">
        <f t="shared" si="67"/>
        <v>33</v>
      </c>
      <c r="DF25" s="373">
        <f t="shared" si="68"/>
        <v>2.8572916666666668</v>
      </c>
      <c r="DG25" s="374" t="str">
        <f t="shared" si="69"/>
        <v>(0.27)</v>
      </c>
      <c r="DH25" s="375">
        <v>2</v>
      </c>
      <c r="DI25" s="375">
        <f t="shared" si="70"/>
        <v>3</v>
      </c>
      <c r="DJ25" s="375">
        <v>0</v>
      </c>
      <c r="DK25" s="375">
        <f t="shared" si="71"/>
        <v>0</v>
      </c>
      <c r="DL25" s="375">
        <v>0</v>
      </c>
      <c r="DM25" s="375">
        <f t="shared" si="72"/>
        <v>0</v>
      </c>
      <c r="DN25" s="375">
        <f t="shared" si="175"/>
        <v>3</v>
      </c>
      <c r="DO25" s="376">
        <f t="shared" si="74"/>
        <v>39</v>
      </c>
      <c r="DP25" s="373">
        <f t="shared" si="75"/>
        <v>3.2968750000000004</v>
      </c>
      <c r="DQ25" s="374" t="str">
        <f t="shared" si="76"/>
        <v>(0.31)</v>
      </c>
      <c r="DR25" s="375">
        <v>2</v>
      </c>
      <c r="DS25" s="375">
        <f t="shared" si="77"/>
        <v>3</v>
      </c>
      <c r="DT25" s="375">
        <v>0</v>
      </c>
      <c r="DU25" s="375">
        <f t="shared" si="78"/>
        <v>0</v>
      </c>
      <c r="DV25" s="375">
        <v>0</v>
      </c>
      <c r="DW25" s="375">
        <f t="shared" si="79"/>
        <v>0</v>
      </c>
      <c r="DX25" s="375">
        <f t="shared" si="176"/>
        <v>3</v>
      </c>
      <c r="DY25" s="376">
        <f t="shared" si="81"/>
        <v>45</v>
      </c>
      <c r="DZ25" s="373">
        <f t="shared" si="82"/>
        <v>3.6631944444444446</v>
      </c>
      <c r="EA25" s="374" t="str">
        <f t="shared" si="177"/>
        <v>(0.34)</v>
      </c>
      <c r="EB25" s="375">
        <v>2</v>
      </c>
      <c r="EC25" s="375">
        <f t="shared" si="84"/>
        <v>3</v>
      </c>
      <c r="ED25" s="375">
        <v>0</v>
      </c>
      <c r="EE25" s="375">
        <f t="shared" si="85"/>
        <v>0</v>
      </c>
      <c r="EF25" s="375">
        <v>1</v>
      </c>
      <c r="EG25" s="375">
        <f t="shared" si="86"/>
        <v>1</v>
      </c>
      <c r="EH25" s="375">
        <f t="shared" si="178"/>
        <v>4</v>
      </c>
      <c r="EI25" s="376">
        <f t="shared" si="88"/>
        <v>50</v>
      </c>
      <c r="EJ25" s="373">
        <f t="shared" si="89"/>
        <v>4.1027777777777779</v>
      </c>
      <c r="EK25" s="374" t="str">
        <f t="shared" si="179"/>
        <v>(0.38)</v>
      </c>
      <c r="EL25" s="375">
        <v>2</v>
      </c>
      <c r="EM25" s="375">
        <f t="shared" si="91"/>
        <v>3</v>
      </c>
      <c r="EN25" s="375">
        <v>0</v>
      </c>
      <c r="EO25" s="375">
        <f t="shared" si="92"/>
        <v>0</v>
      </c>
      <c r="EP25" s="375">
        <v>1</v>
      </c>
      <c r="EQ25" s="375">
        <f t="shared" si="93"/>
        <v>1</v>
      </c>
      <c r="ER25" s="375">
        <f t="shared" si="180"/>
        <v>4</v>
      </c>
      <c r="ES25" s="376">
        <f t="shared" si="95"/>
        <v>56</v>
      </c>
      <c r="ET25" s="373">
        <f t="shared" si="96"/>
        <v>4.5423611111111111</v>
      </c>
      <c r="EU25" s="374" t="str">
        <f t="shared" si="181"/>
        <v>(0.42)</v>
      </c>
      <c r="EV25" s="375">
        <v>2</v>
      </c>
      <c r="EW25" s="375">
        <f t="shared" si="98"/>
        <v>3</v>
      </c>
      <c r="EX25" s="375">
        <v>0</v>
      </c>
      <c r="EY25" s="375">
        <f t="shared" si="99"/>
        <v>0</v>
      </c>
      <c r="EZ25" s="375">
        <v>1</v>
      </c>
      <c r="FA25" s="375">
        <f t="shared" si="100"/>
        <v>1</v>
      </c>
      <c r="FB25" s="375">
        <f t="shared" si="182"/>
        <v>4</v>
      </c>
      <c r="FC25" s="376">
        <f t="shared" si="102"/>
        <v>62</v>
      </c>
      <c r="FD25" s="373">
        <f t="shared" si="103"/>
        <v>4.9727864583333341</v>
      </c>
      <c r="FE25" s="374" t="str">
        <f t="shared" si="183"/>
        <v>(0.46)</v>
      </c>
      <c r="FF25" s="375">
        <v>2</v>
      </c>
      <c r="FG25" s="375">
        <f t="shared" si="105"/>
        <v>3</v>
      </c>
      <c r="FH25" s="375">
        <v>1</v>
      </c>
      <c r="FI25" s="375">
        <f t="shared" si="106"/>
        <v>1.125</v>
      </c>
      <c r="FJ25" s="375">
        <v>0</v>
      </c>
      <c r="FK25" s="375">
        <f t="shared" si="107"/>
        <v>0</v>
      </c>
      <c r="FL25" s="375">
        <f t="shared" si="184"/>
        <v>4.125</v>
      </c>
      <c r="FM25" s="376">
        <f t="shared" si="109"/>
        <v>67.875</v>
      </c>
      <c r="FN25" s="373">
        <f t="shared" si="110"/>
        <v>5.4123697916666664</v>
      </c>
      <c r="FO25" s="374" t="str">
        <f t="shared" si="183"/>
        <v>(0.50)</v>
      </c>
      <c r="FP25" s="375">
        <v>2</v>
      </c>
      <c r="FQ25" s="375">
        <f t="shared" si="112"/>
        <v>3</v>
      </c>
      <c r="FR25" s="375">
        <v>1</v>
      </c>
      <c r="FS25" s="375">
        <f t="shared" si="113"/>
        <v>1.125</v>
      </c>
      <c r="FT25" s="375">
        <v>0</v>
      </c>
      <c r="FU25" s="375">
        <f t="shared" si="114"/>
        <v>0</v>
      </c>
      <c r="FV25" s="375">
        <f t="shared" si="185"/>
        <v>4.125</v>
      </c>
      <c r="FW25" s="376">
        <f t="shared" si="116"/>
        <v>73.875</v>
      </c>
      <c r="FX25" s="373">
        <f t="shared" si="117"/>
        <v>5.8519531250000005</v>
      </c>
      <c r="FY25" s="374" t="str">
        <f t="shared" si="186"/>
        <v>(0.54)</v>
      </c>
      <c r="FZ25" s="375">
        <v>2</v>
      </c>
      <c r="GA25" s="375">
        <f t="shared" si="119"/>
        <v>3</v>
      </c>
      <c r="GB25" s="375">
        <v>1</v>
      </c>
      <c r="GC25" s="375">
        <f t="shared" si="120"/>
        <v>1.125</v>
      </c>
      <c r="GD25" s="375">
        <v>0</v>
      </c>
      <c r="GE25" s="375">
        <f t="shared" si="121"/>
        <v>0</v>
      </c>
      <c r="GF25" s="375">
        <f t="shared" si="187"/>
        <v>4.125</v>
      </c>
      <c r="GG25" s="376">
        <f t="shared" si="123"/>
        <v>79.875</v>
      </c>
      <c r="GH25" s="373">
        <f t="shared" si="124"/>
        <v>6.2915364583333337</v>
      </c>
      <c r="GI25" s="374" t="str">
        <f t="shared" si="188"/>
        <v>(0.58)</v>
      </c>
      <c r="GJ25" s="375">
        <v>2</v>
      </c>
      <c r="GK25" s="375">
        <f t="shared" si="126"/>
        <v>3</v>
      </c>
      <c r="GL25" s="375">
        <v>1</v>
      </c>
      <c r="GM25" s="375">
        <f t="shared" si="127"/>
        <v>1.125</v>
      </c>
      <c r="GN25" s="375">
        <v>0</v>
      </c>
      <c r="GO25" s="375">
        <f t="shared" si="128"/>
        <v>0</v>
      </c>
      <c r="GP25" s="375">
        <f t="shared" si="189"/>
        <v>4.125</v>
      </c>
      <c r="GQ25" s="376">
        <f t="shared" si="130"/>
        <v>85.875</v>
      </c>
      <c r="GR25" s="373">
        <f t="shared" si="131"/>
        <v>6.7311197916666679</v>
      </c>
      <c r="GS25" s="374" t="str">
        <f t="shared" si="190"/>
        <v>(0.63)</v>
      </c>
      <c r="GT25" s="375">
        <v>2</v>
      </c>
      <c r="GU25" s="375">
        <f t="shared" si="133"/>
        <v>3</v>
      </c>
      <c r="GV25" s="375">
        <v>1</v>
      </c>
      <c r="GW25" s="375">
        <f t="shared" si="134"/>
        <v>1.125</v>
      </c>
      <c r="GX25" s="375">
        <v>0</v>
      </c>
      <c r="GY25" s="375">
        <f t="shared" si="135"/>
        <v>0</v>
      </c>
      <c r="GZ25" s="375">
        <f t="shared" si="191"/>
        <v>4.125</v>
      </c>
      <c r="HA25" s="376">
        <f t="shared" si="137"/>
        <v>91.875</v>
      </c>
      <c r="HB25" s="373">
        <f t="shared" si="138"/>
        <v>7.1707031250000011</v>
      </c>
      <c r="HC25" s="374" t="str">
        <f t="shared" si="192"/>
        <v>(0.67)</v>
      </c>
      <c r="HD25" s="375">
        <v>2</v>
      </c>
      <c r="HE25" s="375">
        <f t="shared" si="140"/>
        <v>3</v>
      </c>
      <c r="HF25" s="375">
        <v>1</v>
      </c>
      <c r="HG25" s="375">
        <f t="shared" si="141"/>
        <v>1.125</v>
      </c>
      <c r="HH25" s="375">
        <v>0</v>
      </c>
      <c r="HI25" s="375">
        <f t="shared" si="142"/>
        <v>0</v>
      </c>
      <c r="HJ25" s="375">
        <f t="shared" si="193"/>
        <v>4.125</v>
      </c>
      <c r="HK25" s="376">
        <f t="shared" si="144"/>
        <v>97.875</v>
      </c>
      <c r="HL25" s="373">
        <f t="shared" si="145"/>
        <v>7.4637586805555554</v>
      </c>
      <c r="HM25" s="374" t="str">
        <f t="shared" si="194"/>
        <v>(0.69)</v>
      </c>
      <c r="HN25" s="375">
        <v>2</v>
      </c>
      <c r="HO25" s="375">
        <f t="shared" si="147"/>
        <v>3</v>
      </c>
      <c r="HP25" s="375">
        <v>1</v>
      </c>
      <c r="HQ25" s="375">
        <f t="shared" si="148"/>
        <v>1.125</v>
      </c>
      <c r="HR25" s="375">
        <v>2</v>
      </c>
      <c r="HS25" s="375">
        <f t="shared" si="149"/>
        <v>2</v>
      </c>
      <c r="HT25" s="375">
        <f t="shared" si="195"/>
        <v>6.125</v>
      </c>
      <c r="HU25" s="376">
        <f t="shared" si="151"/>
        <v>101.875</v>
      </c>
      <c r="HV25" s="373">
        <f t="shared" si="152"/>
        <v>7.9033420138888903</v>
      </c>
      <c r="HW25" s="374" t="str">
        <f t="shared" si="196"/>
        <v>(0.73)</v>
      </c>
      <c r="HX25" s="375">
        <v>2</v>
      </c>
      <c r="HY25" s="375">
        <f t="shared" si="154"/>
        <v>3</v>
      </c>
      <c r="HZ25" s="375">
        <v>1</v>
      </c>
      <c r="IA25" s="375">
        <f t="shared" si="155"/>
        <v>1.125</v>
      </c>
      <c r="IB25" s="375">
        <v>2</v>
      </c>
      <c r="IC25" s="375">
        <f t="shared" si="156"/>
        <v>2</v>
      </c>
      <c r="ID25" s="375">
        <f t="shared" si="197"/>
        <v>6.125</v>
      </c>
      <c r="IE25" s="376">
        <f t="shared" si="158"/>
        <v>107.875</v>
      </c>
      <c r="IF25" s="373">
        <f t="shared" si="159"/>
        <v>8.3429253472222236</v>
      </c>
      <c r="IG25" s="374" t="str">
        <f t="shared" si="198"/>
        <v>(0.78)</v>
      </c>
      <c r="IH25" s="22">
        <v>2</v>
      </c>
      <c r="II25" s="22">
        <f t="shared" si="161"/>
        <v>3</v>
      </c>
      <c r="IJ25" s="22">
        <v>1</v>
      </c>
      <c r="IK25" s="22">
        <f t="shared" si="162"/>
        <v>1.125</v>
      </c>
      <c r="IL25" s="22">
        <v>2</v>
      </c>
      <c r="IM25" s="22">
        <f t="shared" si="163"/>
        <v>2</v>
      </c>
      <c r="IN25" s="22">
        <f t="shared" si="199"/>
        <v>6.125</v>
      </c>
      <c r="IO25" s="23">
        <f t="shared" si="165"/>
        <v>113.875</v>
      </c>
      <c r="IP25" s="24"/>
      <c r="IQ25" s="25">
        <v>3</v>
      </c>
      <c r="IR25" s="26">
        <v>2.5</v>
      </c>
      <c r="IS25" s="26">
        <v>2.8079999999999998</v>
      </c>
      <c r="IT25" s="26">
        <v>2.4340000000000002</v>
      </c>
      <c r="IU25" s="26">
        <v>1.5</v>
      </c>
      <c r="IV25" s="26">
        <v>1</v>
      </c>
      <c r="IW25" s="26">
        <v>1.125</v>
      </c>
      <c r="IX25" s="8"/>
    </row>
    <row r="26" spans="2:258" ht="15.75" thickBot="1" x14ac:dyDescent="0.3">
      <c r="B26" s="103">
        <f t="shared" si="25"/>
        <v>48</v>
      </c>
      <c r="C26" s="226">
        <v>9</v>
      </c>
      <c r="D26" s="98">
        <f t="shared" si="1"/>
        <v>0.34545833333333337</v>
      </c>
      <c r="E26" s="96">
        <f t="shared" si="2"/>
        <v>0.38864062499999996</v>
      </c>
      <c r="F26" s="96">
        <f t="shared" si="3"/>
        <v>0.43182291666666667</v>
      </c>
      <c r="G26" s="96">
        <f t="shared" si="4"/>
        <v>0.45341406249999999</v>
      </c>
      <c r="H26" s="96">
        <f t="shared" si="5"/>
        <v>0.46636874999999989</v>
      </c>
      <c r="I26" s="96">
        <f t="shared" si="6"/>
        <v>0.47500520833333332</v>
      </c>
      <c r="J26" s="96">
        <f t="shared" si="7"/>
        <v>0.48117410714285708</v>
      </c>
      <c r="K26" s="96">
        <f t="shared" si="8"/>
        <v>0.48580078124999992</v>
      </c>
      <c r="L26" s="96">
        <f t="shared" si="9"/>
        <v>0.47980324074074066</v>
      </c>
      <c r="M26" s="96">
        <f t="shared" si="10"/>
        <v>0.48364166666666664</v>
      </c>
      <c r="N26" s="96">
        <f t="shared" si="11"/>
        <v>0.48678219696969688</v>
      </c>
      <c r="O26" s="96">
        <f t="shared" si="12"/>
        <v>0.48849967447916659</v>
      </c>
      <c r="P26" s="96">
        <f t="shared" si="13"/>
        <v>0.49078335336538459</v>
      </c>
      <c r="Q26" s="96">
        <f t="shared" si="14"/>
        <v>0.49274079241071422</v>
      </c>
      <c r="R26" s="96">
        <f t="shared" si="15"/>
        <v>0.49443723958333324</v>
      </c>
      <c r="S26" s="96">
        <f t="shared" si="16"/>
        <v>0.49592163085937496</v>
      </c>
      <c r="T26" s="96">
        <f t="shared" si="17"/>
        <v>0.49723138786764698</v>
      </c>
      <c r="U26" s="96">
        <f t="shared" si="18"/>
        <v>0.48879955150462961</v>
      </c>
      <c r="V26" s="96">
        <f t="shared" si="19"/>
        <v>0.49034628563596488</v>
      </c>
      <c r="W26" s="96">
        <f t="shared" si="20"/>
        <v>0.49173834635416658</v>
      </c>
      <c r="X26" s="96"/>
      <c r="Y26" s="65"/>
      <c r="AA26" s="83"/>
      <c r="AT26" s="4"/>
      <c r="AU26" s="27">
        <f t="shared" si="200"/>
        <v>30</v>
      </c>
      <c r="AV26" s="28" t="str">
        <f t="shared" si="166"/>
        <v>(750)</v>
      </c>
      <c r="AW26" s="19">
        <f t="shared" si="201"/>
        <v>11</v>
      </c>
      <c r="AX26" s="20">
        <f t="shared" si="26"/>
        <v>0.5758333333333332</v>
      </c>
      <c r="AY26" s="29" t="str">
        <f t="shared" si="167"/>
        <v>(0.05)</v>
      </c>
      <c r="AZ26" s="22">
        <v>2</v>
      </c>
      <c r="BA26" s="22">
        <f t="shared" si="28"/>
        <v>3</v>
      </c>
      <c r="BB26" s="30">
        <v>0</v>
      </c>
      <c r="BC26" s="22">
        <f t="shared" si="29"/>
        <v>0</v>
      </c>
      <c r="BD26" s="30">
        <v>0</v>
      </c>
      <c r="BE26" s="22">
        <f t="shared" si="30"/>
        <v>0</v>
      </c>
      <c r="BF26" s="22">
        <f t="shared" si="168"/>
        <v>3</v>
      </c>
      <c r="BG26" s="23">
        <f t="shared" si="32"/>
        <v>6</v>
      </c>
      <c r="BH26" s="373">
        <f t="shared" si="33"/>
        <v>0.86374999999999991</v>
      </c>
      <c r="BI26" s="374" t="str">
        <f t="shared" si="169"/>
        <v>(0.08)</v>
      </c>
      <c r="BJ26" s="375">
        <v>2</v>
      </c>
      <c r="BK26" s="375">
        <f t="shared" si="35"/>
        <v>3</v>
      </c>
      <c r="BL26" s="375">
        <v>0</v>
      </c>
      <c r="BM26" s="375">
        <f t="shared" si="36"/>
        <v>0</v>
      </c>
      <c r="BN26" s="375">
        <v>0</v>
      </c>
      <c r="BO26" s="375">
        <f t="shared" si="37"/>
        <v>0</v>
      </c>
      <c r="BP26" s="375">
        <f t="shared" si="170"/>
        <v>3</v>
      </c>
      <c r="BQ26" s="376">
        <f t="shared" si="39"/>
        <v>9</v>
      </c>
      <c r="BR26" s="373">
        <f t="shared" si="40"/>
        <v>1.4395833333333332</v>
      </c>
      <c r="BS26" s="374" t="str">
        <f t="shared" si="41"/>
        <v>(0.13)</v>
      </c>
      <c r="BT26" s="375">
        <v>2</v>
      </c>
      <c r="BU26" s="375">
        <f t="shared" si="42"/>
        <v>3</v>
      </c>
      <c r="BV26" s="375">
        <v>0</v>
      </c>
      <c r="BW26" s="375">
        <f t="shared" si="43"/>
        <v>0</v>
      </c>
      <c r="BX26" s="375">
        <v>0</v>
      </c>
      <c r="BY26" s="375">
        <f t="shared" si="44"/>
        <v>0</v>
      </c>
      <c r="BZ26" s="375">
        <f t="shared" si="171"/>
        <v>3</v>
      </c>
      <c r="CA26" s="376">
        <f t="shared" si="46"/>
        <v>15</v>
      </c>
      <c r="CB26" s="373">
        <f t="shared" si="47"/>
        <v>2.0154166666666664</v>
      </c>
      <c r="CC26" s="374" t="str">
        <f t="shared" si="48"/>
        <v>(0.19)</v>
      </c>
      <c r="CD26" s="375">
        <v>2</v>
      </c>
      <c r="CE26" s="375">
        <f t="shared" si="49"/>
        <v>3</v>
      </c>
      <c r="CF26" s="375">
        <v>0</v>
      </c>
      <c r="CG26" s="375">
        <f t="shared" si="50"/>
        <v>0</v>
      </c>
      <c r="CH26" s="375">
        <v>0</v>
      </c>
      <c r="CI26" s="375">
        <f t="shared" si="51"/>
        <v>0</v>
      </c>
      <c r="CJ26" s="375">
        <f t="shared" si="172"/>
        <v>3</v>
      </c>
      <c r="CK26" s="376">
        <f t="shared" si="53"/>
        <v>21</v>
      </c>
      <c r="CL26" s="373">
        <f t="shared" si="54"/>
        <v>2.5912500000000001</v>
      </c>
      <c r="CM26" s="374" t="str">
        <f t="shared" si="55"/>
        <v>(0.24)</v>
      </c>
      <c r="CN26" s="375">
        <v>2</v>
      </c>
      <c r="CO26" s="375">
        <f t="shared" si="56"/>
        <v>3</v>
      </c>
      <c r="CP26" s="375">
        <v>0</v>
      </c>
      <c r="CQ26" s="375">
        <f t="shared" si="57"/>
        <v>0</v>
      </c>
      <c r="CR26" s="375">
        <v>0</v>
      </c>
      <c r="CS26" s="375">
        <f t="shared" si="58"/>
        <v>0</v>
      </c>
      <c r="CT26" s="375">
        <f t="shared" si="173"/>
        <v>3</v>
      </c>
      <c r="CU26" s="376">
        <f t="shared" si="60"/>
        <v>27</v>
      </c>
      <c r="CV26" s="373">
        <f t="shared" si="61"/>
        <v>3.1670833333333328</v>
      </c>
      <c r="CW26" s="374" t="str">
        <f t="shared" si="62"/>
        <v>(0.29)</v>
      </c>
      <c r="CX26" s="375">
        <v>2</v>
      </c>
      <c r="CY26" s="375">
        <f t="shared" si="63"/>
        <v>3</v>
      </c>
      <c r="CZ26" s="375">
        <v>0</v>
      </c>
      <c r="DA26" s="375">
        <f t="shared" si="64"/>
        <v>0</v>
      </c>
      <c r="DB26" s="375">
        <v>0</v>
      </c>
      <c r="DC26" s="375">
        <f t="shared" si="65"/>
        <v>0</v>
      </c>
      <c r="DD26" s="375">
        <f t="shared" si="174"/>
        <v>3</v>
      </c>
      <c r="DE26" s="376">
        <f t="shared" si="67"/>
        <v>33</v>
      </c>
      <c r="DF26" s="373">
        <f t="shared" si="68"/>
        <v>3.742916666666666</v>
      </c>
      <c r="DG26" s="374" t="str">
        <f t="shared" si="69"/>
        <v>(0.35)</v>
      </c>
      <c r="DH26" s="375">
        <v>2</v>
      </c>
      <c r="DI26" s="375">
        <f t="shared" si="70"/>
        <v>3</v>
      </c>
      <c r="DJ26" s="375">
        <v>0</v>
      </c>
      <c r="DK26" s="375">
        <f t="shared" si="71"/>
        <v>0</v>
      </c>
      <c r="DL26" s="375">
        <v>0</v>
      </c>
      <c r="DM26" s="375">
        <f t="shared" si="72"/>
        <v>0</v>
      </c>
      <c r="DN26" s="375">
        <f t="shared" si="175"/>
        <v>3</v>
      </c>
      <c r="DO26" s="376">
        <f t="shared" si="74"/>
        <v>39</v>
      </c>
      <c r="DP26" s="373">
        <f t="shared" si="75"/>
        <v>4.3187499999999996</v>
      </c>
      <c r="DQ26" s="374" t="str">
        <f t="shared" si="76"/>
        <v>(0.4)</v>
      </c>
      <c r="DR26" s="375">
        <v>2</v>
      </c>
      <c r="DS26" s="375">
        <f t="shared" si="77"/>
        <v>3</v>
      </c>
      <c r="DT26" s="375">
        <v>0</v>
      </c>
      <c r="DU26" s="375">
        <f t="shared" si="78"/>
        <v>0</v>
      </c>
      <c r="DV26" s="375">
        <v>0</v>
      </c>
      <c r="DW26" s="375">
        <f t="shared" si="79"/>
        <v>0</v>
      </c>
      <c r="DX26" s="375">
        <f t="shared" si="176"/>
        <v>3</v>
      </c>
      <c r="DY26" s="376">
        <f t="shared" si="81"/>
        <v>45</v>
      </c>
      <c r="DZ26" s="373">
        <f t="shared" si="82"/>
        <v>4.7986111111111107</v>
      </c>
      <c r="EA26" s="374" t="str">
        <f t="shared" si="177"/>
        <v>(0.45)</v>
      </c>
      <c r="EB26" s="375">
        <v>2</v>
      </c>
      <c r="EC26" s="375">
        <f t="shared" si="84"/>
        <v>3</v>
      </c>
      <c r="ED26" s="375">
        <v>0</v>
      </c>
      <c r="EE26" s="375">
        <f t="shared" si="85"/>
        <v>0</v>
      </c>
      <c r="EF26" s="375">
        <v>1</v>
      </c>
      <c r="EG26" s="375">
        <f t="shared" si="86"/>
        <v>1</v>
      </c>
      <c r="EH26" s="375">
        <f t="shared" si="178"/>
        <v>4</v>
      </c>
      <c r="EI26" s="376">
        <f t="shared" si="88"/>
        <v>50</v>
      </c>
      <c r="EJ26" s="373">
        <f t="shared" si="89"/>
        <v>5.3744444444444444</v>
      </c>
      <c r="EK26" s="374" t="str">
        <f t="shared" si="179"/>
        <v>(0.50)</v>
      </c>
      <c r="EL26" s="375">
        <v>2</v>
      </c>
      <c r="EM26" s="375">
        <f t="shared" si="91"/>
        <v>3</v>
      </c>
      <c r="EN26" s="375">
        <v>0</v>
      </c>
      <c r="EO26" s="375">
        <f t="shared" si="92"/>
        <v>0</v>
      </c>
      <c r="EP26" s="375">
        <v>1</v>
      </c>
      <c r="EQ26" s="375">
        <f t="shared" si="93"/>
        <v>1</v>
      </c>
      <c r="ER26" s="375">
        <f t="shared" si="180"/>
        <v>4</v>
      </c>
      <c r="ES26" s="376">
        <f t="shared" si="95"/>
        <v>56</v>
      </c>
      <c r="ET26" s="373">
        <f t="shared" si="96"/>
        <v>5.9502777777777771</v>
      </c>
      <c r="EU26" s="374" t="str">
        <f t="shared" si="181"/>
        <v>(0.55)</v>
      </c>
      <c r="EV26" s="375">
        <v>2</v>
      </c>
      <c r="EW26" s="375">
        <f t="shared" si="98"/>
        <v>3</v>
      </c>
      <c r="EX26" s="375">
        <v>0</v>
      </c>
      <c r="EY26" s="375">
        <f t="shared" si="99"/>
        <v>0</v>
      </c>
      <c r="EZ26" s="375">
        <v>1</v>
      </c>
      <c r="FA26" s="375">
        <f t="shared" si="100"/>
        <v>1</v>
      </c>
      <c r="FB26" s="375">
        <f t="shared" si="182"/>
        <v>4</v>
      </c>
      <c r="FC26" s="376">
        <f t="shared" si="102"/>
        <v>62</v>
      </c>
      <c r="FD26" s="373">
        <f t="shared" si="103"/>
        <v>6.5141145833333329</v>
      </c>
      <c r="FE26" s="374" t="str">
        <f t="shared" si="183"/>
        <v>(0.61)</v>
      </c>
      <c r="FF26" s="375">
        <v>2</v>
      </c>
      <c r="FG26" s="375">
        <f t="shared" si="105"/>
        <v>3</v>
      </c>
      <c r="FH26" s="375">
        <v>1</v>
      </c>
      <c r="FI26" s="375">
        <f t="shared" si="106"/>
        <v>1.125</v>
      </c>
      <c r="FJ26" s="375">
        <v>0</v>
      </c>
      <c r="FK26" s="375">
        <f t="shared" si="107"/>
        <v>0</v>
      </c>
      <c r="FL26" s="375">
        <f t="shared" si="184"/>
        <v>4.125</v>
      </c>
      <c r="FM26" s="376">
        <f t="shared" si="109"/>
        <v>67.875</v>
      </c>
      <c r="FN26" s="373">
        <f t="shared" si="110"/>
        <v>7.0899479166666657</v>
      </c>
      <c r="FO26" s="374" t="str">
        <f t="shared" si="183"/>
        <v>(0.66)</v>
      </c>
      <c r="FP26" s="375">
        <v>2</v>
      </c>
      <c r="FQ26" s="375">
        <f t="shared" si="112"/>
        <v>3</v>
      </c>
      <c r="FR26" s="375">
        <v>1</v>
      </c>
      <c r="FS26" s="375">
        <f t="shared" si="113"/>
        <v>1.125</v>
      </c>
      <c r="FT26" s="375">
        <v>0</v>
      </c>
      <c r="FU26" s="375">
        <f t="shared" si="114"/>
        <v>0</v>
      </c>
      <c r="FV26" s="375">
        <f t="shared" si="185"/>
        <v>4.125</v>
      </c>
      <c r="FW26" s="376">
        <f t="shared" si="116"/>
        <v>73.875</v>
      </c>
      <c r="FX26" s="373">
        <f t="shared" si="117"/>
        <v>7.6657812499999993</v>
      </c>
      <c r="FY26" s="374" t="str">
        <f t="shared" si="186"/>
        <v>(0.71)</v>
      </c>
      <c r="FZ26" s="375">
        <v>2</v>
      </c>
      <c r="GA26" s="375">
        <f t="shared" si="119"/>
        <v>3</v>
      </c>
      <c r="GB26" s="375">
        <v>1</v>
      </c>
      <c r="GC26" s="375">
        <f t="shared" si="120"/>
        <v>1.125</v>
      </c>
      <c r="GD26" s="375">
        <v>0</v>
      </c>
      <c r="GE26" s="375">
        <f t="shared" si="121"/>
        <v>0</v>
      </c>
      <c r="GF26" s="375">
        <f t="shared" si="187"/>
        <v>4.125</v>
      </c>
      <c r="GG26" s="376">
        <f t="shared" si="123"/>
        <v>79.875</v>
      </c>
      <c r="GH26" s="373">
        <f t="shared" si="124"/>
        <v>8.2416145833333321</v>
      </c>
      <c r="GI26" s="374" t="str">
        <f t="shared" si="188"/>
        <v>(0.77)</v>
      </c>
      <c r="GJ26" s="375">
        <v>2</v>
      </c>
      <c r="GK26" s="375">
        <f t="shared" si="126"/>
        <v>3</v>
      </c>
      <c r="GL26" s="375">
        <v>1</v>
      </c>
      <c r="GM26" s="375">
        <f t="shared" si="127"/>
        <v>1.125</v>
      </c>
      <c r="GN26" s="375">
        <v>0</v>
      </c>
      <c r="GO26" s="375">
        <f t="shared" si="128"/>
        <v>0</v>
      </c>
      <c r="GP26" s="375">
        <f t="shared" si="189"/>
        <v>4.125</v>
      </c>
      <c r="GQ26" s="376">
        <f t="shared" si="130"/>
        <v>85.875</v>
      </c>
      <c r="GR26" s="373">
        <f t="shared" si="131"/>
        <v>8.8174479166666657</v>
      </c>
      <c r="GS26" s="374" t="str">
        <f t="shared" si="190"/>
        <v>(0.82)</v>
      </c>
      <c r="GT26" s="375">
        <v>2</v>
      </c>
      <c r="GU26" s="375">
        <f t="shared" si="133"/>
        <v>3</v>
      </c>
      <c r="GV26" s="375">
        <v>1</v>
      </c>
      <c r="GW26" s="375">
        <f t="shared" si="134"/>
        <v>1.125</v>
      </c>
      <c r="GX26" s="375">
        <v>0</v>
      </c>
      <c r="GY26" s="375">
        <f t="shared" si="135"/>
        <v>0</v>
      </c>
      <c r="GZ26" s="375">
        <f t="shared" si="191"/>
        <v>4.125</v>
      </c>
      <c r="HA26" s="376">
        <f t="shared" si="137"/>
        <v>91.875</v>
      </c>
      <c r="HB26" s="373">
        <f t="shared" si="138"/>
        <v>9.3932812499999994</v>
      </c>
      <c r="HC26" s="374" t="str">
        <f t="shared" si="192"/>
        <v>(0.87)</v>
      </c>
      <c r="HD26" s="375">
        <v>2</v>
      </c>
      <c r="HE26" s="375">
        <f t="shared" si="140"/>
        <v>3</v>
      </c>
      <c r="HF26" s="375">
        <v>1</v>
      </c>
      <c r="HG26" s="375">
        <f t="shared" si="141"/>
        <v>1.125</v>
      </c>
      <c r="HH26" s="375">
        <v>0</v>
      </c>
      <c r="HI26" s="375">
        <f t="shared" si="142"/>
        <v>0</v>
      </c>
      <c r="HJ26" s="375">
        <f t="shared" si="193"/>
        <v>4.125</v>
      </c>
      <c r="HK26" s="376">
        <f t="shared" si="144"/>
        <v>97.875</v>
      </c>
      <c r="HL26" s="373">
        <f t="shared" si="145"/>
        <v>9.7771701388888879</v>
      </c>
      <c r="HM26" s="374" t="str">
        <f t="shared" si="194"/>
        <v>(0.91)</v>
      </c>
      <c r="HN26" s="375">
        <v>2</v>
      </c>
      <c r="HO26" s="375">
        <f t="shared" si="147"/>
        <v>3</v>
      </c>
      <c r="HP26" s="375">
        <v>1</v>
      </c>
      <c r="HQ26" s="375">
        <f t="shared" si="148"/>
        <v>1.125</v>
      </c>
      <c r="HR26" s="375">
        <v>2</v>
      </c>
      <c r="HS26" s="375">
        <f t="shared" si="149"/>
        <v>2</v>
      </c>
      <c r="HT26" s="375">
        <f t="shared" si="195"/>
        <v>6.125</v>
      </c>
      <c r="HU26" s="376">
        <f t="shared" si="151"/>
        <v>101.875</v>
      </c>
      <c r="HV26" s="373">
        <f t="shared" si="152"/>
        <v>10.35300347222222</v>
      </c>
      <c r="HW26" s="374" t="str">
        <f t="shared" si="196"/>
        <v>(0.96)</v>
      </c>
      <c r="HX26" s="375">
        <v>2</v>
      </c>
      <c r="HY26" s="375">
        <f t="shared" si="154"/>
        <v>3</v>
      </c>
      <c r="HZ26" s="375">
        <v>1</v>
      </c>
      <c r="IA26" s="375">
        <f t="shared" si="155"/>
        <v>1.125</v>
      </c>
      <c r="IB26" s="375">
        <v>2</v>
      </c>
      <c r="IC26" s="375">
        <f t="shared" si="156"/>
        <v>2</v>
      </c>
      <c r="ID26" s="375">
        <f t="shared" si="197"/>
        <v>6.125</v>
      </c>
      <c r="IE26" s="376">
        <f t="shared" si="158"/>
        <v>107.875</v>
      </c>
      <c r="IF26" s="373">
        <f t="shared" si="159"/>
        <v>10.928836805555555</v>
      </c>
      <c r="IG26" s="374" t="str">
        <f t="shared" si="198"/>
        <v>(1.02)</v>
      </c>
      <c r="IH26" s="22">
        <v>2</v>
      </c>
      <c r="II26" s="22">
        <f t="shared" si="161"/>
        <v>3</v>
      </c>
      <c r="IJ26" s="30">
        <v>1</v>
      </c>
      <c r="IK26" s="22">
        <f t="shared" si="162"/>
        <v>1.125</v>
      </c>
      <c r="IL26" s="22">
        <v>2</v>
      </c>
      <c r="IM26" s="22">
        <f t="shared" si="163"/>
        <v>2</v>
      </c>
      <c r="IN26" s="22">
        <f t="shared" si="199"/>
        <v>6.125</v>
      </c>
      <c r="IO26" s="23">
        <f t="shared" si="165"/>
        <v>113.875</v>
      </c>
      <c r="IP26" s="24"/>
      <c r="IQ26" s="25">
        <v>5</v>
      </c>
      <c r="IR26" s="26">
        <v>2.5</v>
      </c>
      <c r="IS26" s="26">
        <v>2.8079999999999998</v>
      </c>
      <c r="IT26" s="26">
        <v>8.7999999999999995E-2</v>
      </c>
      <c r="IU26" s="26">
        <v>1.5</v>
      </c>
      <c r="IV26" s="26">
        <v>1</v>
      </c>
      <c r="IW26" s="26">
        <v>1.125</v>
      </c>
      <c r="IX26" s="8"/>
    </row>
    <row r="27" spans="2:258" ht="15.75" thickBot="1" x14ac:dyDescent="0.3">
      <c r="B27" s="103">
        <f t="shared" si="25"/>
        <v>54</v>
      </c>
      <c r="C27" s="221">
        <v>10</v>
      </c>
      <c r="D27" s="98">
        <f t="shared" si="1"/>
        <v>0.33824691358024694</v>
      </c>
      <c r="E27" s="96">
        <f t="shared" si="2"/>
        <v>0.3805277777777778</v>
      </c>
      <c r="F27" s="96">
        <f t="shared" si="3"/>
        <v>0.4228086419753086</v>
      </c>
      <c r="G27" s="96">
        <f t="shared" si="4"/>
        <v>0.44394907407407402</v>
      </c>
      <c r="H27" s="96">
        <f t="shared" si="5"/>
        <v>0.45663333333333334</v>
      </c>
      <c r="I27" s="96">
        <f t="shared" si="6"/>
        <v>0.46508950617283951</v>
      </c>
      <c r="J27" s="96">
        <f t="shared" si="7"/>
        <v>0.47112962962962962</v>
      </c>
      <c r="K27" s="96">
        <f t="shared" si="8"/>
        <v>0.47565972222222225</v>
      </c>
      <c r="L27" s="96">
        <f t="shared" si="9"/>
        <v>0.46978737997256514</v>
      </c>
      <c r="M27" s="96">
        <f t="shared" si="10"/>
        <v>0.47354567901234568</v>
      </c>
      <c r="N27" s="96">
        <f t="shared" si="11"/>
        <v>0.47662065095398426</v>
      </c>
      <c r="O27" s="96">
        <f t="shared" si="12"/>
        <v>0.47830227623456784</v>
      </c>
      <c r="P27" s="96">
        <f t="shared" si="13"/>
        <v>0.48053828347578342</v>
      </c>
      <c r="Q27" s="96">
        <f t="shared" si="14"/>
        <v>0.48245486111111113</v>
      </c>
      <c r="R27" s="96">
        <f t="shared" si="15"/>
        <v>0.48411589506172836</v>
      </c>
      <c r="S27" s="96">
        <f t="shared" si="16"/>
        <v>0.48556929976851848</v>
      </c>
      <c r="T27" s="96">
        <f t="shared" si="17"/>
        <v>0.48685171568627444</v>
      </c>
      <c r="U27" s="96">
        <f t="shared" si="18"/>
        <v>0.47859589334705077</v>
      </c>
      <c r="V27" s="96">
        <f t="shared" si="19"/>
        <v>0.48011033950617282</v>
      </c>
      <c r="W27" s="96">
        <f t="shared" si="20"/>
        <v>0.48147334104938272</v>
      </c>
      <c r="X27" s="96"/>
      <c r="Y27" s="65"/>
      <c r="AA27" s="83"/>
      <c r="AT27" s="4"/>
      <c r="AU27" s="14">
        <f t="shared" si="200"/>
        <v>36</v>
      </c>
      <c r="AV27" s="12" t="str">
        <f t="shared" si="166"/>
        <v>(900)</v>
      </c>
      <c r="AW27" s="19">
        <f t="shared" si="201"/>
        <v>12</v>
      </c>
      <c r="AX27" s="20">
        <f t="shared" si="26"/>
        <v>0.72599999999999998</v>
      </c>
      <c r="AY27" s="21" t="str">
        <f t="shared" si="167"/>
        <v>(0.07)</v>
      </c>
      <c r="AZ27" s="22">
        <v>2</v>
      </c>
      <c r="BA27" s="22">
        <f t="shared" si="28"/>
        <v>3</v>
      </c>
      <c r="BB27" s="22">
        <v>0</v>
      </c>
      <c r="BC27" s="22">
        <f t="shared" si="29"/>
        <v>0</v>
      </c>
      <c r="BD27" s="22">
        <v>0</v>
      </c>
      <c r="BE27" s="22">
        <f t="shared" si="30"/>
        <v>0</v>
      </c>
      <c r="BF27" s="22">
        <f t="shared" si="168"/>
        <v>3</v>
      </c>
      <c r="BG27" s="23">
        <f t="shared" si="32"/>
        <v>6</v>
      </c>
      <c r="BH27" s="373">
        <f t="shared" si="33"/>
        <v>1.089</v>
      </c>
      <c r="BI27" s="374" t="str">
        <f t="shared" si="169"/>
        <v>(0.10)</v>
      </c>
      <c r="BJ27" s="375">
        <v>2</v>
      </c>
      <c r="BK27" s="375">
        <f t="shared" si="35"/>
        <v>3</v>
      </c>
      <c r="BL27" s="375">
        <v>0</v>
      </c>
      <c r="BM27" s="375">
        <f t="shared" si="36"/>
        <v>0</v>
      </c>
      <c r="BN27" s="375">
        <v>0</v>
      </c>
      <c r="BO27" s="375">
        <f t="shared" si="37"/>
        <v>0</v>
      </c>
      <c r="BP27" s="375">
        <f t="shared" si="170"/>
        <v>3</v>
      </c>
      <c r="BQ27" s="376">
        <f t="shared" si="39"/>
        <v>9</v>
      </c>
      <c r="BR27" s="373">
        <f t="shared" si="40"/>
        <v>1.8150000000000002</v>
      </c>
      <c r="BS27" s="374" t="str">
        <f t="shared" si="41"/>
        <v>(0.17)</v>
      </c>
      <c r="BT27" s="375">
        <v>2</v>
      </c>
      <c r="BU27" s="375">
        <f t="shared" si="42"/>
        <v>3</v>
      </c>
      <c r="BV27" s="375">
        <v>0</v>
      </c>
      <c r="BW27" s="375">
        <f t="shared" si="43"/>
        <v>0</v>
      </c>
      <c r="BX27" s="375">
        <v>0</v>
      </c>
      <c r="BY27" s="375">
        <f t="shared" si="44"/>
        <v>0</v>
      </c>
      <c r="BZ27" s="375">
        <f t="shared" si="171"/>
        <v>3</v>
      </c>
      <c r="CA27" s="376">
        <f t="shared" si="46"/>
        <v>15</v>
      </c>
      <c r="CB27" s="373">
        <f t="shared" si="47"/>
        <v>2.5409999999999999</v>
      </c>
      <c r="CC27" s="374" t="str">
        <f t="shared" si="48"/>
        <v>(0.24)</v>
      </c>
      <c r="CD27" s="375">
        <v>2</v>
      </c>
      <c r="CE27" s="375">
        <f t="shared" si="49"/>
        <v>3</v>
      </c>
      <c r="CF27" s="375">
        <v>0</v>
      </c>
      <c r="CG27" s="375">
        <f t="shared" si="50"/>
        <v>0</v>
      </c>
      <c r="CH27" s="375">
        <v>0</v>
      </c>
      <c r="CI27" s="375">
        <f t="shared" si="51"/>
        <v>0</v>
      </c>
      <c r="CJ27" s="375">
        <f t="shared" si="172"/>
        <v>3</v>
      </c>
      <c r="CK27" s="376">
        <f t="shared" si="53"/>
        <v>21</v>
      </c>
      <c r="CL27" s="373">
        <f t="shared" si="54"/>
        <v>3.2669999999999999</v>
      </c>
      <c r="CM27" s="374" t="str">
        <f t="shared" si="55"/>
        <v>(0.3)</v>
      </c>
      <c r="CN27" s="375">
        <v>2</v>
      </c>
      <c r="CO27" s="375">
        <f t="shared" si="56"/>
        <v>3</v>
      </c>
      <c r="CP27" s="375">
        <v>0</v>
      </c>
      <c r="CQ27" s="375">
        <f t="shared" si="57"/>
        <v>0</v>
      </c>
      <c r="CR27" s="375">
        <v>0</v>
      </c>
      <c r="CS27" s="375">
        <f t="shared" si="58"/>
        <v>0</v>
      </c>
      <c r="CT27" s="375">
        <f t="shared" si="173"/>
        <v>3</v>
      </c>
      <c r="CU27" s="376">
        <f t="shared" si="60"/>
        <v>27</v>
      </c>
      <c r="CV27" s="373">
        <f t="shared" si="61"/>
        <v>3.9929999999999999</v>
      </c>
      <c r="CW27" s="374" t="str">
        <f t="shared" si="62"/>
        <v>(0.37)</v>
      </c>
      <c r="CX27" s="375">
        <v>2</v>
      </c>
      <c r="CY27" s="375">
        <f t="shared" si="63"/>
        <v>3</v>
      </c>
      <c r="CZ27" s="375">
        <v>0</v>
      </c>
      <c r="DA27" s="375">
        <f t="shared" si="64"/>
        <v>0</v>
      </c>
      <c r="DB27" s="375">
        <v>0</v>
      </c>
      <c r="DC27" s="375">
        <f t="shared" si="65"/>
        <v>0</v>
      </c>
      <c r="DD27" s="375">
        <f t="shared" si="174"/>
        <v>3</v>
      </c>
      <c r="DE27" s="376">
        <f t="shared" si="67"/>
        <v>33</v>
      </c>
      <c r="DF27" s="373">
        <f t="shared" si="68"/>
        <v>4.7189999999999994</v>
      </c>
      <c r="DG27" s="374" t="str">
        <f t="shared" si="69"/>
        <v>(0.44)</v>
      </c>
      <c r="DH27" s="375">
        <v>2</v>
      </c>
      <c r="DI27" s="375">
        <f t="shared" si="70"/>
        <v>3</v>
      </c>
      <c r="DJ27" s="375">
        <v>0</v>
      </c>
      <c r="DK27" s="375">
        <f t="shared" si="71"/>
        <v>0</v>
      </c>
      <c r="DL27" s="375">
        <v>0</v>
      </c>
      <c r="DM27" s="375">
        <f t="shared" si="72"/>
        <v>0</v>
      </c>
      <c r="DN27" s="375">
        <f t="shared" si="175"/>
        <v>3</v>
      </c>
      <c r="DO27" s="376">
        <f t="shared" si="74"/>
        <v>39</v>
      </c>
      <c r="DP27" s="373">
        <f t="shared" si="75"/>
        <v>5.4449999999999994</v>
      </c>
      <c r="DQ27" s="374" t="str">
        <f t="shared" si="76"/>
        <v>(0.51)</v>
      </c>
      <c r="DR27" s="375">
        <v>2</v>
      </c>
      <c r="DS27" s="375">
        <f t="shared" si="77"/>
        <v>3</v>
      </c>
      <c r="DT27" s="375">
        <v>0</v>
      </c>
      <c r="DU27" s="375">
        <f t="shared" si="78"/>
        <v>0</v>
      </c>
      <c r="DV27" s="375">
        <v>0</v>
      </c>
      <c r="DW27" s="375">
        <f t="shared" si="79"/>
        <v>0</v>
      </c>
      <c r="DX27" s="375">
        <f t="shared" si="176"/>
        <v>3</v>
      </c>
      <c r="DY27" s="376">
        <f t="shared" si="81"/>
        <v>45</v>
      </c>
      <c r="DZ27" s="373">
        <f t="shared" si="82"/>
        <v>6.05</v>
      </c>
      <c r="EA27" s="374" t="str">
        <f t="shared" si="177"/>
        <v>(0.56)</v>
      </c>
      <c r="EB27" s="375">
        <v>2</v>
      </c>
      <c r="EC27" s="375">
        <f t="shared" si="84"/>
        <v>3</v>
      </c>
      <c r="ED27" s="375">
        <v>0</v>
      </c>
      <c r="EE27" s="375">
        <f t="shared" si="85"/>
        <v>0</v>
      </c>
      <c r="EF27" s="375">
        <v>1</v>
      </c>
      <c r="EG27" s="375">
        <f t="shared" si="86"/>
        <v>1</v>
      </c>
      <c r="EH27" s="375">
        <f t="shared" si="178"/>
        <v>4</v>
      </c>
      <c r="EI27" s="376">
        <f t="shared" si="88"/>
        <v>50</v>
      </c>
      <c r="EJ27" s="373">
        <f t="shared" si="89"/>
        <v>6.7759999999999998</v>
      </c>
      <c r="EK27" s="374" t="str">
        <f t="shared" si="179"/>
        <v>(0.63)</v>
      </c>
      <c r="EL27" s="375">
        <v>2</v>
      </c>
      <c r="EM27" s="375">
        <f t="shared" si="91"/>
        <v>3</v>
      </c>
      <c r="EN27" s="375">
        <v>0</v>
      </c>
      <c r="EO27" s="375">
        <f t="shared" si="92"/>
        <v>0</v>
      </c>
      <c r="EP27" s="375">
        <v>1</v>
      </c>
      <c r="EQ27" s="375">
        <f t="shared" si="93"/>
        <v>1</v>
      </c>
      <c r="ER27" s="375">
        <f t="shared" si="180"/>
        <v>4</v>
      </c>
      <c r="ES27" s="376">
        <f t="shared" si="95"/>
        <v>56</v>
      </c>
      <c r="ET27" s="373">
        <f t="shared" si="96"/>
        <v>7.5019999999999998</v>
      </c>
      <c r="EU27" s="374" t="str">
        <f t="shared" si="181"/>
        <v>(0.70)</v>
      </c>
      <c r="EV27" s="375">
        <v>2</v>
      </c>
      <c r="EW27" s="375">
        <f t="shared" si="98"/>
        <v>3</v>
      </c>
      <c r="EX27" s="375">
        <v>0</v>
      </c>
      <c r="EY27" s="375">
        <f t="shared" si="99"/>
        <v>0</v>
      </c>
      <c r="EZ27" s="375">
        <v>1</v>
      </c>
      <c r="FA27" s="375">
        <f t="shared" si="100"/>
        <v>1</v>
      </c>
      <c r="FB27" s="375">
        <f t="shared" si="182"/>
        <v>4</v>
      </c>
      <c r="FC27" s="376">
        <f t="shared" si="102"/>
        <v>62</v>
      </c>
      <c r="FD27" s="373">
        <f t="shared" si="103"/>
        <v>8.2128750000000004</v>
      </c>
      <c r="FE27" s="374" t="str">
        <f t="shared" si="183"/>
        <v>(0.76)</v>
      </c>
      <c r="FF27" s="375">
        <v>2</v>
      </c>
      <c r="FG27" s="375">
        <f t="shared" si="105"/>
        <v>3</v>
      </c>
      <c r="FH27" s="375">
        <v>1</v>
      </c>
      <c r="FI27" s="375">
        <f t="shared" si="106"/>
        <v>1.125</v>
      </c>
      <c r="FJ27" s="375">
        <v>0</v>
      </c>
      <c r="FK27" s="375">
        <f t="shared" si="107"/>
        <v>0</v>
      </c>
      <c r="FL27" s="375">
        <f t="shared" si="184"/>
        <v>4.125</v>
      </c>
      <c r="FM27" s="376">
        <f t="shared" si="109"/>
        <v>67.875</v>
      </c>
      <c r="FN27" s="373">
        <f t="shared" si="110"/>
        <v>8.9388749999999995</v>
      </c>
      <c r="FO27" s="374" t="str">
        <f t="shared" si="183"/>
        <v>(0.83)</v>
      </c>
      <c r="FP27" s="375">
        <v>2</v>
      </c>
      <c r="FQ27" s="375">
        <f t="shared" si="112"/>
        <v>3</v>
      </c>
      <c r="FR27" s="375">
        <v>1</v>
      </c>
      <c r="FS27" s="375">
        <f t="shared" si="113"/>
        <v>1.125</v>
      </c>
      <c r="FT27" s="375">
        <v>0</v>
      </c>
      <c r="FU27" s="375">
        <f t="shared" si="114"/>
        <v>0</v>
      </c>
      <c r="FV27" s="375">
        <f t="shared" si="185"/>
        <v>4.125</v>
      </c>
      <c r="FW27" s="376">
        <f t="shared" si="116"/>
        <v>73.875</v>
      </c>
      <c r="FX27" s="373">
        <f t="shared" si="117"/>
        <v>9.6648750000000003</v>
      </c>
      <c r="FY27" s="374" t="str">
        <f t="shared" si="186"/>
        <v>(0.90)</v>
      </c>
      <c r="FZ27" s="375">
        <v>2</v>
      </c>
      <c r="GA27" s="375">
        <f t="shared" si="119"/>
        <v>3</v>
      </c>
      <c r="GB27" s="375">
        <v>1</v>
      </c>
      <c r="GC27" s="375">
        <f t="shared" si="120"/>
        <v>1.125</v>
      </c>
      <c r="GD27" s="375">
        <v>0</v>
      </c>
      <c r="GE27" s="375">
        <f t="shared" si="121"/>
        <v>0</v>
      </c>
      <c r="GF27" s="375">
        <f t="shared" si="187"/>
        <v>4.125</v>
      </c>
      <c r="GG27" s="376">
        <f t="shared" si="123"/>
        <v>79.875</v>
      </c>
      <c r="GH27" s="373">
        <f t="shared" si="124"/>
        <v>10.390875000000001</v>
      </c>
      <c r="GI27" s="374" t="str">
        <f t="shared" si="188"/>
        <v>(0.97)</v>
      </c>
      <c r="GJ27" s="375">
        <v>2</v>
      </c>
      <c r="GK27" s="375">
        <f t="shared" si="126"/>
        <v>3</v>
      </c>
      <c r="GL27" s="375">
        <v>1</v>
      </c>
      <c r="GM27" s="375">
        <f t="shared" si="127"/>
        <v>1.125</v>
      </c>
      <c r="GN27" s="375">
        <v>0</v>
      </c>
      <c r="GO27" s="375">
        <f t="shared" si="128"/>
        <v>0</v>
      </c>
      <c r="GP27" s="375">
        <f t="shared" si="189"/>
        <v>4.125</v>
      </c>
      <c r="GQ27" s="376">
        <f t="shared" si="130"/>
        <v>85.875</v>
      </c>
      <c r="GR27" s="373">
        <f t="shared" si="131"/>
        <v>11.116875</v>
      </c>
      <c r="GS27" s="374" t="str">
        <f t="shared" si="190"/>
        <v>(1.03)</v>
      </c>
      <c r="GT27" s="375">
        <v>2</v>
      </c>
      <c r="GU27" s="375">
        <f t="shared" si="133"/>
        <v>3</v>
      </c>
      <c r="GV27" s="375">
        <v>1</v>
      </c>
      <c r="GW27" s="375">
        <f t="shared" si="134"/>
        <v>1.125</v>
      </c>
      <c r="GX27" s="375">
        <v>0</v>
      </c>
      <c r="GY27" s="375">
        <f t="shared" si="135"/>
        <v>0</v>
      </c>
      <c r="GZ27" s="375">
        <f t="shared" si="191"/>
        <v>4.125</v>
      </c>
      <c r="HA27" s="376">
        <f t="shared" si="137"/>
        <v>91.875</v>
      </c>
      <c r="HB27" s="373">
        <f t="shared" si="138"/>
        <v>11.842874999999999</v>
      </c>
      <c r="HC27" s="374" t="str">
        <f t="shared" si="192"/>
        <v>(1.10)</v>
      </c>
      <c r="HD27" s="375">
        <v>2</v>
      </c>
      <c r="HE27" s="375">
        <f t="shared" si="140"/>
        <v>3</v>
      </c>
      <c r="HF27" s="375">
        <v>1</v>
      </c>
      <c r="HG27" s="375">
        <f t="shared" si="141"/>
        <v>1.125</v>
      </c>
      <c r="HH27" s="375">
        <v>0</v>
      </c>
      <c r="HI27" s="375">
        <f t="shared" si="142"/>
        <v>0</v>
      </c>
      <c r="HJ27" s="375">
        <f t="shared" si="193"/>
        <v>4.125</v>
      </c>
      <c r="HK27" s="376">
        <f t="shared" si="144"/>
        <v>97.875</v>
      </c>
      <c r="HL27" s="373">
        <f t="shared" si="145"/>
        <v>12.326874999999999</v>
      </c>
      <c r="HM27" s="374" t="str">
        <f t="shared" si="194"/>
        <v>(1.15)</v>
      </c>
      <c r="HN27" s="375">
        <v>2</v>
      </c>
      <c r="HO27" s="375">
        <f t="shared" si="147"/>
        <v>3</v>
      </c>
      <c r="HP27" s="375">
        <v>1</v>
      </c>
      <c r="HQ27" s="375">
        <f t="shared" si="148"/>
        <v>1.125</v>
      </c>
      <c r="HR27" s="375">
        <v>2</v>
      </c>
      <c r="HS27" s="375">
        <f t="shared" si="149"/>
        <v>2</v>
      </c>
      <c r="HT27" s="375">
        <f t="shared" si="195"/>
        <v>6.125</v>
      </c>
      <c r="HU27" s="376">
        <f t="shared" si="151"/>
        <v>101.875</v>
      </c>
      <c r="HV27" s="373">
        <f t="shared" si="152"/>
        <v>13.052875</v>
      </c>
      <c r="HW27" s="374" t="str">
        <f t="shared" si="196"/>
        <v>(1.21)</v>
      </c>
      <c r="HX27" s="375">
        <v>2</v>
      </c>
      <c r="HY27" s="375">
        <f t="shared" si="154"/>
        <v>3</v>
      </c>
      <c r="HZ27" s="375">
        <v>1</v>
      </c>
      <c r="IA27" s="375">
        <f t="shared" si="155"/>
        <v>1.125</v>
      </c>
      <c r="IB27" s="375">
        <v>2</v>
      </c>
      <c r="IC27" s="375">
        <f t="shared" si="156"/>
        <v>2</v>
      </c>
      <c r="ID27" s="375">
        <f t="shared" si="197"/>
        <v>6.125</v>
      </c>
      <c r="IE27" s="376">
        <f t="shared" si="158"/>
        <v>107.875</v>
      </c>
      <c r="IF27" s="373">
        <f t="shared" si="159"/>
        <v>13.778874999999999</v>
      </c>
      <c r="IG27" s="374" t="str">
        <f t="shared" si="198"/>
        <v>(1.28)</v>
      </c>
      <c r="IH27" s="22">
        <v>2</v>
      </c>
      <c r="II27" s="22">
        <f t="shared" si="161"/>
        <v>3</v>
      </c>
      <c r="IJ27" s="22">
        <v>1</v>
      </c>
      <c r="IK27" s="22">
        <f t="shared" si="162"/>
        <v>1.125</v>
      </c>
      <c r="IL27" s="22">
        <v>2</v>
      </c>
      <c r="IM27" s="22">
        <f t="shared" si="163"/>
        <v>2</v>
      </c>
      <c r="IN27" s="22">
        <f t="shared" si="199"/>
        <v>6.125</v>
      </c>
      <c r="IO27" s="23">
        <f t="shared" si="165"/>
        <v>113.875</v>
      </c>
      <c r="IP27" s="24"/>
      <c r="IQ27" s="25">
        <v>6</v>
      </c>
      <c r="IR27" s="26">
        <v>2.5</v>
      </c>
      <c r="IS27" s="26">
        <v>2.8079999999999998</v>
      </c>
      <c r="IT27" s="26">
        <v>0.88400000000000001</v>
      </c>
      <c r="IU27" s="26">
        <v>1.5</v>
      </c>
      <c r="IV27" s="26">
        <v>1</v>
      </c>
      <c r="IW27" s="26">
        <v>1.125</v>
      </c>
      <c r="IX27" s="8"/>
    </row>
    <row r="28" spans="2:258" ht="15.75" thickBot="1" x14ac:dyDescent="0.3">
      <c r="B28" s="103">
        <f t="shared" si="25"/>
        <v>60</v>
      </c>
      <c r="C28" s="226">
        <v>11</v>
      </c>
      <c r="D28" s="98">
        <f t="shared" si="1"/>
        <v>0.34075555555555553</v>
      </c>
      <c r="E28" s="96">
        <f t="shared" si="2"/>
        <v>0.38334999999999997</v>
      </c>
      <c r="F28" s="96">
        <f t="shared" si="3"/>
        <v>0.4259444444444444</v>
      </c>
      <c r="G28" s="96">
        <f t="shared" si="4"/>
        <v>0.44724166666666665</v>
      </c>
      <c r="H28" s="96">
        <f t="shared" si="5"/>
        <v>0.46001999999999993</v>
      </c>
      <c r="I28" s="96">
        <f t="shared" si="6"/>
        <v>0.46853888888888889</v>
      </c>
      <c r="J28" s="96">
        <f t="shared" si="7"/>
        <v>0.4746238095238095</v>
      </c>
      <c r="K28" s="96">
        <f t="shared" si="8"/>
        <v>0.47918749999999999</v>
      </c>
      <c r="L28" s="96">
        <f t="shared" si="9"/>
        <v>0.47327160493827158</v>
      </c>
      <c r="M28" s="96">
        <f t="shared" si="10"/>
        <v>0.47705777777777775</v>
      </c>
      <c r="N28" s="96">
        <f t="shared" si="11"/>
        <v>0.48015555555555556</v>
      </c>
      <c r="O28" s="96">
        <f t="shared" si="12"/>
        <v>0.48184965277777775</v>
      </c>
      <c r="P28" s="96">
        <f t="shared" si="13"/>
        <v>0.48410224358974363</v>
      </c>
      <c r="Q28" s="96">
        <f t="shared" si="14"/>
        <v>0.48603303571428569</v>
      </c>
      <c r="R28" s="96">
        <f t="shared" si="15"/>
        <v>0.4877063888888889</v>
      </c>
      <c r="S28" s="96">
        <f t="shared" si="16"/>
        <v>0.48917057291666666</v>
      </c>
      <c r="T28" s="96">
        <f t="shared" si="17"/>
        <v>0.49046250000000002</v>
      </c>
      <c r="U28" s="96">
        <f t="shared" si="18"/>
        <v>0.48214544753086414</v>
      </c>
      <c r="V28" s="96">
        <f t="shared" si="19"/>
        <v>0.48367112573099419</v>
      </c>
      <c r="W28" s="96">
        <f t="shared" si="20"/>
        <v>0.48504423611111108</v>
      </c>
      <c r="X28" s="96"/>
      <c r="Y28" s="65"/>
      <c r="AA28" s="83"/>
      <c r="AT28" s="4"/>
      <c r="AU28" s="14">
        <f t="shared" si="200"/>
        <v>42</v>
      </c>
      <c r="AV28" s="12" t="str">
        <f t="shared" si="166"/>
        <v>(1050)</v>
      </c>
      <c r="AW28" s="19">
        <f t="shared" si="201"/>
        <v>13</v>
      </c>
      <c r="AX28" s="20">
        <f t="shared" si="26"/>
        <v>0.88149999999999995</v>
      </c>
      <c r="AY28" s="21" t="str">
        <f t="shared" si="167"/>
        <v>(0.08)</v>
      </c>
      <c r="AZ28" s="22">
        <v>2</v>
      </c>
      <c r="BA28" s="22">
        <f t="shared" si="28"/>
        <v>3</v>
      </c>
      <c r="BB28" s="22">
        <v>0</v>
      </c>
      <c r="BC28" s="22">
        <f t="shared" si="29"/>
        <v>0</v>
      </c>
      <c r="BD28" s="22">
        <v>0</v>
      </c>
      <c r="BE28" s="22">
        <f t="shared" si="30"/>
        <v>0</v>
      </c>
      <c r="BF28" s="22">
        <f t="shared" si="168"/>
        <v>3</v>
      </c>
      <c r="BG28" s="23">
        <f t="shared" si="32"/>
        <v>6</v>
      </c>
      <c r="BH28" s="373">
        <f t="shared" si="33"/>
        <v>1.3222499999999999</v>
      </c>
      <c r="BI28" s="374" t="str">
        <f t="shared" si="169"/>
        <v>(0.12)</v>
      </c>
      <c r="BJ28" s="375">
        <v>2</v>
      </c>
      <c r="BK28" s="375">
        <f t="shared" si="35"/>
        <v>3</v>
      </c>
      <c r="BL28" s="375">
        <v>0</v>
      </c>
      <c r="BM28" s="375">
        <f t="shared" si="36"/>
        <v>0</v>
      </c>
      <c r="BN28" s="375">
        <v>0</v>
      </c>
      <c r="BO28" s="375">
        <f t="shared" si="37"/>
        <v>0</v>
      </c>
      <c r="BP28" s="375">
        <f t="shared" si="170"/>
        <v>3</v>
      </c>
      <c r="BQ28" s="376">
        <f t="shared" si="39"/>
        <v>9</v>
      </c>
      <c r="BR28" s="373">
        <f t="shared" si="40"/>
        <v>2.2037499999999999</v>
      </c>
      <c r="BS28" s="374" t="str">
        <f t="shared" si="41"/>
        <v>(0.2)</v>
      </c>
      <c r="BT28" s="375">
        <v>2</v>
      </c>
      <c r="BU28" s="375">
        <f t="shared" si="42"/>
        <v>3</v>
      </c>
      <c r="BV28" s="375">
        <v>0</v>
      </c>
      <c r="BW28" s="375">
        <f t="shared" si="43"/>
        <v>0</v>
      </c>
      <c r="BX28" s="375">
        <v>0</v>
      </c>
      <c r="BY28" s="375">
        <f t="shared" si="44"/>
        <v>0</v>
      </c>
      <c r="BZ28" s="375">
        <f t="shared" si="171"/>
        <v>3</v>
      </c>
      <c r="CA28" s="376">
        <f t="shared" si="46"/>
        <v>15</v>
      </c>
      <c r="CB28" s="373">
        <f t="shared" si="47"/>
        <v>3.0852499999999998</v>
      </c>
      <c r="CC28" s="374" t="str">
        <f t="shared" si="48"/>
        <v>(0.29)</v>
      </c>
      <c r="CD28" s="375">
        <v>2</v>
      </c>
      <c r="CE28" s="375">
        <f t="shared" si="49"/>
        <v>3</v>
      </c>
      <c r="CF28" s="375">
        <v>0</v>
      </c>
      <c r="CG28" s="375">
        <f t="shared" si="50"/>
        <v>0</v>
      </c>
      <c r="CH28" s="375">
        <v>0</v>
      </c>
      <c r="CI28" s="375">
        <f t="shared" si="51"/>
        <v>0</v>
      </c>
      <c r="CJ28" s="375">
        <f t="shared" si="172"/>
        <v>3</v>
      </c>
      <c r="CK28" s="376">
        <f t="shared" si="53"/>
        <v>21</v>
      </c>
      <c r="CL28" s="373">
        <f t="shared" si="54"/>
        <v>3.9667499999999998</v>
      </c>
      <c r="CM28" s="374" t="str">
        <f t="shared" si="55"/>
        <v>(0.37)</v>
      </c>
      <c r="CN28" s="375">
        <v>2</v>
      </c>
      <c r="CO28" s="375">
        <f t="shared" si="56"/>
        <v>3</v>
      </c>
      <c r="CP28" s="375">
        <v>0</v>
      </c>
      <c r="CQ28" s="375">
        <f t="shared" si="57"/>
        <v>0</v>
      </c>
      <c r="CR28" s="375">
        <v>0</v>
      </c>
      <c r="CS28" s="375">
        <f t="shared" si="58"/>
        <v>0</v>
      </c>
      <c r="CT28" s="375">
        <f t="shared" si="173"/>
        <v>3</v>
      </c>
      <c r="CU28" s="376">
        <f t="shared" si="60"/>
        <v>27</v>
      </c>
      <c r="CV28" s="373">
        <f t="shared" si="61"/>
        <v>4.8482499999999993</v>
      </c>
      <c r="CW28" s="374" t="str">
        <f t="shared" si="62"/>
        <v>(0.45)</v>
      </c>
      <c r="CX28" s="375">
        <v>2</v>
      </c>
      <c r="CY28" s="375">
        <f t="shared" si="63"/>
        <v>3</v>
      </c>
      <c r="CZ28" s="375">
        <v>0</v>
      </c>
      <c r="DA28" s="375">
        <f t="shared" si="64"/>
        <v>0</v>
      </c>
      <c r="DB28" s="375">
        <v>0</v>
      </c>
      <c r="DC28" s="375">
        <f t="shared" si="65"/>
        <v>0</v>
      </c>
      <c r="DD28" s="375">
        <f t="shared" si="174"/>
        <v>3</v>
      </c>
      <c r="DE28" s="376">
        <f t="shared" si="67"/>
        <v>33</v>
      </c>
      <c r="DF28" s="373">
        <f t="shared" si="68"/>
        <v>5.7297499999999992</v>
      </c>
      <c r="DG28" s="374" t="str">
        <f t="shared" si="69"/>
        <v>(0.53)</v>
      </c>
      <c r="DH28" s="375">
        <v>2</v>
      </c>
      <c r="DI28" s="375">
        <f t="shared" si="70"/>
        <v>3</v>
      </c>
      <c r="DJ28" s="375">
        <v>0</v>
      </c>
      <c r="DK28" s="375">
        <f t="shared" si="71"/>
        <v>0</v>
      </c>
      <c r="DL28" s="375">
        <v>0</v>
      </c>
      <c r="DM28" s="375">
        <f t="shared" si="72"/>
        <v>0</v>
      </c>
      <c r="DN28" s="375">
        <f t="shared" si="175"/>
        <v>3</v>
      </c>
      <c r="DO28" s="376">
        <f t="shared" si="74"/>
        <v>39</v>
      </c>
      <c r="DP28" s="373">
        <f t="shared" si="75"/>
        <v>6.6112500000000001</v>
      </c>
      <c r="DQ28" s="374" t="str">
        <f t="shared" si="76"/>
        <v>(0.61)</v>
      </c>
      <c r="DR28" s="375">
        <v>2</v>
      </c>
      <c r="DS28" s="375">
        <f t="shared" si="77"/>
        <v>3</v>
      </c>
      <c r="DT28" s="375">
        <v>0</v>
      </c>
      <c r="DU28" s="375">
        <f t="shared" si="78"/>
        <v>0</v>
      </c>
      <c r="DV28" s="375">
        <v>0</v>
      </c>
      <c r="DW28" s="375">
        <f t="shared" si="79"/>
        <v>0</v>
      </c>
      <c r="DX28" s="375">
        <f t="shared" si="176"/>
        <v>3</v>
      </c>
      <c r="DY28" s="376">
        <f t="shared" si="81"/>
        <v>45</v>
      </c>
      <c r="DZ28" s="373">
        <f t="shared" si="82"/>
        <v>7.3458333333333332</v>
      </c>
      <c r="EA28" s="374" t="str">
        <f t="shared" si="177"/>
        <v>(0.68)</v>
      </c>
      <c r="EB28" s="375">
        <v>2</v>
      </c>
      <c r="EC28" s="375">
        <f t="shared" si="84"/>
        <v>3</v>
      </c>
      <c r="ED28" s="375">
        <v>0</v>
      </c>
      <c r="EE28" s="375">
        <f t="shared" si="85"/>
        <v>0</v>
      </c>
      <c r="EF28" s="375">
        <v>1</v>
      </c>
      <c r="EG28" s="375">
        <f t="shared" si="86"/>
        <v>1</v>
      </c>
      <c r="EH28" s="375">
        <f t="shared" si="178"/>
        <v>4</v>
      </c>
      <c r="EI28" s="376">
        <f t="shared" si="88"/>
        <v>50</v>
      </c>
      <c r="EJ28" s="373">
        <f t="shared" si="89"/>
        <v>8.2273333333333323</v>
      </c>
      <c r="EK28" s="374" t="str">
        <f t="shared" si="179"/>
        <v>(0.76)</v>
      </c>
      <c r="EL28" s="375">
        <v>2</v>
      </c>
      <c r="EM28" s="375">
        <f t="shared" si="91"/>
        <v>3</v>
      </c>
      <c r="EN28" s="375">
        <v>0</v>
      </c>
      <c r="EO28" s="375">
        <f t="shared" si="92"/>
        <v>0</v>
      </c>
      <c r="EP28" s="375">
        <v>1</v>
      </c>
      <c r="EQ28" s="375">
        <f t="shared" si="93"/>
        <v>1</v>
      </c>
      <c r="ER28" s="375">
        <f t="shared" si="180"/>
        <v>4</v>
      </c>
      <c r="ES28" s="376">
        <f t="shared" si="95"/>
        <v>56</v>
      </c>
      <c r="ET28" s="373">
        <f t="shared" si="96"/>
        <v>9.1088333333333331</v>
      </c>
      <c r="EU28" s="374" t="str">
        <f t="shared" si="181"/>
        <v>(0.85)</v>
      </c>
      <c r="EV28" s="375">
        <v>2</v>
      </c>
      <c r="EW28" s="375">
        <f t="shared" si="98"/>
        <v>3</v>
      </c>
      <c r="EX28" s="375">
        <v>0</v>
      </c>
      <c r="EY28" s="375">
        <f t="shared" si="99"/>
        <v>0</v>
      </c>
      <c r="EZ28" s="375">
        <v>1</v>
      </c>
      <c r="FA28" s="375">
        <f t="shared" si="100"/>
        <v>1</v>
      </c>
      <c r="FB28" s="375">
        <f t="shared" si="182"/>
        <v>4</v>
      </c>
      <c r="FC28" s="376">
        <f t="shared" si="102"/>
        <v>62</v>
      </c>
      <c r="FD28" s="373">
        <f t="shared" si="103"/>
        <v>9.9719687499999985</v>
      </c>
      <c r="FE28" s="374" t="str">
        <f t="shared" si="183"/>
        <v>(0.93)</v>
      </c>
      <c r="FF28" s="375">
        <v>2</v>
      </c>
      <c r="FG28" s="375">
        <f t="shared" si="105"/>
        <v>3</v>
      </c>
      <c r="FH28" s="375">
        <v>1</v>
      </c>
      <c r="FI28" s="375">
        <f t="shared" si="106"/>
        <v>1.125</v>
      </c>
      <c r="FJ28" s="375">
        <v>0</v>
      </c>
      <c r="FK28" s="375">
        <f t="shared" si="107"/>
        <v>0</v>
      </c>
      <c r="FL28" s="375">
        <f t="shared" si="184"/>
        <v>4.125</v>
      </c>
      <c r="FM28" s="376">
        <f t="shared" si="109"/>
        <v>67.875</v>
      </c>
      <c r="FN28" s="373">
        <f t="shared" si="110"/>
        <v>10.853468749999999</v>
      </c>
      <c r="FO28" s="374" t="str">
        <f t="shared" si="183"/>
        <v>(1.01)</v>
      </c>
      <c r="FP28" s="375">
        <v>2</v>
      </c>
      <c r="FQ28" s="375">
        <f t="shared" si="112"/>
        <v>3</v>
      </c>
      <c r="FR28" s="375">
        <v>1</v>
      </c>
      <c r="FS28" s="375">
        <f t="shared" si="113"/>
        <v>1.125</v>
      </c>
      <c r="FT28" s="375">
        <v>0</v>
      </c>
      <c r="FU28" s="375">
        <f t="shared" si="114"/>
        <v>0</v>
      </c>
      <c r="FV28" s="375">
        <f t="shared" si="185"/>
        <v>4.125</v>
      </c>
      <c r="FW28" s="376">
        <f t="shared" si="116"/>
        <v>73.875</v>
      </c>
      <c r="FX28" s="373">
        <f t="shared" si="117"/>
        <v>11.73496875</v>
      </c>
      <c r="FY28" s="374" t="str">
        <f t="shared" si="186"/>
        <v>(1.09)</v>
      </c>
      <c r="FZ28" s="375">
        <v>2</v>
      </c>
      <c r="GA28" s="375">
        <f t="shared" si="119"/>
        <v>3</v>
      </c>
      <c r="GB28" s="375">
        <v>1</v>
      </c>
      <c r="GC28" s="375">
        <f t="shared" si="120"/>
        <v>1.125</v>
      </c>
      <c r="GD28" s="375">
        <v>0</v>
      </c>
      <c r="GE28" s="375">
        <f t="shared" si="121"/>
        <v>0</v>
      </c>
      <c r="GF28" s="375">
        <f t="shared" si="187"/>
        <v>4.125</v>
      </c>
      <c r="GG28" s="376">
        <f t="shared" si="123"/>
        <v>79.875</v>
      </c>
      <c r="GH28" s="373">
        <f t="shared" si="124"/>
        <v>12.616468749999999</v>
      </c>
      <c r="GI28" s="374" t="str">
        <f t="shared" si="188"/>
        <v>(1.17)</v>
      </c>
      <c r="GJ28" s="375">
        <v>2</v>
      </c>
      <c r="GK28" s="375">
        <f t="shared" si="126"/>
        <v>3</v>
      </c>
      <c r="GL28" s="375">
        <v>1</v>
      </c>
      <c r="GM28" s="375">
        <f t="shared" si="127"/>
        <v>1.125</v>
      </c>
      <c r="GN28" s="375">
        <v>0</v>
      </c>
      <c r="GO28" s="375">
        <f t="shared" si="128"/>
        <v>0</v>
      </c>
      <c r="GP28" s="375">
        <f t="shared" si="189"/>
        <v>4.125</v>
      </c>
      <c r="GQ28" s="376">
        <f t="shared" si="130"/>
        <v>85.875</v>
      </c>
      <c r="GR28" s="373">
        <f t="shared" si="131"/>
        <v>13.49796875</v>
      </c>
      <c r="GS28" s="374" t="str">
        <f t="shared" si="190"/>
        <v>(1.25)</v>
      </c>
      <c r="GT28" s="375">
        <v>2</v>
      </c>
      <c r="GU28" s="375">
        <f t="shared" si="133"/>
        <v>3</v>
      </c>
      <c r="GV28" s="375">
        <v>1</v>
      </c>
      <c r="GW28" s="375">
        <f t="shared" si="134"/>
        <v>1.125</v>
      </c>
      <c r="GX28" s="375">
        <v>0</v>
      </c>
      <c r="GY28" s="375">
        <f t="shared" si="135"/>
        <v>0</v>
      </c>
      <c r="GZ28" s="375">
        <f t="shared" si="191"/>
        <v>4.125</v>
      </c>
      <c r="HA28" s="376">
        <f t="shared" si="137"/>
        <v>91.875</v>
      </c>
      <c r="HB28" s="373">
        <f t="shared" si="138"/>
        <v>14.379468749999997</v>
      </c>
      <c r="HC28" s="374" t="str">
        <f t="shared" si="192"/>
        <v>(1.34)</v>
      </c>
      <c r="HD28" s="375">
        <v>2</v>
      </c>
      <c r="HE28" s="375">
        <f t="shared" si="140"/>
        <v>3</v>
      </c>
      <c r="HF28" s="375">
        <v>1</v>
      </c>
      <c r="HG28" s="375">
        <f t="shared" si="141"/>
        <v>1.125</v>
      </c>
      <c r="HH28" s="375">
        <v>0</v>
      </c>
      <c r="HI28" s="375">
        <f t="shared" si="142"/>
        <v>0</v>
      </c>
      <c r="HJ28" s="375">
        <f t="shared" si="193"/>
        <v>4.125</v>
      </c>
      <c r="HK28" s="376">
        <f t="shared" si="144"/>
        <v>97.875</v>
      </c>
      <c r="HL28" s="373">
        <f t="shared" si="145"/>
        <v>14.967135416666666</v>
      </c>
      <c r="HM28" s="374" t="str">
        <f t="shared" si="194"/>
        <v>(1.39)</v>
      </c>
      <c r="HN28" s="375">
        <v>2</v>
      </c>
      <c r="HO28" s="375">
        <f t="shared" si="147"/>
        <v>3</v>
      </c>
      <c r="HP28" s="375">
        <v>1</v>
      </c>
      <c r="HQ28" s="375">
        <f t="shared" si="148"/>
        <v>1.125</v>
      </c>
      <c r="HR28" s="375">
        <v>2</v>
      </c>
      <c r="HS28" s="375">
        <f t="shared" si="149"/>
        <v>2</v>
      </c>
      <c r="HT28" s="375">
        <f t="shared" si="195"/>
        <v>6.125</v>
      </c>
      <c r="HU28" s="376">
        <f t="shared" si="151"/>
        <v>101.875</v>
      </c>
      <c r="HV28" s="373">
        <f t="shared" si="152"/>
        <v>15.848635416666667</v>
      </c>
      <c r="HW28" s="374" t="str">
        <f t="shared" si="196"/>
        <v>(1.47)</v>
      </c>
      <c r="HX28" s="375">
        <v>2</v>
      </c>
      <c r="HY28" s="375">
        <f t="shared" si="154"/>
        <v>3</v>
      </c>
      <c r="HZ28" s="375">
        <v>1</v>
      </c>
      <c r="IA28" s="375">
        <f t="shared" si="155"/>
        <v>1.125</v>
      </c>
      <c r="IB28" s="375">
        <v>2</v>
      </c>
      <c r="IC28" s="375">
        <f t="shared" si="156"/>
        <v>2</v>
      </c>
      <c r="ID28" s="375">
        <f t="shared" si="197"/>
        <v>6.125</v>
      </c>
      <c r="IE28" s="376">
        <f t="shared" si="158"/>
        <v>107.875</v>
      </c>
      <c r="IF28" s="373">
        <f t="shared" si="159"/>
        <v>16.730135416666666</v>
      </c>
      <c r="IG28" s="374" t="str">
        <f t="shared" si="198"/>
        <v>(1.55)</v>
      </c>
      <c r="IH28" s="22">
        <v>2</v>
      </c>
      <c r="II28" s="22">
        <f t="shared" si="161"/>
        <v>3</v>
      </c>
      <c r="IJ28" s="22">
        <v>1</v>
      </c>
      <c r="IK28" s="22">
        <f t="shared" si="162"/>
        <v>1.125</v>
      </c>
      <c r="IL28" s="22">
        <v>2</v>
      </c>
      <c r="IM28" s="22">
        <f t="shared" si="163"/>
        <v>2</v>
      </c>
      <c r="IN28" s="22">
        <f t="shared" si="199"/>
        <v>6.125</v>
      </c>
      <c r="IO28" s="23">
        <f t="shared" si="165"/>
        <v>113.875</v>
      </c>
      <c r="IP28" s="24"/>
      <c r="IQ28" s="25">
        <v>7</v>
      </c>
      <c r="IR28" s="26">
        <v>2.5</v>
      </c>
      <c r="IS28" s="26">
        <v>2.8079999999999998</v>
      </c>
      <c r="IT28" s="26">
        <v>1.8080000000000001</v>
      </c>
      <c r="IU28" s="26">
        <v>1.5</v>
      </c>
      <c r="IV28" s="26">
        <v>1</v>
      </c>
      <c r="IW28" s="26">
        <v>1.125</v>
      </c>
      <c r="IX28" s="8"/>
    </row>
    <row r="29" spans="2:258" ht="15.75" thickBot="1" x14ac:dyDescent="0.3">
      <c r="B29" s="103">
        <f t="shared" si="25"/>
        <v>66</v>
      </c>
      <c r="C29" s="221">
        <v>12</v>
      </c>
      <c r="D29" s="98">
        <f t="shared" si="1"/>
        <v>0.34618181818181815</v>
      </c>
      <c r="E29" s="96">
        <f t="shared" si="2"/>
        <v>0.38945454545454544</v>
      </c>
      <c r="F29" s="96">
        <f t="shared" si="3"/>
        <v>0.43272727272727263</v>
      </c>
      <c r="G29" s="96">
        <f t="shared" si="4"/>
        <v>0.45436363636363636</v>
      </c>
      <c r="H29" s="96">
        <f t="shared" si="5"/>
        <v>0.46734545454545451</v>
      </c>
      <c r="I29" s="96">
        <f t="shared" si="6"/>
        <v>0.47599999999999998</v>
      </c>
      <c r="J29" s="96">
        <f t="shared" si="7"/>
        <v>0.48218181818181816</v>
      </c>
      <c r="K29" s="96">
        <f t="shared" si="8"/>
        <v>0.48681818181818187</v>
      </c>
      <c r="L29" s="96">
        <f t="shared" si="9"/>
        <v>0.48080808080808074</v>
      </c>
      <c r="M29" s="96">
        <f t="shared" si="10"/>
        <v>0.48465454545454545</v>
      </c>
      <c r="N29" s="96">
        <f t="shared" si="11"/>
        <v>0.487801652892562</v>
      </c>
      <c r="O29" s="96">
        <f t="shared" si="12"/>
        <v>0.48952272727272733</v>
      </c>
      <c r="P29" s="96">
        <f t="shared" si="13"/>
        <v>0.49181118881118885</v>
      </c>
      <c r="Q29" s="96">
        <f t="shared" si="14"/>
        <v>0.49377272727272725</v>
      </c>
      <c r="R29" s="96">
        <f t="shared" si="15"/>
        <v>0.49547272727272718</v>
      </c>
      <c r="S29" s="96">
        <f t="shared" si="16"/>
        <v>0.49696022727272721</v>
      </c>
      <c r="T29" s="96">
        <f t="shared" si="17"/>
        <v>0.49827272727272726</v>
      </c>
      <c r="U29" s="96">
        <f t="shared" si="18"/>
        <v>0.48982323232323233</v>
      </c>
      <c r="V29" s="96">
        <f t="shared" si="19"/>
        <v>0.49137320574162674</v>
      </c>
      <c r="W29" s="96">
        <f t="shared" si="20"/>
        <v>0.49276818181818177</v>
      </c>
      <c r="X29" s="96"/>
      <c r="Y29" s="65"/>
      <c r="AA29" s="83"/>
      <c r="AT29" s="4"/>
      <c r="AU29" s="14">
        <f t="shared" si="200"/>
        <v>48</v>
      </c>
      <c r="AV29" s="12" t="str">
        <f t="shared" si="166"/>
        <v>(1200)</v>
      </c>
      <c r="AW29" s="19">
        <f t="shared" si="201"/>
        <v>14</v>
      </c>
      <c r="AX29" s="20">
        <f t="shared" si="26"/>
        <v>1.036375</v>
      </c>
      <c r="AY29" s="21" t="str">
        <f t="shared" si="167"/>
        <v>(0.10)</v>
      </c>
      <c r="AZ29" s="22">
        <v>2</v>
      </c>
      <c r="BA29" s="22">
        <f t="shared" si="28"/>
        <v>3</v>
      </c>
      <c r="BB29" s="22">
        <v>0</v>
      </c>
      <c r="BC29" s="22">
        <f t="shared" si="29"/>
        <v>0</v>
      </c>
      <c r="BD29" s="22">
        <v>0</v>
      </c>
      <c r="BE29" s="22">
        <f t="shared" si="30"/>
        <v>0</v>
      </c>
      <c r="BF29" s="22">
        <f t="shared" si="168"/>
        <v>3</v>
      </c>
      <c r="BG29" s="23">
        <f t="shared" si="32"/>
        <v>6</v>
      </c>
      <c r="BH29" s="373">
        <f t="shared" si="33"/>
        <v>1.5545624999999998</v>
      </c>
      <c r="BI29" s="374" t="str">
        <f t="shared" si="169"/>
        <v>(0.14)</v>
      </c>
      <c r="BJ29" s="375">
        <v>2</v>
      </c>
      <c r="BK29" s="375">
        <f t="shared" si="35"/>
        <v>3</v>
      </c>
      <c r="BL29" s="375">
        <v>0</v>
      </c>
      <c r="BM29" s="375">
        <f t="shared" si="36"/>
        <v>0</v>
      </c>
      <c r="BN29" s="375">
        <v>0</v>
      </c>
      <c r="BO29" s="375">
        <f t="shared" si="37"/>
        <v>0</v>
      </c>
      <c r="BP29" s="375">
        <f t="shared" si="170"/>
        <v>3</v>
      </c>
      <c r="BQ29" s="376">
        <f t="shared" si="39"/>
        <v>9</v>
      </c>
      <c r="BR29" s="373">
        <f t="shared" si="40"/>
        <v>2.5909374999999999</v>
      </c>
      <c r="BS29" s="374" t="str">
        <f t="shared" si="41"/>
        <v>(0.24)</v>
      </c>
      <c r="BT29" s="375">
        <v>2</v>
      </c>
      <c r="BU29" s="375">
        <f t="shared" si="42"/>
        <v>3</v>
      </c>
      <c r="BV29" s="375">
        <v>0</v>
      </c>
      <c r="BW29" s="375">
        <f t="shared" si="43"/>
        <v>0</v>
      </c>
      <c r="BX29" s="375">
        <v>0</v>
      </c>
      <c r="BY29" s="375">
        <f t="shared" si="44"/>
        <v>0</v>
      </c>
      <c r="BZ29" s="375">
        <f t="shared" si="171"/>
        <v>3</v>
      </c>
      <c r="CA29" s="376">
        <f t="shared" si="46"/>
        <v>15</v>
      </c>
      <c r="CB29" s="373">
        <f t="shared" si="47"/>
        <v>3.6273124999999999</v>
      </c>
      <c r="CC29" s="374" t="str">
        <f t="shared" si="48"/>
        <v>(0.34)</v>
      </c>
      <c r="CD29" s="375">
        <v>2</v>
      </c>
      <c r="CE29" s="375">
        <f t="shared" si="49"/>
        <v>3</v>
      </c>
      <c r="CF29" s="375">
        <v>0</v>
      </c>
      <c r="CG29" s="375">
        <f t="shared" si="50"/>
        <v>0</v>
      </c>
      <c r="CH29" s="375">
        <v>0</v>
      </c>
      <c r="CI29" s="375">
        <f t="shared" si="51"/>
        <v>0</v>
      </c>
      <c r="CJ29" s="375">
        <f t="shared" si="172"/>
        <v>3</v>
      </c>
      <c r="CK29" s="376">
        <f t="shared" si="53"/>
        <v>21</v>
      </c>
      <c r="CL29" s="373">
        <f t="shared" si="54"/>
        <v>4.6636874999999991</v>
      </c>
      <c r="CM29" s="374" t="str">
        <f t="shared" si="55"/>
        <v>(0.43)</v>
      </c>
      <c r="CN29" s="375">
        <v>2</v>
      </c>
      <c r="CO29" s="375">
        <f t="shared" si="56"/>
        <v>3</v>
      </c>
      <c r="CP29" s="375">
        <v>0</v>
      </c>
      <c r="CQ29" s="375">
        <f t="shared" si="57"/>
        <v>0</v>
      </c>
      <c r="CR29" s="375">
        <v>0</v>
      </c>
      <c r="CS29" s="375">
        <f t="shared" si="58"/>
        <v>0</v>
      </c>
      <c r="CT29" s="375">
        <f t="shared" si="173"/>
        <v>3</v>
      </c>
      <c r="CU29" s="376">
        <f t="shared" si="60"/>
        <v>27</v>
      </c>
      <c r="CV29" s="373">
        <f t="shared" si="61"/>
        <v>5.7000624999999996</v>
      </c>
      <c r="CW29" s="374" t="str">
        <f t="shared" si="62"/>
        <v>(0.53)</v>
      </c>
      <c r="CX29" s="375">
        <v>2</v>
      </c>
      <c r="CY29" s="375">
        <f t="shared" si="63"/>
        <v>3</v>
      </c>
      <c r="CZ29" s="375">
        <v>0</v>
      </c>
      <c r="DA29" s="375">
        <f t="shared" si="64"/>
        <v>0</v>
      </c>
      <c r="DB29" s="375">
        <v>0</v>
      </c>
      <c r="DC29" s="375">
        <f t="shared" si="65"/>
        <v>0</v>
      </c>
      <c r="DD29" s="375">
        <f t="shared" si="174"/>
        <v>3</v>
      </c>
      <c r="DE29" s="376">
        <f t="shared" si="67"/>
        <v>33</v>
      </c>
      <c r="DF29" s="373">
        <f t="shared" si="68"/>
        <v>6.7364374999999992</v>
      </c>
      <c r="DG29" s="374" t="str">
        <f t="shared" si="69"/>
        <v>(0.63)</v>
      </c>
      <c r="DH29" s="375">
        <v>2</v>
      </c>
      <c r="DI29" s="375">
        <f t="shared" si="70"/>
        <v>3</v>
      </c>
      <c r="DJ29" s="375">
        <v>0</v>
      </c>
      <c r="DK29" s="375">
        <f t="shared" si="71"/>
        <v>0</v>
      </c>
      <c r="DL29" s="375">
        <v>0</v>
      </c>
      <c r="DM29" s="375">
        <f t="shared" si="72"/>
        <v>0</v>
      </c>
      <c r="DN29" s="375">
        <f t="shared" si="175"/>
        <v>3</v>
      </c>
      <c r="DO29" s="376">
        <f t="shared" si="74"/>
        <v>39</v>
      </c>
      <c r="DP29" s="377">
        <f t="shared" si="75"/>
        <v>7.7728124999999988</v>
      </c>
      <c r="DQ29" s="378" t="str">
        <f t="shared" si="76"/>
        <v>(0.72)</v>
      </c>
      <c r="DR29" s="375">
        <v>2</v>
      </c>
      <c r="DS29" s="375">
        <f t="shared" si="77"/>
        <v>3</v>
      </c>
      <c r="DT29" s="375">
        <v>0</v>
      </c>
      <c r="DU29" s="375">
        <f t="shared" si="78"/>
        <v>0</v>
      </c>
      <c r="DV29" s="375">
        <v>0</v>
      </c>
      <c r="DW29" s="375">
        <f t="shared" si="79"/>
        <v>0</v>
      </c>
      <c r="DX29" s="375">
        <f t="shared" si="176"/>
        <v>3</v>
      </c>
      <c r="DY29" s="376">
        <f t="shared" si="81"/>
        <v>45</v>
      </c>
      <c r="DZ29" s="373">
        <f t="shared" si="82"/>
        <v>8.6364583333333318</v>
      </c>
      <c r="EA29" s="374" t="str">
        <f t="shared" si="177"/>
        <v>(0.80)</v>
      </c>
      <c r="EB29" s="375">
        <v>2</v>
      </c>
      <c r="EC29" s="375">
        <f t="shared" si="84"/>
        <v>3</v>
      </c>
      <c r="ED29" s="375">
        <v>0</v>
      </c>
      <c r="EE29" s="375">
        <f t="shared" si="85"/>
        <v>0</v>
      </c>
      <c r="EF29" s="375">
        <v>1</v>
      </c>
      <c r="EG29" s="375">
        <f t="shared" si="86"/>
        <v>1</v>
      </c>
      <c r="EH29" s="375">
        <f t="shared" si="178"/>
        <v>4</v>
      </c>
      <c r="EI29" s="376">
        <f t="shared" si="88"/>
        <v>50</v>
      </c>
      <c r="EJ29" s="373">
        <f t="shared" si="89"/>
        <v>9.6728333333333332</v>
      </c>
      <c r="EK29" s="374" t="str">
        <f t="shared" si="179"/>
        <v>(0.90)</v>
      </c>
      <c r="EL29" s="375">
        <v>2</v>
      </c>
      <c r="EM29" s="375">
        <f t="shared" si="91"/>
        <v>3</v>
      </c>
      <c r="EN29" s="375">
        <v>0</v>
      </c>
      <c r="EO29" s="375">
        <f t="shared" si="92"/>
        <v>0</v>
      </c>
      <c r="EP29" s="375">
        <v>1</v>
      </c>
      <c r="EQ29" s="375">
        <f t="shared" si="93"/>
        <v>1</v>
      </c>
      <c r="ER29" s="375">
        <f t="shared" si="180"/>
        <v>4</v>
      </c>
      <c r="ES29" s="376">
        <f t="shared" si="95"/>
        <v>56</v>
      </c>
      <c r="ET29" s="373">
        <f t="shared" si="96"/>
        <v>10.709208333333331</v>
      </c>
      <c r="EU29" s="374" t="str">
        <f t="shared" si="181"/>
        <v>(0.99)</v>
      </c>
      <c r="EV29" s="375">
        <v>2</v>
      </c>
      <c r="EW29" s="375">
        <f t="shared" si="98"/>
        <v>3</v>
      </c>
      <c r="EX29" s="375">
        <v>0</v>
      </c>
      <c r="EY29" s="375">
        <f t="shared" si="99"/>
        <v>0</v>
      </c>
      <c r="EZ29" s="375">
        <v>1</v>
      </c>
      <c r="FA29" s="375">
        <f t="shared" si="100"/>
        <v>1</v>
      </c>
      <c r="FB29" s="375">
        <f t="shared" si="182"/>
        <v>4</v>
      </c>
      <c r="FC29" s="376">
        <f t="shared" si="102"/>
        <v>62</v>
      </c>
      <c r="FD29" s="373">
        <f t="shared" si="103"/>
        <v>11.723992187499999</v>
      </c>
      <c r="FE29" s="374" t="str">
        <f t="shared" si="183"/>
        <v>(1.09)</v>
      </c>
      <c r="FF29" s="375">
        <v>2</v>
      </c>
      <c r="FG29" s="375">
        <f t="shared" si="105"/>
        <v>3</v>
      </c>
      <c r="FH29" s="375">
        <v>1</v>
      </c>
      <c r="FI29" s="375">
        <f t="shared" si="106"/>
        <v>1.125</v>
      </c>
      <c r="FJ29" s="375">
        <v>0</v>
      </c>
      <c r="FK29" s="375">
        <f t="shared" si="107"/>
        <v>0</v>
      </c>
      <c r="FL29" s="375">
        <f t="shared" si="184"/>
        <v>4.125</v>
      </c>
      <c r="FM29" s="376">
        <f t="shared" si="109"/>
        <v>67.875</v>
      </c>
      <c r="FN29" s="373">
        <f t="shared" si="110"/>
        <v>12.7603671875</v>
      </c>
      <c r="FO29" s="374" t="str">
        <f t="shared" si="183"/>
        <v>(1.19)</v>
      </c>
      <c r="FP29" s="375">
        <v>2</v>
      </c>
      <c r="FQ29" s="375">
        <f t="shared" si="112"/>
        <v>3</v>
      </c>
      <c r="FR29" s="375">
        <v>1</v>
      </c>
      <c r="FS29" s="375">
        <f t="shared" si="113"/>
        <v>1.125</v>
      </c>
      <c r="FT29" s="375">
        <v>0</v>
      </c>
      <c r="FU29" s="375">
        <f t="shared" si="114"/>
        <v>0</v>
      </c>
      <c r="FV29" s="375">
        <f t="shared" si="185"/>
        <v>4.125</v>
      </c>
      <c r="FW29" s="376">
        <f t="shared" si="116"/>
        <v>73.875</v>
      </c>
      <c r="FX29" s="373">
        <f t="shared" si="117"/>
        <v>13.796742187499998</v>
      </c>
      <c r="FY29" s="374" t="str">
        <f t="shared" si="186"/>
        <v>(1.28)</v>
      </c>
      <c r="FZ29" s="375">
        <v>2</v>
      </c>
      <c r="GA29" s="375">
        <f t="shared" si="119"/>
        <v>3</v>
      </c>
      <c r="GB29" s="375">
        <v>1</v>
      </c>
      <c r="GC29" s="375">
        <f t="shared" si="120"/>
        <v>1.125</v>
      </c>
      <c r="GD29" s="375">
        <v>0</v>
      </c>
      <c r="GE29" s="375">
        <f t="shared" si="121"/>
        <v>0</v>
      </c>
      <c r="GF29" s="375">
        <f t="shared" si="187"/>
        <v>4.125</v>
      </c>
      <c r="GG29" s="376">
        <f t="shared" si="123"/>
        <v>79.875</v>
      </c>
      <c r="GH29" s="373">
        <f t="shared" si="124"/>
        <v>14.833117187499997</v>
      </c>
      <c r="GI29" s="374" t="str">
        <f t="shared" si="188"/>
        <v>(1.38)</v>
      </c>
      <c r="GJ29" s="375">
        <v>2</v>
      </c>
      <c r="GK29" s="375">
        <f t="shared" si="126"/>
        <v>3</v>
      </c>
      <c r="GL29" s="375">
        <v>1</v>
      </c>
      <c r="GM29" s="375">
        <f t="shared" si="127"/>
        <v>1.125</v>
      </c>
      <c r="GN29" s="375">
        <v>0</v>
      </c>
      <c r="GO29" s="375">
        <f t="shared" si="128"/>
        <v>0</v>
      </c>
      <c r="GP29" s="375">
        <f t="shared" si="189"/>
        <v>4.125</v>
      </c>
      <c r="GQ29" s="376">
        <f t="shared" si="130"/>
        <v>85.875</v>
      </c>
      <c r="GR29" s="373">
        <f t="shared" si="131"/>
        <v>15.869492187499999</v>
      </c>
      <c r="GS29" s="374" t="str">
        <f t="shared" si="190"/>
        <v>(1.47)</v>
      </c>
      <c r="GT29" s="375">
        <v>2</v>
      </c>
      <c r="GU29" s="375">
        <f t="shared" si="133"/>
        <v>3</v>
      </c>
      <c r="GV29" s="375">
        <v>1</v>
      </c>
      <c r="GW29" s="375">
        <f t="shared" si="134"/>
        <v>1.125</v>
      </c>
      <c r="GX29" s="375">
        <v>0</v>
      </c>
      <c r="GY29" s="375">
        <f t="shared" si="135"/>
        <v>0</v>
      </c>
      <c r="GZ29" s="375">
        <f t="shared" si="191"/>
        <v>4.125</v>
      </c>
      <c r="HA29" s="376">
        <f t="shared" si="137"/>
        <v>91.875</v>
      </c>
      <c r="HB29" s="373">
        <f t="shared" si="138"/>
        <v>16.905867187499997</v>
      </c>
      <c r="HC29" s="374" t="str">
        <f t="shared" si="192"/>
        <v>(1.57)</v>
      </c>
      <c r="HD29" s="375">
        <v>2</v>
      </c>
      <c r="HE29" s="375">
        <f t="shared" si="140"/>
        <v>3</v>
      </c>
      <c r="HF29" s="375">
        <v>1</v>
      </c>
      <c r="HG29" s="375">
        <f t="shared" si="141"/>
        <v>1.125</v>
      </c>
      <c r="HH29" s="375">
        <v>0</v>
      </c>
      <c r="HI29" s="375">
        <f t="shared" si="142"/>
        <v>0</v>
      </c>
      <c r="HJ29" s="375">
        <f t="shared" si="193"/>
        <v>4.125</v>
      </c>
      <c r="HK29" s="376">
        <f t="shared" si="144"/>
        <v>97.875</v>
      </c>
      <c r="HL29" s="373">
        <f t="shared" si="145"/>
        <v>17.596783854166667</v>
      </c>
      <c r="HM29" s="374" t="str">
        <f t="shared" si="194"/>
        <v>(1.63)</v>
      </c>
      <c r="HN29" s="375">
        <v>2</v>
      </c>
      <c r="HO29" s="375">
        <f t="shared" si="147"/>
        <v>3</v>
      </c>
      <c r="HP29" s="375">
        <v>1</v>
      </c>
      <c r="HQ29" s="375">
        <f t="shared" si="148"/>
        <v>1.125</v>
      </c>
      <c r="HR29" s="375">
        <v>2</v>
      </c>
      <c r="HS29" s="375">
        <f t="shared" si="149"/>
        <v>2</v>
      </c>
      <c r="HT29" s="375">
        <f t="shared" si="195"/>
        <v>6.125</v>
      </c>
      <c r="HU29" s="376">
        <f t="shared" si="151"/>
        <v>101.875</v>
      </c>
      <c r="HV29" s="373">
        <f t="shared" si="152"/>
        <v>18.633158854166666</v>
      </c>
      <c r="HW29" s="374" t="str">
        <f t="shared" si="196"/>
        <v>(1.73)</v>
      </c>
      <c r="HX29" s="375">
        <v>2</v>
      </c>
      <c r="HY29" s="375">
        <f t="shared" si="154"/>
        <v>3</v>
      </c>
      <c r="HZ29" s="375">
        <v>1</v>
      </c>
      <c r="IA29" s="375">
        <f t="shared" si="155"/>
        <v>1.125</v>
      </c>
      <c r="IB29" s="375">
        <v>2</v>
      </c>
      <c r="IC29" s="375">
        <f t="shared" si="156"/>
        <v>2</v>
      </c>
      <c r="ID29" s="375">
        <f t="shared" si="197"/>
        <v>6.125</v>
      </c>
      <c r="IE29" s="376">
        <f t="shared" si="158"/>
        <v>107.875</v>
      </c>
      <c r="IF29" s="373">
        <f t="shared" si="159"/>
        <v>19.669533854166662</v>
      </c>
      <c r="IG29" s="374" t="str">
        <f t="shared" si="198"/>
        <v>(1.83)</v>
      </c>
      <c r="IH29" s="22">
        <v>2</v>
      </c>
      <c r="II29" s="22">
        <f t="shared" si="161"/>
        <v>3</v>
      </c>
      <c r="IJ29" s="22">
        <v>1</v>
      </c>
      <c r="IK29" s="22">
        <f t="shared" si="162"/>
        <v>1.125</v>
      </c>
      <c r="IL29" s="22">
        <v>2</v>
      </c>
      <c r="IM29" s="22">
        <f t="shared" si="163"/>
        <v>2</v>
      </c>
      <c r="IN29" s="22">
        <f t="shared" si="199"/>
        <v>6.125</v>
      </c>
      <c r="IO29" s="23">
        <f t="shared" si="165"/>
        <v>113.875</v>
      </c>
      <c r="IP29" s="24"/>
      <c r="IQ29" s="25">
        <v>8</v>
      </c>
      <c r="IR29" s="26">
        <v>2.5</v>
      </c>
      <c r="IS29" s="26">
        <v>2.8079999999999998</v>
      </c>
      <c r="IT29" s="26">
        <v>2.7170000000000001</v>
      </c>
      <c r="IU29" s="26">
        <v>1.5</v>
      </c>
      <c r="IV29" s="26">
        <v>1</v>
      </c>
      <c r="IW29" s="26">
        <v>1.125</v>
      </c>
      <c r="IX29" s="8"/>
    </row>
    <row r="30" spans="2:258" ht="15.75" thickBot="1" x14ac:dyDescent="0.3">
      <c r="B30" s="103">
        <f t="shared" si="25"/>
        <v>72</v>
      </c>
      <c r="C30" s="226">
        <v>13</v>
      </c>
      <c r="D30" s="98">
        <f t="shared" si="1"/>
        <v>0.35188888888888886</v>
      </c>
      <c r="E30" s="96">
        <f t="shared" si="2"/>
        <v>0.39587499999999998</v>
      </c>
      <c r="F30" s="96">
        <f t="shared" si="3"/>
        <v>0.43986111111111109</v>
      </c>
      <c r="G30" s="96">
        <f t="shared" si="4"/>
        <v>0.46185416666666662</v>
      </c>
      <c r="H30" s="96">
        <f t="shared" si="5"/>
        <v>0.47505000000000003</v>
      </c>
      <c r="I30" s="96">
        <f t="shared" si="6"/>
        <v>0.48384722222222215</v>
      </c>
      <c r="J30" s="96">
        <f t="shared" si="7"/>
        <v>0.49013095238095239</v>
      </c>
      <c r="K30" s="96">
        <f t="shared" si="8"/>
        <v>0.49484374999999997</v>
      </c>
      <c r="L30" s="96">
        <f t="shared" si="9"/>
        <v>0.48873456790123454</v>
      </c>
      <c r="M30" s="96">
        <f t="shared" si="10"/>
        <v>0.49264444444444438</v>
      </c>
      <c r="N30" s="96">
        <f t="shared" si="11"/>
        <v>0.49584343434343436</v>
      </c>
      <c r="O30" s="96">
        <f t="shared" si="12"/>
        <v>0.4975928819444444</v>
      </c>
      <c r="P30" s="96">
        <f t="shared" si="13"/>
        <v>0.49991907051282042</v>
      </c>
      <c r="Q30" s="96">
        <f t="shared" si="14"/>
        <v>0.50191294642857132</v>
      </c>
      <c r="R30" s="96">
        <f t="shared" si="15"/>
        <v>0.50364097222222215</v>
      </c>
      <c r="S30" s="96">
        <f t="shared" si="16"/>
        <v>0.50515299479166664</v>
      </c>
      <c r="T30" s="96">
        <f t="shared" si="17"/>
        <v>0.50648713235294118</v>
      </c>
      <c r="U30" s="96">
        <f t="shared" si="18"/>
        <v>0.49789834104938274</v>
      </c>
      <c r="V30" s="96">
        <f t="shared" si="19"/>
        <v>0.49947386695906426</v>
      </c>
      <c r="W30" s="96">
        <f t="shared" si="20"/>
        <v>0.50089184027777778</v>
      </c>
      <c r="X30" s="96"/>
      <c r="Y30" s="65"/>
      <c r="AA30" s="83"/>
      <c r="AT30" s="4"/>
      <c r="AU30" s="14">
        <f t="shared" si="200"/>
        <v>54</v>
      </c>
      <c r="AV30" s="12" t="str">
        <f t="shared" si="166"/>
        <v>(1350)</v>
      </c>
      <c r="AW30" s="19">
        <f t="shared" si="201"/>
        <v>15</v>
      </c>
      <c r="AX30" s="20">
        <f t="shared" si="26"/>
        <v>1.1415833333333334</v>
      </c>
      <c r="AY30" s="21" t="str">
        <f t="shared" si="167"/>
        <v>(0.11)</v>
      </c>
      <c r="AZ30" s="22">
        <v>2</v>
      </c>
      <c r="BA30" s="22">
        <f t="shared" si="28"/>
        <v>3</v>
      </c>
      <c r="BB30" s="22">
        <v>0</v>
      </c>
      <c r="BC30" s="22">
        <f t="shared" si="29"/>
        <v>0</v>
      </c>
      <c r="BD30" s="22">
        <v>0</v>
      </c>
      <c r="BE30" s="22">
        <f t="shared" si="30"/>
        <v>0</v>
      </c>
      <c r="BF30" s="22">
        <f t="shared" si="168"/>
        <v>3</v>
      </c>
      <c r="BG30" s="23">
        <f t="shared" si="32"/>
        <v>6</v>
      </c>
      <c r="BH30" s="373">
        <f t="shared" si="33"/>
        <v>1.712375</v>
      </c>
      <c r="BI30" s="374" t="str">
        <f t="shared" si="169"/>
        <v>(0.16)</v>
      </c>
      <c r="BJ30" s="375">
        <v>2</v>
      </c>
      <c r="BK30" s="375">
        <f t="shared" si="35"/>
        <v>3</v>
      </c>
      <c r="BL30" s="375">
        <v>0</v>
      </c>
      <c r="BM30" s="375">
        <f t="shared" si="36"/>
        <v>0</v>
      </c>
      <c r="BN30" s="375">
        <v>0</v>
      </c>
      <c r="BO30" s="375">
        <f t="shared" si="37"/>
        <v>0</v>
      </c>
      <c r="BP30" s="375">
        <f t="shared" si="170"/>
        <v>3</v>
      </c>
      <c r="BQ30" s="376">
        <f t="shared" si="39"/>
        <v>9</v>
      </c>
      <c r="BR30" s="373">
        <f t="shared" si="40"/>
        <v>2.8539583333333329</v>
      </c>
      <c r="BS30" s="374" t="str">
        <f t="shared" si="41"/>
        <v>(0.27)</v>
      </c>
      <c r="BT30" s="375">
        <v>2</v>
      </c>
      <c r="BU30" s="375">
        <f t="shared" si="42"/>
        <v>3</v>
      </c>
      <c r="BV30" s="375">
        <v>0</v>
      </c>
      <c r="BW30" s="375">
        <f t="shared" si="43"/>
        <v>0</v>
      </c>
      <c r="BX30" s="375">
        <v>0</v>
      </c>
      <c r="BY30" s="375">
        <f t="shared" si="44"/>
        <v>0</v>
      </c>
      <c r="BZ30" s="375">
        <f t="shared" si="171"/>
        <v>3</v>
      </c>
      <c r="CA30" s="376">
        <f t="shared" si="46"/>
        <v>15</v>
      </c>
      <c r="CB30" s="373">
        <f t="shared" si="47"/>
        <v>3.9955416666666661</v>
      </c>
      <c r="CC30" s="374" t="str">
        <f t="shared" si="48"/>
        <v>(0.37)</v>
      </c>
      <c r="CD30" s="375">
        <v>2</v>
      </c>
      <c r="CE30" s="375">
        <f t="shared" si="49"/>
        <v>3</v>
      </c>
      <c r="CF30" s="375">
        <v>0</v>
      </c>
      <c r="CG30" s="375">
        <f t="shared" si="50"/>
        <v>0</v>
      </c>
      <c r="CH30" s="375">
        <v>0</v>
      </c>
      <c r="CI30" s="375">
        <f t="shared" si="51"/>
        <v>0</v>
      </c>
      <c r="CJ30" s="375">
        <f t="shared" si="172"/>
        <v>3</v>
      </c>
      <c r="CK30" s="376">
        <f t="shared" si="53"/>
        <v>21</v>
      </c>
      <c r="CL30" s="373">
        <f t="shared" si="54"/>
        <v>5.1371250000000002</v>
      </c>
      <c r="CM30" s="374" t="str">
        <f t="shared" si="55"/>
        <v>(0.48)</v>
      </c>
      <c r="CN30" s="375">
        <v>2</v>
      </c>
      <c r="CO30" s="375">
        <f t="shared" si="56"/>
        <v>3</v>
      </c>
      <c r="CP30" s="375">
        <v>0</v>
      </c>
      <c r="CQ30" s="375">
        <f t="shared" si="57"/>
        <v>0</v>
      </c>
      <c r="CR30" s="375">
        <v>0</v>
      </c>
      <c r="CS30" s="375">
        <f t="shared" si="58"/>
        <v>0</v>
      </c>
      <c r="CT30" s="375">
        <f t="shared" si="173"/>
        <v>3</v>
      </c>
      <c r="CU30" s="376">
        <f t="shared" si="60"/>
        <v>27</v>
      </c>
      <c r="CV30" s="373">
        <f t="shared" si="61"/>
        <v>6.2787083333333333</v>
      </c>
      <c r="CW30" s="374" t="str">
        <f t="shared" si="62"/>
        <v>(0.58)</v>
      </c>
      <c r="CX30" s="375">
        <v>2</v>
      </c>
      <c r="CY30" s="375">
        <f t="shared" si="63"/>
        <v>3</v>
      </c>
      <c r="CZ30" s="375">
        <v>0</v>
      </c>
      <c r="DA30" s="375">
        <f t="shared" si="64"/>
        <v>0</v>
      </c>
      <c r="DB30" s="375">
        <v>0</v>
      </c>
      <c r="DC30" s="375">
        <f t="shared" si="65"/>
        <v>0</v>
      </c>
      <c r="DD30" s="375">
        <f t="shared" si="174"/>
        <v>3</v>
      </c>
      <c r="DE30" s="376">
        <f t="shared" si="67"/>
        <v>33</v>
      </c>
      <c r="DF30" s="373">
        <f t="shared" si="68"/>
        <v>7.4202916666666665</v>
      </c>
      <c r="DG30" s="374" t="str">
        <f t="shared" si="69"/>
        <v>(0.69)</v>
      </c>
      <c r="DH30" s="375">
        <v>2</v>
      </c>
      <c r="DI30" s="375">
        <f t="shared" si="70"/>
        <v>3</v>
      </c>
      <c r="DJ30" s="375">
        <v>0</v>
      </c>
      <c r="DK30" s="375">
        <f t="shared" si="71"/>
        <v>0</v>
      </c>
      <c r="DL30" s="375">
        <v>0</v>
      </c>
      <c r="DM30" s="375">
        <f t="shared" si="72"/>
        <v>0</v>
      </c>
      <c r="DN30" s="375">
        <f t="shared" si="175"/>
        <v>3</v>
      </c>
      <c r="DO30" s="376">
        <f t="shared" si="74"/>
        <v>39</v>
      </c>
      <c r="DP30" s="373">
        <f t="shared" si="75"/>
        <v>8.5618750000000006</v>
      </c>
      <c r="DQ30" s="374" t="str">
        <f t="shared" si="76"/>
        <v>(0.8)</v>
      </c>
      <c r="DR30" s="375">
        <v>2</v>
      </c>
      <c r="DS30" s="375">
        <f t="shared" si="77"/>
        <v>3</v>
      </c>
      <c r="DT30" s="375">
        <v>0</v>
      </c>
      <c r="DU30" s="375">
        <f t="shared" si="78"/>
        <v>0</v>
      </c>
      <c r="DV30" s="375">
        <v>0</v>
      </c>
      <c r="DW30" s="375">
        <f t="shared" si="79"/>
        <v>0</v>
      </c>
      <c r="DX30" s="375">
        <f t="shared" si="176"/>
        <v>3</v>
      </c>
      <c r="DY30" s="376">
        <f t="shared" si="81"/>
        <v>45</v>
      </c>
      <c r="DZ30" s="373">
        <f t="shared" si="82"/>
        <v>9.5131944444444443</v>
      </c>
      <c r="EA30" s="374" t="str">
        <f t="shared" si="177"/>
        <v>(0.88)</v>
      </c>
      <c r="EB30" s="375">
        <v>2</v>
      </c>
      <c r="EC30" s="375">
        <f t="shared" si="84"/>
        <v>3</v>
      </c>
      <c r="ED30" s="375">
        <v>0</v>
      </c>
      <c r="EE30" s="375">
        <f t="shared" si="85"/>
        <v>0</v>
      </c>
      <c r="EF30" s="375">
        <v>1</v>
      </c>
      <c r="EG30" s="375">
        <f t="shared" si="86"/>
        <v>1</v>
      </c>
      <c r="EH30" s="375">
        <f t="shared" si="178"/>
        <v>4</v>
      </c>
      <c r="EI30" s="376">
        <f t="shared" si="88"/>
        <v>50</v>
      </c>
      <c r="EJ30" s="373">
        <f t="shared" si="89"/>
        <v>10.654777777777777</v>
      </c>
      <c r="EK30" s="374" t="str">
        <f t="shared" si="179"/>
        <v>(0.99)</v>
      </c>
      <c r="EL30" s="375">
        <v>2</v>
      </c>
      <c r="EM30" s="375">
        <f t="shared" si="91"/>
        <v>3</v>
      </c>
      <c r="EN30" s="375">
        <v>0</v>
      </c>
      <c r="EO30" s="375">
        <f t="shared" si="92"/>
        <v>0</v>
      </c>
      <c r="EP30" s="375">
        <v>1</v>
      </c>
      <c r="EQ30" s="375">
        <f t="shared" si="93"/>
        <v>1</v>
      </c>
      <c r="ER30" s="375">
        <f t="shared" si="180"/>
        <v>4</v>
      </c>
      <c r="ES30" s="376">
        <f t="shared" si="95"/>
        <v>56</v>
      </c>
      <c r="ET30" s="373">
        <f t="shared" si="96"/>
        <v>11.796361111111111</v>
      </c>
      <c r="EU30" s="374" t="str">
        <f t="shared" si="181"/>
        <v>(1.10)</v>
      </c>
      <c r="EV30" s="375">
        <v>2</v>
      </c>
      <c r="EW30" s="375">
        <f t="shared" si="98"/>
        <v>3</v>
      </c>
      <c r="EX30" s="375">
        <v>0</v>
      </c>
      <c r="EY30" s="375">
        <f t="shared" si="99"/>
        <v>0</v>
      </c>
      <c r="EZ30" s="375">
        <v>1</v>
      </c>
      <c r="FA30" s="375">
        <f t="shared" si="100"/>
        <v>1</v>
      </c>
      <c r="FB30" s="375">
        <f t="shared" si="182"/>
        <v>4</v>
      </c>
      <c r="FC30" s="376">
        <f t="shared" si="102"/>
        <v>62</v>
      </c>
      <c r="FD30" s="373">
        <f t="shared" si="103"/>
        <v>12.914161458333332</v>
      </c>
      <c r="FE30" s="374" t="str">
        <f t="shared" si="183"/>
        <v>(1.20)</v>
      </c>
      <c r="FF30" s="375">
        <v>2</v>
      </c>
      <c r="FG30" s="375">
        <f t="shared" si="105"/>
        <v>3</v>
      </c>
      <c r="FH30" s="375">
        <v>1</v>
      </c>
      <c r="FI30" s="375">
        <f t="shared" si="106"/>
        <v>1.125</v>
      </c>
      <c r="FJ30" s="375">
        <v>0</v>
      </c>
      <c r="FK30" s="375">
        <f t="shared" si="107"/>
        <v>0</v>
      </c>
      <c r="FL30" s="375">
        <f t="shared" si="184"/>
        <v>4.125</v>
      </c>
      <c r="FM30" s="376">
        <f t="shared" si="109"/>
        <v>67.875</v>
      </c>
      <c r="FN30" s="373">
        <f t="shared" si="110"/>
        <v>14.055744791666665</v>
      </c>
      <c r="FO30" s="374" t="str">
        <f t="shared" si="183"/>
        <v>(1.31)</v>
      </c>
      <c r="FP30" s="375">
        <v>2</v>
      </c>
      <c r="FQ30" s="375">
        <f t="shared" si="112"/>
        <v>3</v>
      </c>
      <c r="FR30" s="375">
        <v>1</v>
      </c>
      <c r="FS30" s="375">
        <f t="shared" si="113"/>
        <v>1.125</v>
      </c>
      <c r="FT30" s="375">
        <v>0</v>
      </c>
      <c r="FU30" s="375">
        <f t="shared" si="114"/>
        <v>0</v>
      </c>
      <c r="FV30" s="375">
        <f t="shared" si="185"/>
        <v>4.125</v>
      </c>
      <c r="FW30" s="376">
        <f t="shared" si="116"/>
        <v>73.875</v>
      </c>
      <c r="FX30" s="373">
        <f t="shared" si="117"/>
        <v>15.197328125</v>
      </c>
      <c r="FY30" s="374" t="str">
        <f t="shared" si="186"/>
        <v>(1.41)</v>
      </c>
      <c r="FZ30" s="375">
        <v>2</v>
      </c>
      <c r="GA30" s="375">
        <f t="shared" si="119"/>
        <v>3</v>
      </c>
      <c r="GB30" s="375">
        <v>1</v>
      </c>
      <c r="GC30" s="375">
        <f t="shared" si="120"/>
        <v>1.125</v>
      </c>
      <c r="GD30" s="375">
        <v>0</v>
      </c>
      <c r="GE30" s="375">
        <f t="shared" si="121"/>
        <v>0</v>
      </c>
      <c r="GF30" s="375">
        <f t="shared" si="187"/>
        <v>4.125</v>
      </c>
      <c r="GG30" s="376">
        <f t="shared" si="123"/>
        <v>79.875</v>
      </c>
      <c r="GH30" s="373">
        <f t="shared" si="124"/>
        <v>16.338911458333332</v>
      </c>
      <c r="GI30" s="374" t="str">
        <f t="shared" si="188"/>
        <v>(1.52)</v>
      </c>
      <c r="GJ30" s="375">
        <v>2</v>
      </c>
      <c r="GK30" s="375">
        <f t="shared" si="126"/>
        <v>3</v>
      </c>
      <c r="GL30" s="375">
        <v>1</v>
      </c>
      <c r="GM30" s="375">
        <f t="shared" si="127"/>
        <v>1.125</v>
      </c>
      <c r="GN30" s="375">
        <v>0</v>
      </c>
      <c r="GO30" s="375">
        <f t="shared" si="128"/>
        <v>0</v>
      </c>
      <c r="GP30" s="375">
        <f t="shared" si="189"/>
        <v>4.125</v>
      </c>
      <c r="GQ30" s="376">
        <f t="shared" si="130"/>
        <v>85.875</v>
      </c>
      <c r="GR30" s="373">
        <f t="shared" si="131"/>
        <v>17.480494791666665</v>
      </c>
      <c r="GS30" s="374" t="str">
        <f t="shared" si="190"/>
        <v>(1.62)</v>
      </c>
      <c r="GT30" s="375">
        <v>2</v>
      </c>
      <c r="GU30" s="375">
        <f t="shared" si="133"/>
        <v>3</v>
      </c>
      <c r="GV30" s="375">
        <v>1</v>
      </c>
      <c r="GW30" s="375">
        <f t="shared" si="134"/>
        <v>1.125</v>
      </c>
      <c r="GX30" s="375">
        <v>0</v>
      </c>
      <c r="GY30" s="375">
        <f t="shared" si="135"/>
        <v>0</v>
      </c>
      <c r="GZ30" s="375">
        <f t="shared" si="191"/>
        <v>4.125</v>
      </c>
      <c r="HA30" s="376">
        <f t="shared" si="137"/>
        <v>91.875</v>
      </c>
      <c r="HB30" s="373">
        <f t="shared" si="138"/>
        <v>18.622078124999998</v>
      </c>
      <c r="HC30" s="374" t="str">
        <f t="shared" si="192"/>
        <v>(1.73)</v>
      </c>
      <c r="HD30" s="375">
        <v>2</v>
      </c>
      <c r="HE30" s="375">
        <f t="shared" si="140"/>
        <v>3</v>
      </c>
      <c r="HF30" s="375">
        <v>1</v>
      </c>
      <c r="HG30" s="375">
        <f t="shared" si="141"/>
        <v>1.125</v>
      </c>
      <c r="HH30" s="375">
        <v>0</v>
      </c>
      <c r="HI30" s="375">
        <f t="shared" si="142"/>
        <v>0</v>
      </c>
      <c r="HJ30" s="375">
        <f t="shared" si="193"/>
        <v>4.125</v>
      </c>
      <c r="HK30" s="376">
        <f t="shared" si="144"/>
        <v>97.875</v>
      </c>
      <c r="HL30" s="373">
        <f t="shared" si="145"/>
        <v>19.383133680555556</v>
      </c>
      <c r="HM30" s="374" t="str">
        <f t="shared" si="194"/>
        <v>(1.80)</v>
      </c>
      <c r="HN30" s="375">
        <v>2</v>
      </c>
      <c r="HO30" s="375">
        <f t="shared" si="147"/>
        <v>3</v>
      </c>
      <c r="HP30" s="375">
        <v>1</v>
      </c>
      <c r="HQ30" s="375">
        <f t="shared" si="148"/>
        <v>1.125</v>
      </c>
      <c r="HR30" s="375">
        <v>2</v>
      </c>
      <c r="HS30" s="375">
        <f t="shared" si="149"/>
        <v>2</v>
      </c>
      <c r="HT30" s="375">
        <f t="shared" si="195"/>
        <v>6.125</v>
      </c>
      <c r="HU30" s="376">
        <f t="shared" si="151"/>
        <v>101.875</v>
      </c>
      <c r="HV30" s="373">
        <f t="shared" si="152"/>
        <v>20.524717013888889</v>
      </c>
      <c r="HW30" s="374" t="str">
        <f t="shared" si="196"/>
        <v>(1.91)</v>
      </c>
      <c r="HX30" s="375">
        <v>2</v>
      </c>
      <c r="HY30" s="375">
        <f t="shared" si="154"/>
        <v>3</v>
      </c>
      <c r="HZ30" s="375">
        <v>1</v>
      </c>
      <c r="IA30" s="375">
        <f t="shared" si="155"/>
        <v>1.125</v>
      </c>
      <c r="IB30" s="375">
        <v>2</v>
      </c>
      <c r="IC30" s="375">
        <f t="shared" si="156"/>
        <v>2</v>
      </c>
      <c r="ID30" s="375">
        <f t="shared" si="197"/>
        <v>6.125</v>
      </c>
      <c r="IE30" s="376">
        <f t="shared" si="158"/>
        <v>107.875</v>
      </c>
      <c r="IF30" s="373">
        <f t="shared" si="159"/>
        <v>21.666300347222222</v>
      </c>
      <c r="IG30" s="374" t="str">
        <f t="shared" si="198"/>
        <v>(2.01)</v>
      </c>
      <c r="IH30" s="22">
        <v>2</v>
      </c>
      <c r="II30" s="22">
        <f t="shared" si="161"/>
        <v>3</v>
      </c>
      <c r="IJ30" s="22">
        <v>1</v>
      </c>
      <c r="IK30" s="22">
        <f t="shared" si="162"/>
        <v>1.125</v>
      </c>
      <c r="IL30" s="22">
        <v>2</v>
      </c>
      <c r="IM30" s="22">
        <f t="shared" si="163"/>
        <v>2</v>
      </c>
      <c r="IN30" s="22">
        <f t="shared" si="199"/>
        <v>6.125</v>
      </c>
      <c r="IO30" s="23">
        <f t="shared" si="165"/>
        <v>113.875</v>
      </c>
      <c r="IP30" s="24"/>
      <c r="IQ30" s="25">
        <v>9</v>
      </c>
      <c r="IR30" s="26">
        <v>2.5</v>
      </c>
      <c r="IS30" s="26">
        <v>2.8079999999999998</v>
      </c>
      <c r="IT30" s="26">
        <v>2.4340000000000002</v>
      </c>
      <c r="IU30" s="26">
        <v>1.5</v>
      </c>
      <c r="IV30" s="26">
        <v>1</v>
      </c>
      <c r="IW30" s="26">
        <v>1.125</v>
      </c>
      <c r="IX30" s="8"/>
    </row>
    <row r="31" spans="2:258" ht="15.75" thickBot="1" x14ac:dyDescent="0.3">
      <c r="B31" s="103">
        <f t="shared" si="25"/>
        <v>78</v>
      </c>
      <c r="C31" s="221">
        <v>14</v>
      </c>
      <c r="D31" s="98">
        <f t="shared" si="1"/>
        <v>0.35658974358974355</v>
      </c>
      <c r="E31" s="96">
        <f t="shared" si="2"/>
        <v>0.4011634615384615</v>
      </c>
      <c r="F31" s="96">
        <f t="shared" si="3"/>
        <v>0.44573717948717945</v>
      </c>
      <c r="G31" s="96">
        <f t="shared" si="4"/>
        <v>0.46802403846153839</v>
      </c>
      <c r="H31" s="96">
        <f t="shared" si="5"/>
        <v>0.48139615384615375</v>
      </c>
      <c r="I31" s="96">
        <f t="shared" si="6"/>
        <v>0.49031089743589734</v>
      </c>
      <c r="J31" s="96">
        <f t="shared" si="7"/>
        <v>0.49667857142857141</v>
      </c>
      <c r="K31" s="96">
        <f t="shared" si="8"/>
        <v>0.5014543269230769</v>
      </c>
      <c r="L31" s="96">
        <f t="shared" si="9"/>
        <v>0.49526353276353269</v>
      </c>
      <c r="M31" s="96">
        <f t="shared" si="10"/>
        <v>0.49922564102564099</v>
      </c>
      <c r="N31" s="96">
        <f t="shared" si="11"/>
        <v>0.50246736596736585</v>
      </c>
      <c r="O31" s="96">
        <f t="shared" si="12"/>
        <v>0.50424018429487172</v>
      </c>
      <c r="P31" s="238"/>
      <c r="Q31" s="238"/>
      <c r="R31" s="238"/>
      <c r="S31" s="238"/>
      <c r="T31" s="238"/>
      <c r="U31" s="238"/>
      <c r="V31" s="238"/>
      <c r="W31" s="238"/>
      <c r="X31" s="96"/>
      <c r="Y31" s="65"/>
      <c r="AT31" s="4"/>
      <c r="AU31" s="27">
        <f t="shared" si="200"/>
        <v>60</v>
      </c>
      <c r="AV31" s="28" t="str">
        <f t="shared" si="166"/>
        <v>(1500)</v>
      </c>
      <c r="AW31" s="19">
        <f t="shared" si="201"/>
        <v>16</v>
      </c>
      <c r="AX31" s="20">
        <f t="shared" si="26"/>
        <v>1.2778333333333332</v>
      </c>
      <c r="AY31" s="29" t="str">
        <f>"("&amp;FIXED(AX31*0.092903,2)&amp;")"</f>
        <v>(0.12)</v>
      </c>
      <c r="AZ31" s="22">
        <v>2</v>
      </c>
      <c r="BA31" s="22">
        <f t="shared" si="28"/>
        <v>3</v>
      </c>
      <c r="BB31" s="30">
        <v>0</v>
      </c>
      <c r="BC31" s="22">
        <f t="shared" si="29"/>
        <v>0</v>
      </c>
      <c r="BD31" s="30">
        <v>0</v>
      </c>
      <c r="BE31" s="22">
        <f t="shared" si="30"/>
        <v>0</v>
      </c>
      <c r="BF31" s="22">
        <f t="shared" si="168"/>
        <v>3</v>
      </c>
      <c r="BG31" s="23">
        <f t="shared" si="32"/>
        <v>6</v>
      </c>
      <c r="BH31" s="373">
        <f t="shared" si="33"/>
        <v>1.91675</v>
      </c>
      <c r="BI31" s="374" t="str">
        <f>"("&amp;FIXED(BH31*0.092903,2)&amp;")"</f>
        <v>(0.18)</v>
      </c>
      <c r="BJ31" s="375">
        <v>2</v>
      </c>
      <c r="BK31" s="375">
        <f t="shared" si="35"/>
        <v>3</v>
      </c>
      <c r="BL31" s="375">
        <v>0</v>
      </c>
      <c r="BM31" s="375">
        <f t="shared" si="36"/>
        <v>0</v>
      </c>
      <c r="BN31" s="375">
        <v>0</v>
      </c>
      <c r="BO31" s="375">
        <f t="shared" si="37"/>
        <v>0</v>
      </c>
      <c r="BP31" s="375">
        <f t="shared" si="170"/>
        <v>3</v>
      </c>
      <c r="BQ31" s="376">
        <f t="shared" si="39"/>
        <v>9</v>
      </c>
      <c r="BR31" s="373">
        <f t="shared" si="40"/>
        <v>3.1945833333333331</v>
      </c>
      <c r="BS31" s="374" t="str">
        <f t="shared" si="41"/>
        <v>(0.3)</v>
      </c>
      <c r="BT31" s="375">
        <v>2</v>
      </c>
      <c r="BU31" s="375">
        <f t="shared" si="42"/>
        <v>3</v>
      </c>
      <c r="BV31" s="375">
        <v>0</v>
      </c>
      <c r="BW31" s="375">
        <f t="shared" si="43"/>
        <v>0</v>
      </c>
      <c r="BX31" s="375">
        <v>0</v>
      </c>
      <c r="BY31" s="375">
        <f t="shared" si="44"/>
        <v>0</v>
      </c>
      <c r="BZ31" s="375">
        <f t="shared" si="171"/>
        <v>3</v>
      </c>
      <c r="CA31" s="376">
        <f t="shared" si="46"/>
        <v>15</v>
      </c>
      <c r="CB31" s="373">
        <f t="shared" si="47"/>
        <v>4.4724166666666667</v>
      </c>
      <c r="CC31" s="374" t="str">
        <f t="shared" si="48"/>
        <v>(0.42)</v>
      </c>
      <c r="CD31" s="375">
        <v>2</v>
      </c>
      <c r="CE31" s="375">
        <f t="shared" si="49"/>
        <v>3</v>
      </c>
      <c r="CF31" s="375">
        <v>0</v>
      </c>
      <c r="CG31" s="375">
        <f t="shared" si="50"/>
        <v>0</v>
      </c>
      <c r="CH31" s="375">
        <v>0</v>
      </c>
      <c r="CI31" s="375">
        <f t="shared" si="51"/>
        <v>0</v>
      </c>
      <c r="CJ31" s="375">
        <f t="shared" si="172"/>
        <v>3</v>
      </c>
      <c r="CK31" s="376">
        <f t="shared" si="53"/>
        <v>21</v>
      </c>
      <c r="CL31" s="373">
        <f t="shared" si="54"/>
        <v>5.7502499999999994</v>
      </c>
      <c r="CM31" s="374" t="str">
        <f t="shared" si="55"/>
        <v>(0.53)</v>
      </c>
      <c r="CN31" s="375">
        <v>2</v>
      </c>
      <c r="CO31" s="375">
        <f t="shared" si="56"/>
        <v>3</v>
      </c>
      <c r="CP31" s="375">
        <v>0</v>
      </c>
      <c r="CQ31" s="375">
        <f t="shared" si="57"/>
        <v>0</v>
      </c>
      <c r="CR31" s="375">
        <v>0</v>
      </c>
      <c r="CS31" s="375">
        <f t="shared" si="58"/>
        <v>0</v>
      </c>
      <c r="CT31" s="375">
        <f t="shared" si="173"/>
        <v>3</v>
      </c>
      <c r="CU31" s="376">
        <f t="shared" si="60"/>
        <v>27</v>
      </c>
      <c r="CV31" s="373">
        <f t="shared" si="61"/>
        <v>7.028083333333333</v>
      </c>
      <c r="CW31" s="374" t="str">
        <f t="shared" si="62"/>
        <v>(0.65)</v>
      </c>
      <c r="CX31" s="375">
        <v>2</v>
      </c>
      <c r="CY31" s="375">
        <f t="shared" si="63"/>
        <v>3</v>
      </c>
      <c r="CZ31" s="375">
        <v>0</v>
      </c>
      <c r="DA31" s="375">
        <f t="shared" si="64"/>
        <v>0</v>
      </c>
      <c r="DB31" s="375">
        <v>0</v>
      </c>
      <c r="DC31" s="375">
        <f t="shared" si="65"/>
        <v>0</v>
      </c>
      <c r="DD31" s="375">
        <f t="shared" si="174"/>
        <v>3</v>
      </c>
      <c r="DE31" s="376">
        <f t="shared" si="67"/>
        <v>33</v>
      </c>
      <c r="DF31" s="373">
        <f t="shared" si="68"/>
        <v>8.3059166666666666</v>
      </c>
      <c r="DG31" s="374" t="str">
        <f t="shared" si="69"/>
        <v>(0.77)</v>
      </c>
      <c r="DH31" s="375">
        <v>2</v>
      </c>
      <c r="DI31" s="375">
        <f t="shared" si="70"/>
        <v>3</v>
      </c>
      <c r="DJ31" s="375">
        <v>0</v>
      </c>
      <c r="DK31" s="375">
        <f t="shared" si="71"/>
        <v>0</v>
      </c>
      <c r="DL31" s="375">
        <v>0</v>
      </c>
      <c r="DM31" s="375">
        <f t="shared" si="72"/>
        <v>0</v>
      </c>
      <c r="DN31" s="375">
        <f t="shared" si="175"/>
        <v>3</v>
      </c>
      <c r="DO31" s="376">
        <f t="shared" si="74"/>
        <v>39</v>
      </c>
      <c r="DP31" s="373">
        <f t="shared" si="75"/>
        <v>9.5837500000000002</v>
      </c>
      <c r="DQ31" s="374" t="str">
        <f t="shared" si="76"/>
        <v>(0.89)</v>
      </c>
      <c r="DR31" s="375">
        <v>2</v>
      </c>
      <c r="DS31" s="375">
        <f t="shared" si="77"/>
        <v>3</v>
      </c>
      <c r="DT31" s="375">
        <v>0</v>
      </c>
      <c r="DU31" s="375">
        <f t="shared" si="78"/>
        <v>0</v>
      </c>
      <c r="DV31" s="375">
        <v>0</v>
      </c>
      <c r="DW31" s="375">
        <f t="shared" si="79"/>
        <v>0</v>
      </c>
      <c r="DX31" s="375">
        <f t="shared" si="176"/>
        <v>3</v>
      </c>
      <c r="DY31" s="376">
        <f t="shared" si="81"/>
        <v>45</v>
      </c>
      <c r="DZ31" s="373">
        <f t="shared" si="82"/>
        <v>10.64861111111111</v>
      </c>
      <c r="EA31" s="374" t="str">
        <f>"("&amp;FIXED(DZ31*0.092903,2)&amp;")"</f>
        <v>(0.99)</v>
      </c>
      <c r="EB31" s="375">
        <v>2</v>
      </c>
      <c r="EC31" s="375">
        <f t="shared" si="84"/>
        <v>3</v>
      </c>
      <c r="ED31" s="375">
        <v>0</v>
      </c>
      <c r="EE31" s="375">
        <f t="shared" si="85"/>
        <v>0</v>
      </c>
      <c r="EF31" s="375">
        <v>1</v>
      </c>
      <c r="EG31" s="375">
        <f t="shared" si="86"/>
        <v>1</v>
      </c>
      <c r="EH31" s="375">
        <f t="shared" si="178"/>
        <v>4</v>
      </c>
      <c r="EI31" s="376">
        <f t="shared" si="88"/>
        <v>50</v>
      </c>
      <c r="EJ31" s="373">
        <f t="shared" si="89"/>
        <v>11.926444444444444</v>
      </c>
      <c r="EK31" s="374" t="str">
        <f>"("&amp;FIXED(EJ31*0.092903,2)&amp;")"</f>
        <v>(1.11)</v>
      </c>
      <c r="EL31" s="375">
        <v>2</v>
      </c>
      <c r="EM31" s="375">
        <f t="shared" si="91"/>
        <v>3</v>
      </c>
      <c r="EN31" s="375">
        <v>0</v>
      </c>
      <c r="EO31" s="375">
        <f t="shared" si="92"/>
        <v>0</v>
      </c>
      <c r="EP31" s="375">
        <v>1</v>
      </c>
      <c r="EQ31" s="375">
        <f t="shared" si="93"/>
        <v>1</v>
      </c>
      <c r="ER31" s="375">
        <f t="shared" si="180"/>
        <v>4</v>
      </c>
      <c r="ES31" s="376">
        <f t="shared" si="95"/>
        <v>56</v>
      </c>
      <c r="ET31" s="373">
        <f t="shared" si="96"/>
        <v>13.204277777777778</v>
      </c>
      <c r="EU31" s="374" t="str">
        <f>"("&amp;FIXED(ET31*0.092903,2)&amp;")"</f>
        <v>(1.23)</v>
      </c>
      <c r="EV31" s="375">
        <v>2</v>
      </c>
      <c r="EW31" s="375">
        <f t="shared" si="98"/>
        <v>3</v>
      </c>
      <c r="EX31" s="375">
        <v>0</v>
      </c>
      <c r="EY31" s="375">
        <f t="shared" si="99"/>
        <v>0</v>
      </c>
      <c r="EZ31" s="375">
        <v>1</v>
      </c>
      <c r="FA31" s="375">
        <f t="shared" si="100"/>
        <v>1</v>
      </c>
      <c r="FB31" s="375">
        <f t="shared" si="182"/>
        <v>4</v>
      </c>
      <c r="FC31" s="376">
        <f t="shared" si="102"/>
        <v>62</v>
      </c>
      <c r="FD31" s="373">
        <f t="shared" si="103"/>
        <v>14.455489583333332</v>
      </c>
      <c r="FE31" s="374" t="str">
        <f>"("&amp;FIXED(FD31*0.092903,2)&amp;")"</f>
        <v>(1.34)</v>
      </c>
      <c r="FF31" s="375">
        <v>2</v>
      </c>
      <c r="FG31" s="375">
        <f t="shared" si="105"/>
        <v>3</v>
      </c>
      <c r="FH31" s="375">
        <v>1</v>
      </c>
      <c r="FI31" s="375">
        <f t="shared" si="106"/>
        <v>1.125</v>
      </c>
      <c r="FJ31" s="375">
        <v>0</v>
      </c>
      <c r="FK31" s="375">
        <f t="shared" si="107"/>
        <v>0</v>
      </c>
      <c r="FL31" s="375">
        <f t="shared" si="184"/>
        <v>4.125</v>
      </c>
      <c r="FM31" s="376">
        <f t="shared" si="109"/>
        <v>67.875</v>
      </c>
      <c r="FN31" s="373">
        <f t="shared" si="110"/>
        <v>15.733322916666667</v>
      </c>
      <c r="FO31" s="374" t="str">
        <f>"("&amp;FIXED(FN31*0.092903,2)&amp;")"</f>
        <v>(1.46)</v>
      </c>
      <c r="FP31" s="375">
        <v>2</v>
      </c>
      <c r="FQ31" s="375">
        <f t="shared" si="112"/>
        <v>3</v>
      </c>
      <c r="FR31" s="375">
        <v>1</v>
      </c>
      <c r="FS31" s="375">
        <f t="shared" si="113"/>
        <v>1.125</v>
      </c>
      <c r="FT31" s="375">
        <v>0</v>
      </c>
      <c r="FU31" s="375">
        <f t="shared" si="114"/>
        <v>0</v>
      </c>
      <c r="FV31" s="375">
        <f t="shared" si="185"/>
        <v>4.125</v>
      </c>
      <c r="FW31" s="376">
        <f t="shared" si="116"/>
        <v>73.875</v>
      </c>
      <c r="FX31" s="373">
        <f t="shared" si="117"/>
        <v>17.011156249999999</v>
      </c>
      <c r="FY31" s="374" t="str">
        <f>"("&amp;FIXED(FX31*0.092903,2)&amp;")"</f>
        <v>(1.58)</v>
      </c>
      <c r="FZ31" s="375">
        <v>2</v>
      </c>
      <c r="GA31" s="375">
        <f t="shared" si="119"/>
        <v>3</v>
      </c>
      <c r="GB31" s="375">
        <v>1</v>
      </c>
      <c r="GC31" s="375">
        <f t="shared" si="120"/>
        <v>1.125</v>
      </c>
      <c r="GD31" s="375">
        <v>0</v>
      </c>
      <c r="GE31" s="375">
        <f t="shared" si="121"/>
        <v>0</v>
      </c>
      <c r="GF31" s="375">
        <f t="shared" si="187"/>
        <v>4.125</v>
      </c>
      <c r="GG31" s="376">
        <f t="shared" si="123"/>
        <v>79.875</v>
      </c>
      <c r="GH31" s="373">
        <f t="shared" si="124"/>
        <v>18.288989583333333</v>
      </c>
      <c r="GI31" s="374" t="str">
        <f>"("&amp;FIXED(GH31*0.092903,2)&amp;")"</f>
        <v>(1.70)</v>
      </c>
      <c r="GJ31" s="375">
        <v>2</v>
      </c>
      <c r="GK31" s="375">
        <f t="shared" si="126"/>
        <v>3</v>
      </c>
      <c r="GL31" s="375">
        <v>1</v>
      </c>
      <c r="GM31" s="375">
        <f t="shared" si="127"/>
        <v>1.125</v>
      </c>
      <c r="GN31" s="375">
        <v>0</v>
      </c>
      <c r="GO31" s="375">
        <f t="shared" si="128"/>
        <v>0</v>
      </c>
      <c r="GP31" s="375">
        <f t="shared" si="189"/>
        <v>4.125</v>
      </c>
      <c r="GQ31" s="376">
        <f t="shared" si="130"/>
        <v>85.875</v>
      </c>
      <c r="GR31" s="373">
        <f t="shared" si="131"/>
        <v>19.566822916666666</v>
      </c>
      <c r="GS31" s="374" t="str">
        <f>"("&amp;FIXED(GR31*0.092903,2)&amp;")"</f>
        <v>(1.82)</v>
      </c>
      <c r="GT31" s="375">
        <v>2</v>
      </c>
      <c r="GU31" s="375">
        <f t="shared" si="133"/>
        <v>3</v>
      </c>
      <c r="GV31" s="375">
        <v>1</v>
      </c>
      <c r="GW31" s="375">
        <f t="shared" si="134"/>
        <v>1.125</v>
      </c>
      <c r="GX31" s="375">
        <v>0</v>
      </c>
      <c r="GY31" s="375">
        <f t="shared" si="135"/>
        <v>0</v>
      </c>
      <c r="GZ31" s="375">
        <f t="shared" si="191"/>
        <v>4.125</v>
      </c>
      <c r="HA31" s="376">
        <f t="shared" si="137"/>
        <v>91.875</v>
      </c>
      <c r="HB31" s="373">
        <f t="shared" si="138"/>
        <v>20.84465625</v>
      </c>
      <c r="HC31" s="374" t="str">
        <f>"("&amp;FIXED(HB31*0.092903,2)&amp;")"</f>
        <v>(1.94)</v>
      </c>
      <c r="HD31" s="375">
        <v>2</v>
      </c>
      <c r="HE31" s="375">
        <f t="shared" si="140"/>
        <v>3</v>
      </c>
      <c r="HF31" s="375">
        <v>1</v>
      </c>
      <c r="HG31" s="375">
        <f t="shared" si="141"/>
        <v>1.125</v>
      </c>
      <c r="HH31" s="375">
        <v>0</v>
      </c>
      <c r="HI31" s="375">
        <f t="shared" si="142"/>
        <v>0</v>
      </c>
      <c r="HJ31" s="375">
        <f t="shared" si="193"/>
        <v>4.125</v>
      </c>
      <c r="HK31" s="376">
        <f t="shared" si="144"/>
        <v>97.875</v>
      </c>
      <c r="HL31" s="373">
        <f t="shared" si="145"/>
        <v>21.696545138888887</v>
      </c>
      <c r="HM31" s="374" t="str">
        <f>"("&amp;FIXED(HL31*0.092903,2)&amp;")"</f>
        <v>(2.02)</v>
      </c>
      <c r="HN31" s="375">
        <v>2</v>
      </c>
      <c r="HO31" s="375">
        <f t="shared" si="147"/>
        <v>3</v>
      </c>
      <c r="HP31" s="375">
        <v>1</v>
      </c>
      <c r="HQ31" s="375">
        <f t="shared" si="148"/>
        <v>1.125</v>
      </c>
      <c r="HR31" s="375">
        <v>2</v>
      </c>
      <c r="HS31" s="375">
        <f t="shared" si="149"/>
        <v>2</v>
      </c>
      <c r="HT31" s="375">
        <f t="shared" si="195"/>
        <v>6.125</v>
      </c>
      <c r="HU31" s="376">
        <f t="shared" si="151"/>
        <v>101.875</v>
      </c>
      <c r="HV31" s="373">
        <f t="shared" si="152"/>
        <v>22.974378472222224</v>
      </c>
      <c r="HW31" s="374" t="str">
        <f>"("&amp;FIXED(HV31*0.092903,2)&amp;")"</f>
        <v>(2.13)</v>
      </c>
      <c r="HX31" s="375">
        <v>2</v>
      </c>
      <c r="HY31" s="375">
        <f t="shared" si="154"/>
        <v>3</v>
      </c>
      <c r="HZ31" s="375">
        <v>1</v>
      </c>
      <c r="IA31" s="375">
        <f t="shared" si="155"/>
        <v>1.125</v>
      </c>
      <c r="IB31" s="375">
        <v>2</v>
      </c>
      <c r="IC31" s="375">
        <f t="shared" si="156"/>
        <v>2</v>
      </c>
      <c r="ID31" s="375">
        <f t="shared" si="197"/>
        <v>6.125</v>
      </c>
      <c r="IE31" s="376">
        <f t="shared" si="158"/>
        <v>107.875</v>
      </c>
      <c r="IF31" s="373">
        <f t="shared" si="159"/>
        <v>24.252211805555554</v>
      </c>
      <c r="IG31" s="374" t="str">
        <f>"("&amp;FIXED(IF31*0.092903,2)&amp;")"</f>
        <v>(2.25)</v>
      </c>
      <c r="IH31" s="22">
        <v>2</v>
      </c>
      <c r="II31" s="22">
        <f t="shared" si="161"/>
        <v>3</v>
      </c>
      <c r="IJ31" s="30">
        <v>1</v>
      </c>
      <c r="IK31" s="22">
        <f t="shared" si="162"/>
        <v>1.125</v>
      </c>
      <c r="IL31" s="22">
        <v>2</v>
      </c>
      <c r="IM31" s="22">
        <f t="shared" si="163"/>
        <v>2</v>
      </c>
      <c r="IN31" s="22">
        <f t="shared" si="199"/>
        <v>6.125</v>
      </c>
      <c r="IO31" s="23">
        <f t="shared" si="165"/>
        <v>113.875</v>
      </c>
      <c r="IP31" s="24"/>
      <c r="IQ31" s="25">
        <v>11</v>
      </c>
      <c r="IR31" s="26">
        <v>2.5</v>
      </c>
      <c r="IS31" s="26">
        <v>2.8079999999999998</v>
      </c>
      <c r="IT31" s="26">
        <v>8.7999999999999995E-2</v>
      </c>
      <c r="IU31" s="26">
        <v>1.5</v>
      </c>
      <c r="IV31" s="26">
        <v>1</v>
      </c>
      <c r="IW31" s="26">
        <v>1.125</v>
      </c>
      <c r="IX31" s="8"/>
    </row>
    <row r="32" spans="2:258" ht="15.75" thickBot="1" x14ac:dyDescent="0.3">
      <c r="B32" s="103">
        <f t="shared" si="25"/>
        <v>84</v>
      </c>
      <c r="C32" s="226">
        <v>15</v>
      </c>
      <c r="D32" s="98">
        <f t="shared" si="1"/>
        <v>0.35115873015873017</v>
      </c>
      <c r="E32" s="96">
        <f t="shared" si="2"/>
        <v>0.39505357142857139</v>
      </c>
      <c r="F32" s="96">
        <f t="shared" si="3"/>
        <v>0.43894841269841267</v>
      </c>
      <c r="G32" s="96">
        <f t="shared" si="4"/>
        <v>0.46089583333333328</v>
      </c>
      <c r="H32" s="96">
        <f t="shared" si="5"/>
        <v>0.4740642857142856</v>
      </c>
      <c r="I32" s="96">
        <f t="shared" si="6"/>
        <v>0.48284325396825395</v>
      </c>
      <c r="J32" s="96">
        <f t="shared" si="7"/>
        <v>0.48911394557823129</v>
      </c>
      <c r="K32" s="96">
        <f t="shared" si="8"/>
        <v>0.4938169642857142</v>
      </c>
      <c r="L32" s="96">
        <f t="shared" si="9"/>
        <v>0.48772045855379181</v>
      </c>
      <c r="M32" s="96">
        <f t="shared" si="10"/>
        <v>0.49162222222222218</v>
      </c>
      <c r="N32" s="96">
        <f t="shared" si="11"/>
        <v>0.49481457431457426</v>
      </c>
      <c r="O32" s="96">
        <f t="shared" si="12"/>
        <v>0.49656039186507933</v>
      </c>
      <c r="P32" s="238"/>
      <c r="Q32" s="238"/>
      <c r="R32" s="238"/>
      <c r="S32" s="238"/>
      <c r="T32" s="238"/>
      <c r="U32" s="238"/>
      <c r="V32" s="238"/>
      <c r="W32" s="238"/>
      <c r="X32" s="96"/>
      <c r="Y32" s="65"/>
      <c r="AT32" s="4"/>
      <c r="AU32" s="14">
        <f t="shared" si="200"/>
        <v>66</v>
      </c>
      <c r="AV32" s="12" t="str">
        <f t="shared" si="166"/>
        <v>(1700)</v>
      </c>
      <c r="AW32" s="19">
        <f t="shared" si="201"/>
        <v>17</v>
      </c>
      <c r="AX32" s="20">
        <f t="shared" si="26"/>
        <v>1.4279999999999999</v>
      </c>
      <c r="AY32" s="21" t="str">
        <f t="shared" ref="AY32:AY40" si="202">"("&amp;FIXED(AX32*0.092903,2)&amp;")"</f>
        <v>(0.13)</v>
      </c>
      <c r="AZ32" s="22">
        <v>2</v>
      </c>
      <c r="BA32" s="22">
        <f t="shared" si="28"/>
        <v>3</v>
      </c>
      <c r="BB32" s="22">
        <v>0</v>
      </c>
      <c r="BC32" s="22">
        <f t="shared" si="29"/>
        <v>0</v>
      </c>
      <c r="BD32" s="22">
        <v>0</v>
      </c>
      <c r="BE32" s="22">
        <f t="shared" si="30"/>
        <v>0</v>
      </c>
      <c r="BF32" s="22">
        <f t="shared" si="168"/>
        <v>3</v>
      </c>
      <c r="BG32" s="23">
        <f t="shared" si="32"/>
        <v>6</v>
      </c>
      <c r="BH32" s="373">
        <f t="shared" si="33"/>
        <v>2.1419999999999999</v>
      </c>
      <c r="BI32" s="374" t="str">
        <f t="shared" si="169"/>
        <v>(0.20)</v>
      </c>
      <c r="BJ32" s="375">
        <v>2</v>
      </c>
      <c r="BK32" s="375">
        <f t="shared" si="35"/>
        <v>3</v>
      </c>
      <c r="BL32" s="375">
        <v>0</v>
      </c>
      <c r="BM32" s="375">
        <f t="shared" si="36"/>
        <v>0</v>
      </c>
      <c r="BN32" s="375">
        <v>0</v>
      </c>
      <c r="BO32" s="375">
        <f t="shared" si="37"/>
        <v>0</v>
      </c>
      <c r="BP32" s="375">
        <f t="shared" si="170"/>
        <v>3</v>
      </c>
      <c r="BQ32" s="376">
        <f t="shared" si="39"/>
        <v>9</v>
      </c>
      <c r="BR32" s="373">
        <f t="shared" si="40"/>
        <v>3.5699999999999994</v>
      </c>
      <c r="BS32" s="374" t="str">
        <f t="shared" si="41"/>
        <v>(0.33)</v>
      </c>
      <c r="BT32" s="375">
        <v>2</v>
      </c>
      <c r="BU32" s="375">
        <f t="shared" si="42"/>
        <v>3</v>
      </c>
      <c r="BV32" s="375">
        <v>0</v>
      </c>
      <c r="BW32" s="375">
        <f t="shared" si="43"/>
        <v>0</v>
      </c>
      <c r="BX32" s="375">
        <v>0</v>
      </c>
      <c r="BY32" s="375">
        <f t="shared" si="44"/>
        <v>0</v>
      </c>
      <c r="BZ32" s="375">
        <f t="shared" si="171"/>
        <v>3</v>
      </c>
      <c r="CA32" s="376">
        <f t="shared" si="46"/>
        <v>15</v>
      </c>
      <c r="CB32" s="373">
        <f t="shared" si="47"/>
        <v>4.9980000000000002</v>
      </c>
      <c r="CC32" s="374" t="str">
        <f t="shared" si="48"/>
        <v>(0.46)</v>
      </c>
      <c r="CD32" s="375">
        <v>2</v>
      </c>
      <c r="CE32" s="375">
        <f t="shared" si="49"/>
        <v>3</v>
      </c>
      <c r="CF32" s="375">
        <v>0</v>
      </c>
      <c r="CG32" s="375">
        <f t="shared" si="50"/>
        <v>0</v>
      </c>
      <c r="CH32" s="375">
        <v>0</v>
      </c>
      <c r="CI32" s="375">
        <f t="shared" si="51"/>
        <v>0</v>
      </c>
      <c r="CJ32" s="375">
        <f t="shared" si="172"/>
        <v>3</v>
      </c>
      <c r="CK32" s="376">
        <f t="shared" si="53"/>
        <v>21</v>
      </c>
      <c r="CL32" s="373">
        <f t="shared" si="54"/>
        <v>6.4259999999999993</v>
      </c>
      <c r="CM32" s="374" t="str">
        <f t="shared" si="55"/>
        <v>(0.6)</v>
      </c>
      <c r="CN32" s="375">
        <v>2</v>
      </c>
      <c r="CO32" s="375">
        <f t="shared" si="56"/>
        <v>3</v>
      </c>
      <c r="CP32" s="375">
        <v>0</v>
      </c>
      <c r="CQ32" s="375">
        <f t="shared" si="57"/>
        <v>0</v>
      </c>
      <c r="CR32" s="375">
        <v>0</v>
      </c>
      <c r="CS32" s="375">
        <f t="shared" si="58"/>
        <v>0</v>
      </c>
      <c r="CT32" s="375">
        <f t="shared" si="173"/>
        <v>3</v>
      </c>
      <c r="CU32" s="376">
        <f t="shared" si="60"/>
        <v>27</v>
      </c>
      <c r="CV32" s="373">
        <f t="shared" si="61"/>
        <v>7.8539999999999992</v>
      </c>
      <c r="CW32" s="374" t="str">
        <f t="shared" si="62"/>
        <v>(0.73)</v>
      </c>
      <c r="CX32" s="375">
        <v>2</v>
      </c>
      <c r="CY32" s="375">
        <f t="shared" si="63"/>
        <v>3</v>
      </c>
      <c r="CZ32" s="375">
        <v>0</v>
      </c>
      <c r="DA32" s="375">
        <f t="shared" si="64"/>
        <v>0</v>
      </c>
      <c r="DB32" s="375">
        <v>0</v>
      </c>
      <c r="DC32" s="375">
        <f t="shared" si="65"/>
        <v>0</v>
      </c>
      <c r="DD32" s="375">
        <f t="shared" si="174"/>
        <v>3</v>
      </c>
      <c r="DE32" s="376">
        <f t="shared" si="67"/>
        <v>33</v>
      </c>
      <c r="DF32" s="373">
        <f t="shared" si="68"/>
        <v>9.282</v>
      </c>
      <c r="DG32" s="374" t="str">
        <f t="shared" si="69"/>
        <v>(0.86)</v>
      </c>
      <c r="DH32" s="375">
        <v>2</v>
      </c>
      <c r="DI32" s="375">
        <f t="shared" si="70"/>
        <v>3</v>
      </c>
      <c r="DJ32" s="375">
        <v>0</v>
      </c>
      <c r="DK32" s="375">
        <f t="shared" si="71"/>
        <v>0</v>
      </c>
      <c r="DL32" s="375">
        <v>0</v>
      </c>
      <c r="DM32" s="375">
        <f t="shared" si="72"/>
        <v>0</v>
      </c>
      <c r="DN32" s="375">
        <f t="shared" si="175"/>
        <v>3</v>
      </c>
      <c r="DO32" s="376">
        <f t="shared" si="74"/>
        <v>39</v>
      </c>
      <c r="DP32" s="373">
        <f t="shared" si="75"/>
        <v>10.71</v>
      </c>
      <c r="DQ32" s="374" t="str">
        <f t="shared" si="76"/>
        <v>(0.99)</v>
      </c>
      <c r="DR32" s="375">
        <v>2</v>
      </c>
      <c r="DS32" s="375">
        <f t="shared" si="77"/>
        <v>3</v>
      </c>
      <c r="DT32" s="375">
        <v>0</v>
      </c>
      <c r="DU32" s="375">
        <f t="shared" si="78"/>
        <v>0</v>
      </c>
      <c r="DV32" s="375">
        <v>0</v>
      </c>
      <c r="DW32" s="375">
        <f t="shared" si="79"/>
        <v>0</v>
      </c>
      <c r="DX32" s="375">
        <f t="shared" si="176"/>
        <v>3</v>
      </c>
      <c r="DY32" s="376">
        <f t="shared" si="81"/>
        <v>45</v>
      </c>
      <c r="DZ32" s="373">
        <f t="shared" si="82"/>
        <v>11.899999999999999</v>
      </c>
      <c r="EA32" s="374" t="str">
        <f t="shared" si="177"/>
        <v>(1.11)</v>
      </c>
      <c r="EB32" s="375">
        <v>2</v>
      </c>
      <c r="EC32" s="375">
        <f t="shared" si="84"/>
        <v>3</v>
      </c>
      <c r="ED32" s="375">
        <v>0</v>
      </c>
      <c r="EE32" s="375">
        <f t="shared" si="85"/>
        <v>0</v>
      </c>
      <c r="EF32" s="375">
        <v>1</v>
      </c>
      <c r="EG32" s="375">
        <f t="shared" si="86"/>
        <v>1</v>
      </c>
      <c r="EH32" s="375">
        <f t="shared" si="178"/>
        <v>4</v>
      </c>
      <c r="EI32" s="376">
        <f t="shared" si="88"/>
        <v>50</v>
      </c>
      <c r="EJ32" s="373">
        <f t="shared" si="89"/>
        <v>13.327999999999999</v>
      </c>
      <c r="EK32" s="374" t="str">
        <f t="shared" ref="EK32:EK40" si="203">"("&amp;FIXED(EJ32*0.092903,2)&amp;")"</f>
        <v>(1.24)</v>
      </c>
      <c r="EL32" s="375">
        <v>2</v>
      </c>
      <c r="EM32" s="375">
        <f t="shared" si="91"/>
        <v>3</v>
      </c>
      <c r="EN32" s="375">
        <v>0</v>
      </c>
      <c r="EO32" s="375">
        <f t="shared" si="92"/>
        <v>0</v>
      </c>
      <c r="EP32" s="375">
        <v>1</v>
      </c>
      <c r="EQ32" s="375">
        <f t="shared" si="93"/>
        <v>1</v>
      </c>
      <c r="ER32" s="375">
        <f t="shared" si="180"/>
        <v>4</v>
      </c>
      <c r="ES32" s="376">
        <f t="shared" si="95"/>
        <v>56</v>
      </c>
      <c r="ET32" s="373">
        <f t="shared" si="96"/>
        <v>14.756</v>
      </c>
      <c r="EU32" s="374" t="str">
        <f t="shared" ref="EU32:EU40" si="204">"("&amp;FIXED(ET32*0.092903,2)&amp;")"</f>
        <v>(1.37)</v>
      </c>
      <c r="EV32" s="375">
        <v>2</v>
      </c>
      <c r="EW32" s="375">
        <f t="shared" si="98"/>
        <v>3</v>
      </c>
      <c r="EX32" s="375">
        <v>0</v>
      </c>
      <c r="EY32" s="375">
        <f t="shared" si="99"/>
        <v>0</v>
      </c>
      <c r="EZ32" s="375">
        <v>1</v>
      </c>
      <c r="FA32" s="375">
        <f t="shared" si="100"/>
        <v>1</v>
      </c>
      <c r="FB32" s="375">
        <f t="shared" si="182"/>
        <v>4</v>
      </c>
      <c r="FC32" s="376">
        <f t="shared" si="102"/>
        <v>62</v>
      </c>
      <c r="FD32" s="373">
        <f t="shared" si="103"/>
        <v>16.154250000000001</v>
      </c>
      <c r="FE32" s="374" t="str">
        <f t="shared" si="183"/>
        <v>(1.50)</v>
      </c>
      <c r="FF32" s="375">
        <v>2</v>
      </c>
      <c r="FG32" s="375">
        <f t="shared" si="105"/>
        <v>3</v>
      </c>
      <c r="FH32" s="375">
        <v>1</v>
      </c>
      <c r="FI32" s="375">
        <f t="shared" si="106"/>
        <v>1.125</v>
      </c>
      <c r="FJ32" s="375">
        <v>0</v>
      </c>
      <c r="FK32" s="375">
        <f t="shared" si="107"/>
        <v>0</v>
      </c>
      <c r="FL32" s="375">
        <f t="shared" si="184"/>
        <v>4.125</v>
      </c>
      <c r="FM32" s="376">
        <f t="shared" si="109"/>
        <v>67.875</v>
      </c>
      <c r="FN32" s="373">
        <f t="shared" si="110"/>
        <v>17.582250000000002</v>
      </c>
      <c r="FO32" s="374" t="str">
        <f t="shared" si="183"/>
        <v>(1.63)</v>
      </c>
      <c r="FP32" s="375">
        <v>2</v>
      </c>
      <c r="FQ32" s="375">
        <f t="shared" si="112"/>
        <v>3</v>
      </c>
      <c r="FR32" s="375">
        <v>1</v>
      </c>
      <c r="FS32" s="375">
        <f t="shared" si="113"/>
        <v>1.125</v>
      </c>
      <c r="FT32" s="375">
        <v>0</v>
      </c>
      <c r="FU32" s="375">
        <f t="shared" si="114"/>
        <v>0</v>
      </c>
      <c r="FV32" s="375">
        <f t="shared" si="185"/>
        <v>4.125</v>
      </c>
      <c r="FW32" s="376">
        <f t="shared" si="116"/>
        <v>73.875</v>
      </c>
      <c r="FX32" s="373">
        <f t="shared" si="117"/>
        <v>19.010249999999999</v>
      </c>
      <c r="FY32" s="374" t="str">
        <f t="shared" ref="FY32:FY33" si="205">"("&amp;FIXED(FX32*0.092903,2)&amp;")"</f>
        <v>(1.77)</v>
      </c>
      <c r="FZ32" s="375">
        <v>2</v>
      </c>
      <c r="GA32" s="375">
        <f t="shared" si="119"/>
        <v>3</v>
      </c>
      <c r="GB32" s="375">
        <v>1</v>
      </c>
      <c r="GC32" s="375">
        <f t="shared" si="120"/>
        <v>1.125</v>
      </c>
      <c r="GD32" s="375">
        <v>0</v>
      </c>
      <c r="GE32" s="375">
        <f t="shared" si="121"/>
        <v>0</v>
      </c>
      <c r="GF32" s="375">
        <f t="shared" si="187"/>
        <v>4.125</v>
      </c>
      <c r="GG32" s="376">
        <f t="shared" si="123"/>
        <v>79.875</v>
      </c>
      <c r="GH32" s="373">
        <f t="shared" si="124"/>
        <v>20.438249999999996</v>
      </c>
      <c r="GI32" s="374" t="str">
        <f t="shared" ref="GI32:GI33" si="206">"("&amp;FIXED(GH32*0.092903,2)&amp;")"</f>
        <v>(1.90)</v>
      </c>
      <c r="GJ32" s="375">
        <v>2</v>
      </c>
      <c r="GK32" s="375">
        <f t="shared" si="126"/>
        <v>3</v>
      </c>
      <c r="GL32" s="375">
        <v>1</v>
      </c>
      <c r="GM32" s="375">
        <f t="shared" si="127"/>
        <v>1.125</v>
      </c>
      <c r="GN32" s="375">
        <v>0</v>
      </c>
      <c r="GO32" s="375">
        <f t="shared" si="128"/>
        <v>0</v>
      </c>
      <c r="GP32" s="375">
        <f t="shared" si="189"/>
        <v>4.125</v>
      </c>
      <c r="GQ32" s="376">
        <f t="shared" si="130"/>
        <v>85.875</v>
      </c>
      <c r="GR32" s="373">
        <f t="shared" si="131"/>
        <v>21.866249999999997</v>
      </c>
      <c r="GS32" s="374" t="str">
        <f t="shared" ref="GS32:GS33" si="207">"("&amp;FIXED(GR32*0.092903,2)&amp;")"</f>
        <v>(2.03)</v>
      </c>
      <c r="GT32" s="375">
        <v>2</v>
      </c>
      <c r="GU32" s="375">
        <f t="shared" si="133"/>
        <v>3</v>
      </c>
      <c r="GV32" s="375">
        <v>1</v>
      </c>
      <c r="GW32" s="375">
        <f t="shared" si="134"/>
        <v>1.125</v>
      </c>
      <c r="GX32" s="375">
        <v>0</v>
      </c>
      <c r="GY32" s="375">
        <f t="shared" si="135"/>
        <v>0</v>
      </c>
      <c r="GZ32" s="375">
        <f t="shared" si="191"/>
        <v>4.125</v>
      </c>
      <c r="HA32" s="376">
        <f t="shared" si="137"/>
        <v>91.875</v>
      </c>
      <c r="HB32" s="373">
        <f t="shared" si="138"/>
        <v>23.294249999999998</v>
      </c>
      <c r="HC32" s="374" t="str">
        <f t="shared" ref="HC32:HC33" si="208">"("&amp;FIXED(HB32*0.092903,2)&amp;")"</f>
        <v>(2.16)</v>
      </c>
      <c r="HD32" s="375">
        <v>2</v>
      </c>
      <c r="HE32" s="375">
        <f t="shared" si="140"/>
        <v>3</v>
      </c>
      <c r="HF32" s="375">
        <v>1</v>
      </c>
      <c r="HG32" s="375">
        <f t="shared" si="141"/>
        <v>1.125</v>
      </c>
      <c r="HH32" s="375">
        <v>0</v>
      </c>
      <c r="HI32" s="375">
        <f t="shared" si="142"/>
        <v>0</v>
      </c>
      <c r="HJ32" s="375">
        <f t="shared" si="193"/>
        <v>4.125</v>
      </c>
      <c r="HK32" s="376">
        <f t="shared" si="144"/>
        <v>97.875</v>
      </c>
      <c r="HL32" s="373">
        <f t="shared" si="145"/>
        <v>24.24625</v>
      </c>
      <c r="HM32" s="374" t="str">
        <f t="shared" si="194"/>
        <v>(2.25)</v>
      </c>
      <c r="HN32" s="375">
        <v>2</v>
      </c>
      <c r="HO32" s="375">
        <f t="shared" si="147"/>
        <v>3</v>
      </c>
      <c r="HP32" s="375">
        <v>1</v>
      </c>
      <c r="HQ32" s="375">
        <f t="shared" si="148"/>
        <v>1.125</v>
      </c>
      <c r="HR32" s="375">
        <v>2</v>
      </c>
      <c r="HS32" s="375">
        <f t="shared" si="149"/>
        <v>2</v>
      </c>
      <c r="HT32" s="375">
        <f t="shared" si="195"/>
        <v>6.125</v>
      </c>
      <c r="HU32" s="376">
        <f t="shared" si="151"/>
        <v>101.875</v>
      </c>
      <c r="HV32" s="373">
        <f t="shared" si="152"/>
        <v>25.674249999999997</v>
      </c>
      <c r="HW32" s="374" t="str">
        <f t="shared" ref="HW32:HW33" si="209">"("&amp;FIXED(HV32*0.092903,2)&amp;")"</f>
        <v>(2.39)</v>
      </c>
      <c r="HX32" s="375">
        <v>2</v>
      </c>
      <c r="HY32" s="375">
        <f t="shared" si="154"/>
        <v>3</v>
      </c>
      <c r="HZ32" s="375">
        <v>1</v>
      </c>
      <c r="IA32" s="375">
        <f t="shared" si="155"/>
        <v>1.125</v>
      </c>
      <c r="IB32" s="375">
        <v>2</v>
      </c>
      <c r="IC32" s="375">
        <f t="shared" si="156"/>
        <v>2</v>
      </c>
      <c r="ID32" s="375">
        <f t="shared" si="197"/>
        <v>6.125</v>
      </c>
      <c r="IE32" s="376">
        <f t="shared" si="158"/>
        <v>107.875</v>
      </c>
      <c r="IF32" s="373">
        <f t="shared" si="159"/>
        <v>27.102249999999998</v>
      </c>
      <c r="IG32" s="374" t="str">
        <f t="shared" ref="IG32:IG33" si="210">"("&amp;FIXED(IF32*0.092903,2)&amp;")"</f>
        <v>(2.52)</v>
      </c>
      <c r="IH32" s="22">
        <v>2</v>
      </c>
      <c r="II32" s="22">
        <f t="shared" si="161"/>
        <v>3</v>
      </c>
      <c r="IJ32" s="22">
        <v>1</v>
      </c>
      <c r="IK32" s="22">
        <f t="shared" si="162"/>
        <v>1.125</v>
      </c>
      <c r="IL32" s="22">
        <v>2</v>
      </c>
      <c r="IM32" s="22">
        <f t="shared" si="163"/>
        <v>2</v>
      </c>
      <c r="IN32" s="22">
        <f t="shared" si="199"/>
        <v>6.125</v>
      </c>
      <c r="IO32" s="23">
        <f t="shared" si="165"/>
        <v>113.875</v>
      </c>
      <c r="IP32" s="24"/>
      <c r="IQ32" s="25">
        <v>12</v>
      </c>
      <c r="IR32" s="26">
        <v>2.5</v>
      </c>
      <c r="IS32" s="26">
        <v>2.8079999999999998</v>
      </c>
      <c r="IT32" s="26">
        <v>0.88400000000000001</v>
      </c>
      <c r="IU32" s="26">
        <v>1.5</v>
      </c>
      <c r="IV32" s="26">
        <v>1</v>
      </c>
      <c r="IW32" s="26">
        <v>1.125</v>
      </c>
      <c r="IX32" s="8"/>
    </row>
    <row r="33" spans="2:258" ht="15.75" thickBot="1" x14ac:dyDescent="0.3">
      <c r="B33" s="103">
        <f t="shared" si="25"/>
        <v>90</v>
      </c>
      <c r="C33" s="221">
        <v>16</v>
      </c>
      <c r="D33" s="98">
        <f t="shared" si="1"/>
        <v>0.35197037037037038</v>
      </c>
      <c r="E33" s="96">
        <f t="shared" si="2"/>
        <v>0.39596666666666663</v>
      </c>
      <c r="F33" s="96">
        <f t="shared" si="3"/>
        <v>0.43996296296296294</v>
      </c>
      <c r="G33" s="96">
        <f t="shared" si="4"/>
        <v>0.4619611111111111</v>
      </c>
      <c r="H33" s="96">
        <f t="shared" si="5"/>
        <v>0.47516000000000003</v>
      </c>
      <c r="I33" s="96">
        <f t="shared" si="6"/>
        <v>0.48395925925925926</v>
      </c>
      <c r="J33" s="96">
        <f t="shared" si="7"/>
        <v>0.49024444444444448</v>
      </c>
      <c r="K33" s="96">
        <f t="shared" si="8"/>
        <v>0.49495833333333328</v>
      </c>
      <c r="L33" s="96">
        <f t="shared" si="9"/>
        <v>0.4888477366255144</v>
      </c>
      <c r="M33" s="96">
        <f t="shared" si="10"/>
        <v>0.49275851851851843</v>
      </c>
      <c r="N33" s="96">
        <f t="shared" si="11"/>
        <v>0.49595824915824915</v>
      </c>
      <c r="O33" s="96">
        <f t="shared" si="12"/>
        <v>0.49770810185185183</v>
      </c>
      <c r="P33" s="238"/>
      <c r="Q33" s="238"/>
      <c r="R33" s="238"/>
      <c r="S33" s="238"/>
      <c r="T33" s="238"/>
      <c r="U33" s="238"/>
      <c r="V33" s="238"/>
      <c r="W33" s="238"/>
      <c r="X33" s="96"/>
      <c r="Y33" s="65"/>
      <c r="AT33" s="4"/>
      <c r="AU33" s="14">
        <f t="shared" si="200"/>
        <v>72</v>
      </c>
      <c r="AV33" s="12" t="str">
        <f t="shared" si="166"/>
        <v>(1850)</v>
      </c>
      <c r="AW33" s="19">
        <f t="shared" si="201"/>
        <v>18</v>
      </c>
      <c r="AX33" s="20">
        <f t="shared" si="26"/>
        <v>1.5834999999999999</v>
      </c>
      <c r="AY33" s="21" t="str">
        <f t="shared" si="202"/>
        <v>(0.15)</v>
      </c>
      <c r="AZ33" s="22">
        <v>2</v>
      </c>
      <c r="BA33" s="22">
        <f t="shared" si="28"/>
        <v>3</v>
      </c>
      <c r="BB33" s="22">
        <v>0</v>
      </c>
      <c r="BC33" s="22">
        <f t="shared" si="29"/>
        <v>0</v>
      </c>
      <c r="BD33" s="22">
        <v>0</v>
      </c>
      <c r="BE33" s="22">
        <f t="shared" si="30"/>
        <v>0</v>
      </c>
      <c r="BF33" s="22">
        <f t="shared" si="168"/>
        <v>3</v>
      </c>
      <c r="BG33" s="23">
        <f t="shared" si="32"/>
        <v>6</v>
      </c>
      <c r="BH33" s="373">
        <f t="shared" si="33"/>
        <v>2.3752499999999999</v>
      </c>
      <c r="BI33" s="374" t="str">
        <f t="shared" si="169"/>
        <v>(0.22)</v>
      </c>
      <c r="BJ33" s="375">
        <v>2</v>
      </c>
      <c r="BK33" s="375">
        <f t="shared" si="35"/>
        <v>3</v>
      </c>
      <c r="BL33" s="375">
        <v>0</v>
      </c>
      <c r="BM33" s="375">
        <f t="shared" si="36"/>
        <v>0</v>
      </c>
      <c r="BN33" s="375">
        <v>0</v>
      </c>
      <c r="BO33" s="375">
        <f t="shared" si="37"/>
        <v>0</v>
      </c>
      <c r="BP33" s="375">
        <f t="shared" si="170"/>
        <v>3</v>
      </c>
      <c r="BQ33" s="376">
        <f t="shared" si="39"/>
        <v>9</v>
      </c>
      <c r="BR33" s="373">
        <f t="shared" si="40"/>
        <v>3.9587499999999998</v>
      </c>
      <c r="BS33" s="374" t="str">
        <f t="shared" si="41"/>
        <v>(0.37)</v>
      </c>
      <c r="BT33" s="375">
        <v>2</v>
      </c>
      <c r="BU33" s="375">
        <f t="shared" si="42"/>
        <v>3</v>
      </c>
      <c r="BV33" s="375">
        <v>0</v>
      </c>
      <c r="BW33" s="375">
        <f t="shared" si="43"/>
        <v>0</v>
      </c>
      <c r="BX33" s="375">
        <v>0</v>
      </c>
      <c r="BY33" s="375">
        <f t="shared" si="44"/>
        <v>0</v>
      </c>
      <c r="BZ33" s="375">
        <f t="shared" si="171"/>
        <v>3</v>
      </c>
      <c r="CA33" s="376">
        <f t="shared" si="46"/>
        <v>15</v>
      </c>
      <c r="CB33" s="373">
        <f t="shared" si="47"/>
        <v>5.5422499999999992</v>
      </c>
      <c r="CC33" s="374" t="str">
        <f t="shared" si="48"/>
        <v>(0.51)</v>
      </c>
      <c r="CD33" s="375">
        <v>2</v>
      </c>
      <c r="CE33" s="375">
        <f t="shared" si="49"/>
        <v>3</v>
      </c>
      <c r="CF33" s="375">
        <v>0</v>
      </c>
      <c r="CG33" s="375">
        <f t="shared" si="50"/>
        <v>0</v>
      </c>
      <c r="CH33" s="375">
        <v>0</v>
      </c>
      <c r="CI33" s="375">
        <f t="shared" si="51"/>
        <v>0</v>
      </c>
      <c r="CJ33" s="375">
        <f t="shared" si="172"/>
        <v>3</v>
      </c>
      <c r="CK33" s="376">
        <f t="shared" si="53"/>
        <v>21</v>
      </c>
      <c r="CL33" s="373">
        <f t="shared" si="54"/>
        <v>7.12575</v>
      </c>
      <c r="CM33" s="374" t="str">
        <f t="shared" si="55"/>
        <v>(0.66)</v>
      </c>
      <c r="CN33" s="375">
        <v>2</v>
      </c>
      <c r="CO33" s="375">
        <f t="shared" si="56"/>
        <v>3</v>
      </c>
      <c r="CP33" s="375">
        <v>0</v>
      </c>
      <c r="CQ33" s="375">
        <f t="shared" si="57"/>
        <v>0</v>
      </c>
      <c r="CR33" s="375">
        <v>0</v>
      </c>
      <c r="CS33" s="375">
        <f t="shared" si="58"/>
        <v>0</v>
      </c>
      <c r="CT33" s="375">
        <f t="shared" si="173"/>
        <v>3</v>
      </c>
      <c r="CU33" s="376">
        <f t="shared" si="60"/>
        <v>27</v>
      </c>
      <c r="CV33" s="373">
        <f t="shared" si="61"/>
        <v>8.709249999999999</v>
      </c>
      <c r="CW33" s="374" t="str">
        <f t="shared" si="62"/>
        <v>(0.81)</v>
      </c>
      <c r="CX33" s="375">
        <v>2</v>
      </c>
      <c r="CY33" s="375">
        <f t="shared" si="63"/>
        <v>3</v>
      </c>
      <c r="CZ33" s="375">
        <v>0</v>
      </c>
      <c r="DA33" s="375">
        <f t="shared" si="64"/>
        <v>0</v>
      </c>
      <c r="DB33" s="375">
        <v>0</v>
      </c>
      <c r="DC33" s="375">
        <f t="shared" si="65"/>
        <v>0</v>
      </c>
      <c r="DD33" s="375">
        <f t="shared" si="174"/>
        <v>3</v>
      </c>
      <c r="DE33" s="376">
        <f t="shared" si="67"/>
        <v>33</v>
      </c>
      <c r="DF33" s="373">
        <f t="shared" si="68"/>
        <v>10.29275</v>
      </c>
      <c r="DG33" s="374" t="str">
        <f t="shared" si="69"/>
        <v>(0.96)</v>
      </c>
      <c r="DH33" s="375">
        <v>2</v>
      </c>
      <c r="DI33" s="375">
        <f t="shared" si="70"/>
        <v>3</v>
      </c>
      <c r="DJ33" s="375">
        <v>0</v>
      </c>
      <c r="DK33" s="375">
        <f t="shared" si="71"/>
        <v>0</v>
      </c>
      <c r="DL33" s="375">
        <v>0</v>
      </c>
      <c r="DM33" s="375">
        <f t="shared" si="72"/>
        <v>0</v>
      </c>
      <c r="DN33" s="375">
        <f t="shared" si="175"/>
        <v>3</v>
      </c>
      <c r="DO33" s="376">
        <f t="shared" si="74"/>
        <v>39</v>
      </c>
      <c r="DP33" s="373">
        <f t="shared" si="75"/>
        <v>11.876249999999999</v>
      </c>
      <c r="DQ33" s="374" t="str">
        <f t="shared" si="76"/>
        <v>(1.1)</v>
      </c>
      <c r="DR33" s="375">
        <v>2</v>
      </c>
      <c r="DS33" s="375">
        <f t="shared" si="77"/>
        <v>3</v>
      </c>
      <c r="DT33" s="375">
        <v>0</v>
      </c>
      <c r="DU33" s="375">
        <f t="shared" si="78"/>
        <v>0</v>
      </c>
      <c r="DV33" s="375">
        <v>0</v>
      </c>
      <c r="DW33" s="375">
        <f t="shared" si="79"/>
        <v>0</v>
      </c>
      <c r="DX33" s="375">
        <f t="shared" si="176"/>
        <v>3</v>
      </c>
      <c r="DY33" s="376">
        <f t="shared" si="81"/>
        <v>45</v>
      </c>
      <c r="DZ33" s="373">
        <f t="shared" si="82"/>
        <v>13.195833333333333</v>
      </c>
      <c r="EA33" s="374" t="str">
        <f t="shared" si="177"/>
        <v>(1.23)</v>
      </c>
      <c r="EB33" s="375">
        <v>2</v>
      </c>
      <c r="EC33" s="375">
        <f t="shared" si="84"/>
        <v>3</v>
      </c>
      <c r="ED33" s="375">
        <v>0</v>
      </c>
      <c r="EE33" s="375">
        <f t="shared" si="85"/>
        <v>0</v>
      </c>
      <c r="EF33" s="375">
        <v>1</v>
      </c>
      <c r="EG33" s="375">
        <f t="shared" si="86"/>
        <v>1</v>
      </c>
      <c r="EH33" s="375">
        <f t="shared" si="178"/>
        <v>4</v>
      </c>
      <c r="EI33" s="376">
        <f t="shared" si="88"/>
        <v>50</v>
      </c>
      <c r="EJ33" s="373">
        <f t="shared" si="89"/>
        <v>14.779333333333332</v>
      </c>
      <c r="EK33" s="374" t="str">
        <f t="shared" si="203"/>
        <v>(1.37)</v>
      </c>
      <c r="EL33" s="375">
        <v>2</v>
      </c>
      <c r="EM33" s="375">
        <f t="shared" si="91"/>
        <v>3</v>
      </c>
      <c r="EN33" s="375">
        <v>0</v>
      </c>
      <c r="EO33" s="375">
        <f t="shared" si="92"/>
        <v>0</v>
      </c>
      <c r="EP33" s="375">
        <v>1</v>
      </c>
      <c r="EQ33" s="375">
        <f t="shared" si="93"/>
        <v>1</v>
      </c>
      <c r="ER33" s="375">
        <f t="shared" si="180"/>
        <v>4</v>
      </c>
      <c r="ES33" s="376">
        <f t="shared" si="95"/>
        <v>56</v>
      </c>
      <c r="ET33" s="373">
        <f t="shared" si="96"/>
        <v>16.362833333333334</v>
      </c>
      <c r="EU33" s="374" t="str">
        <f t="shared" si="204"/>
        <v>(1.52)</v>
      </c>
      <c r="EV33" s="375">
        <v>2</v>
      </c>
      <c r="EW33" s="375">
        <f t="shared" si="98"/>
        <v>3</v>
      </c>
      <c r="EX33" s="375">
        <v>0</v>
      </c>
      <c r="EY33" s="375">
        <f t="shared" si="99"/>
        <v>0</v>
      </c>
      <c r="EZ33" s="375">
        <v>1</v>
      </c>
      <c r="FA33" s="375">
        <f t="shared" si="100"/>
        <v>1</v>
      </c>
      <c r="FB33" s="375">
        <f t="shared" si="182"/>
        <v>4</v>
      </c>
      <c r="FC33" s="376">
        <f t="shared" si="102"/>
        <v>62</v>
      </c>
      <c r="FD33" s="373">
        <f t="shared" si="103"/>
        <v>17.913343749999999</v>
      </c>
      <c r="FE33" s="374" t="str">
        <f t="shared" si="183"/>
        <v>(1.66)</v>
      </c>
      <c r="FF33" s="375">
        <v>2</v>
      </c>
      <c r="FG33" s="375">
        <f t="shared" si="105"/>
        <v>3</v>
      </c>
      <c r="FH33" s="375">
        <v>1</v>
      </c>
      <c r="FI33" s="375">
        <f t="shared" si="106"/>
        <v>1.125</v>
      </c>
      <c r="FJ33" s="375">
        <v>0</v>
      </c>
      <c r="FK33" s="375">
        <f t="shared" si="107"/>
        <v>0</v>
      </c>
      <c r="FL33" s="375">
        <f t="shared" si="184"/>
        <v>4.125</v>
      </c>
      <c r="FM33" s="376">
        <f t="shared" si="109"/>
        <v>67.875</v>
      </c>
      <c r="FN33" s="373">
        <f t="shared" si="110"/>
        <v>19.496843749999996</v>
      </c>
      <c r="FO33" s="374" t="str">
        <f t="shared" si="183"/>
        <v>(1.81)</v>
      </c>
      <c r="FP33" s="375">
        <v>2</v>
      </c>
      <c r="FQ33" s="375">
        <f t="shared" si="112"/>
        <v>3</v>
      </c>
      <c r="FR33" s="375">
        <v>1</v>
      </c>
      <c r="FS33" s="375">
        <f t="shared" si="113"/>
        <v>1.125</v>
      </c>
      <c r="FT33" s="375">
        <v>0</v>
      </c>
      <c r="FU33" s="375">
        <f t="shared" si="114"/>
        <v>0</v>
      </c>
      <c r="FV33" s="375">
        <f t="shared" si="185"/>
        <v>4.125</v>
      </c>
      <c r="FW33" s="376">
        <f t="shared" si="116"/>
        <v>73.875</v>
      </c>
      <c r="FX33" s="373">
        <f t="shared" si="117"/>
        <v>21.080343749999997</v>
      </c>
      <c r="FY33" s="374" t="str">
        <f t="shared" si="205"/>
        <v>(1.96)</v>
      </c>
      <c r="FZ33" s="375">
        <v>2</v>
      </c>
      <c r="GA33" s="375">
        <f t="shared" si="119"/>
        <v>3</v>
      </c>
      <c r="GB33" s="375">
        <v>1</v>
      </c>
      <c r="GC33" s="375">
        <f t="shared" si="120"/>
        <v>1.125</v>
      </c>
      <c r="GD33" s="375">
        <v>0</v>
      </c>
      <c r="GE33" s="375">
        <f t="shared" si="121"/>
        <v>0</v>
      </c>
      <c r="GF33" s="375">
        <f t="shared" si="187"/>
        <v>4.125</v>
      </c>
      <c r="GG33" s="376">
        <f t="shared" si="123"/>
        <v>79.875</v>
      </c>
      <c r="GH33" s="373">
        <f t="shared" si="124"/>
        <v>22.663843749999998</v>
      </c>
      <c r="GI33" s="374" t="str">
        <f t="shared" si="206"/>
        <v>(2.11)</v>
      </c>
      <c r="GJ33" s="375">
        <v>2</v>
      </c>
      <c r="GK33" s="375">
        <f t="shared" si="126"/>
        <v>3</v>
      </c>
      <c r="GL33" s="375">
        <v>1</v>
      </c>
      <c r="GM33" s="375">
        <f t="shared" si="127"/>
        <v>1.125</v>
      </c>
      <c r="GN33" s="375">
        <v>0</v>
      </c>
      <c r="GO33" s="375">
        <f t="shared" si="128"/>
        <v>0</v>
      </c>
      <c r="GP33" s="375">
        <f t="shared" si="189"/>
        <v>4.125</v>
      </c>
      <c r="GQ33" s="376">
        <f t="shared" si="130"/>
        <v>85.875</v>
      </c>
      <c r="GR33" s="373">
        <f t="shared" si="131"/>
        <v>24.247343749999999</v>
      </c>
      <c r="GS33" s="374" t="str">
        <f t="shared" si="207"/>
        <v>(2.25)</v>
      </c>
      <c r="GT33" s="375">
        <v>2</v>
      </c>
      <c r="GU33" s="375">
        <f t="shared" si="133"/>
        <v>3</v>
      </c>
      <c r="GV33" s="375">
        <v>1</v>
      </c>
      <c r="GW33" s="375">
        <f t="shared" si="134"/>
        <v>1.125</v>
      </c>
      <c r="GX33" s="375">
        <v>0</v>
      </c>
      <c r="GY33" s="375">
        <f t="shared" si="135"/>
        <v>0</v>
      </c>
      <c r="GZ33" s="375">
        <f t="shared" si="191"/>
        <v>4.125</v>
      </c>
      <c r="HA33" s="376">
        <f t="shared" si="137"/>
        <v>91.875</v>
      </c>
      <c r="HB33" s="373">
        <f t="shared" si="138"/>
        <v>25.83084375</v>
      </c>
      <c r="HC33" s="374" t="str">
        <f t="shared" si="208"/>
        <v>(2.40)</v>
      </c>
      <c r="HD33" s="375">
        <v>2</v>
      </c>
      <c r="HE33" s="375">
        <f t="shared" si="140"/>
        <v>3</v>
      </c>
      <c r="HF33" s="375">
        <v>1</v>
      </c>
      <c r="HG33" s="375">
        <f t="shared" si="141"/>
        <v>1.125</v>
      </c>
      <c r="HH33" s="375">
        <v>0</v>
      </c>
      <c r="HI33" s="375">
        <f t="shared" si="142"/>
        <v>0</v>
      </c>
      <c r="HJ33" s="375">
        <f t="shared" si="193"/>
        <v>4.125</v>
      </c>
      <c r="HK33" s="376">
        <f t="shared" si="144"/>
        <v>97.875</v>
      </c>
      <c r="HL33" s="373">
        <f t="shared" si="145"/>
        <v>26.886510416666667</v>
      </c>
      <c r="HM33" s="374" t="str">
        <f t="shared" si="194"/>
        <v>(2.50)</v>
      </c>
      <c r="HN33" s="375">
        <v>2</v>
      </c>
      <c r="HO33" s="375">
        <f t="shared" si="147"/>
        <v>3</v>
      </c>
      <c r="HP33" s="375">
        <v>1</v>
      </c>
      <c r="HQ33" s="375">
        <f t="shared" si="148"/>
        <v>1.125</v>
      </c>
      <c r="HR33" s="375">
        <v>2</v>
      </c>
      <c r="HS33" s="375">
        <f t="shared" si="149"/>
        <v>2</v>
      </c>
      <c r="HT33" s="375">
        <f t="shared" si="195"/>
        <v>6.125</v>
      </c>
      <c r="HU33" s="376">
        <f t="shared" si="151"/>
        <v>101.875</v>
      </c>
      <c r="HV33" s="373">
        <f t="shared" si="152"/>
        <v>28.470010416666664</v>
      </c>
      <c r="HW33" s="374" t="str">
        <f t="shared" si="209"/>
        <v>(2.64)</v>
      </c>
      <c r="HX33" s="375">
        <v>2</v>
      </c>
      <c r="HY33" s="375">
        <f t="shared" si="154"/>
        <v>3</v>
      </c>
      <c r="HZ33" s="375">
        <v>1</v>
      </c>
      <c r="IA33" s="375">
        <f t="shared" si="155"/>
        <v>1.125</v>
      </c>
      <c r="IB33" s="375">
        <v>2</v>
      </c>
      <c r="IC33" s="375">
        <f t="shared" si="156"/>
        <v>2</v>
      </c>
      <c r="ID33" s="375">
        <f t="shared" si="197"/>
        <v>6.125</v>
      </c>
      <c r="IE33" s="376">
        <f t="shared" si="158"/>
        <v>107.875</v>
      </c>
      <c r="IF33" s="373">
        <f t="shared" si="159"/>
        <v>30.053510416666668</v>
      </c>
      <c r="IG33" s="374" t="str">
        <f t="shared" si="210"/>
        <v>(2.79)</v>
      </c>
      <c r="IH33" s="22">
        <v>2</v>
      </c>
      <c r="II33" s="22">
        <f t="shared" si="161"/>
        <v>3</v>
      </c>
      <c r="IJ33" s="22">
        <v>1</v>
      </c>
      <c r="IK33" s="22">
        <f t="shared" si="162"/>
        <v>1.125</v>
      </c>
      <c r="IL33" s="22">
        <v>2</v>
      </c>
      <c r="IM33" s="22">
        <f t="shared" si="163"/>
        <v>2</v>
      </c>
      <c r="IN33" s="22">
        <f t="shared" si="199"/>
        <v>6.125</v>
      </c>
      <c r="IO33" s="23">
        <f t="shared" si="165"/>
        <v>113.875</v>
      </c>
      <c r="IP33" s="24"/>
      <c r="IQ33" s="25">
        <v>13</v>
      </c>
      <c r="IR33" s="26">
        <v>2.5</v>
      </c>
      <c r="IS33" s="26">
        <v>2.8079999999999998</v>
      </c>
      <c r="IT33" s="26">
        <v>1.8080000000000001</v>
      </c>
      <c r="IU33" s="26">
        <v>1.5</v>
      </c>
      <c r="IV33" s="26">
        <v>1</v>
      </c>
      <c r="IW33" s="26">
        <v>1.125</v>
      </c>
      <c r="IX33" s="8"/>
    </row>
    <row r="34" spans="2:258" ht="15.75" thickBot="1" x14ac:dyDescent="0.3">
      <c r="B34" s="103">
        <f t="shared" si="25"/>
        <v>96</v>
      </c>
      <c r="C34" s="226">
        <v>17</v>
      </c>
      <c r="D34" s="98">
        <f t="shared" si="1"/>
        <v>0.35499999999999998</v>
      </c>
      <c r="E34" s="96">
        <f t="shared" si="2"/>
        <v>0.39937499999999998</v>
      </c>
      <c r="F34" s="96">
        <f t="shared" si="3"/>
        <v>0.44374999999999992</v>
      </c>
      <c r="G34" s="96">
        <f t="shared" si="4"/>
        <v>0.4659375</v>
      </c>
      <c r="H34" s="96">
        <f t="shared" si="5"/>
        <v>0.47925000000000006</v>
      </c>
      <c r="I34" s="96">
        <f t="shared" si="6"/>
        <v>0.48812499999999992</v>
      </c>
      <c r="J34" s="96">
        <f t="shared" si="7"/>
        <v>0.49446428571428569</v>
      </c>
      <c r="K34" s="96">
        <f t="shared" si="8"/>
        <v>0.49921875000000004</v>
      </c>
      <c r="L34" s="96">
        <f t="shared" si="9"/>
        <v>0.49305555555555558</v>
      </c>
      <c r="M34" s="96">
        <f t="shared" si="10"/>
        <v>0.497</v>
      </c>
      <c r="N34" s="96">
        <f t="shared" si="11"/>
        <v>0.50022727272727274</v>
      </c>
      <c r="O34" s="96">
        <f t="shared" si="12"/>
        <v>0.50199218749999996</v>
      </c>
      <c r="P34" s="238"/>
      <c r="Q34" s="238"/>
      <c r="R34" s="238"/>
      <c r="S34" s="238"/>
      <c r="T34" s="238"/>
      <c r="U34" s="238"/>
      <c r="V34" s="238"/>
      <c r="W34" s="238"/>
      <c r="X34" s="96"/>
      <c r="Y34" s="65"/>
      <c r="AT34" s="4"/>
      <c r="AU34" s="14">
        <f t="shared" si="200"/>
        <v>78</v>
      </c>
      <c r="AV34" s="12" t="str">
        <f t="shared" si="166"/>
        <v>(2000)</v>
      </c>
      <c r="AW34" s="19">
        <f t="shared" si="201"/>
        <v>19</v>
      </c>
      <c r="AX34" s="20">
        <f t="shared" si="26"/>
        <v>1.7383749999999998</v>
      </c>
      <c r="AY34" s="21" t="str">
        <f t="shared" si="202"/>
        <v>(0.16)</v>
      </c>
      <c r="AZ34" s="22">
        <v>2</v>
      </c>
      <c r="BA34" s="22">
        <f t="shared" si="28"/>
        <v>3</v>
      </c>
      <c r="BB34" s="22">
        <v>0</v>
      </c>
      <c r="BC34" s="22">
        <f t="shared" si="29"/>
        <v>0</v>
      </c>
      <c r="BD34" s="22">
        <v>0</v>
      </c>
      <c r="BE34" s="22">
        <f t="shared" si="30"/>
        <v>0</v>
      </c>
      <c r="BF34" s="22">
        <f t="shared" si="168"/>
        <v>3</v>
      </c>
      <c r="BG34" s="23">
        <f t="shared" si="32"/>
        <v>6</v>
      </c>
      <c r="BH34" s="373">
        <f t="shared" si="33"/>
        <v>2.6075624999999998</v>
      </c>
      <c r="BI34" s="374" t="str">
        <f t="shared" si="169"/>
        <v>(0.24)</v>
      </c>
      <c r="BJ34" s="375">
        <v>2</v>
      </c>
      <c r="BK34" s="375">
        <f t="shared" si="35"/>
        <v>3</v>
      </c>
      <c r="BL34" s="375">
        <v>0</v>
      </c>
      <c r="BM34" s="375">
        <f t="shared" si="36"/>
        <v>0</v>
      </c>
      <c r="BN34" s="375">
        <v>0</v>
      </c>
      <c r="BO34" s="375">
        <f t="shared" si="37"/>
        <v>0</v>
      </c>
      <c r="BP34" s="375">
        <f t="shared" si="170"/>
        <v>3</v>
      </c>
      <c r="BQ34" s="376">
        <f t="shared" si="39"/>
        <v>9</v>
      </c>
      <c r="BR34" s="373">
        <f t="shared" si="40"/>
        <v>4.3459374999999998</v>
      </c>
      <c r="BS34" s="374" t="str">
        <f t="shared" si="41"/>
        <v>(0.4)</v>
      </c>
      <c r="BT34" s="375">
        <v>2</v>
      </c>
      <c r="BU34" s="375">
        <f t="shared" si="42"/>
        <v>3</v>
      </c>
      <c r="BV34" s="375">
        <v>0</v>
      </c>
      <c r="BW34" s="375">
        <f t="shared" si="43"/>
        <v>0</v>
      </c>
      <c r="BX34" s="375">
        <v>0</v>
      </c>
      <c r="BY34" s="375">
        <f t="shared" si="44"/>
        <v>0</v>
      </c>
      <c r="BZ34" s="375">
        <f t="shared" si="171"/>
        <v>3</v>
      </c>
      <c r="CA34" s="376">
        <f t="shared" si="46"/>
        <v>15</v>
      </c>
      <c r="CB34" s="373">
        <f t="shared" si="47"/>
        <v>6.0843124999999993</v>
      </c>
      <c r="CC34" s="374" t="str">
        <f t="shared" si="48"/>
        <v>(0.57)</v>
      </c>
      <c r="CD34" s="375">
        <v>2</v>
      </c>
      <c r="CE34" s="375">
        <f t="shared" si="49"/>
        <v>3</v>
      </c>
      <c r="CF34" s="375">
        <v>0</v>
      </c>
      <c r="CG34" s="375">
        <f t="shared" si="50"/>
        <v>0</v>
      </c>
      <c r="CH34" s="375">
        <v>0</v>
      </c>
      <c r="CI34" s="375">
        <f t="shared" si="51"/>
        <v>0</v>
      </c>
      <c r="CJ34" s="375">
        <f t="shared" si="172"/>
        <v>3</v>
      </c>
      <c r="CK34" s="376">
        <f t="shared" si="53"/>
        <v>21</v>
      </c>
      <c r="CL34" s="373">
        <f t="shared" si="54"/>
        <v>7.8226874999999989</v>
      </c>
      <c r="CM34" s="374" t="str">
        <f t="shared" si="55"/>
        <v>(0.73)</v>
      </c>
      <c r="CN34" s="375">
        <v>2</v>
      </c>
      <c r="CO34" s="375">
        <f t="shared" si="56"/>
        <v>3</v>
      </c>
      <c r="CP34" s="375">
        <v>0</v>
      </c>
      <c r="CQ34" s="375">
        <f t="shared" si="57"/>
        <v>0</v>
      </c>
      <c r="CR34" s="375">
        <v>0</v>
      </c>
      <c r="CS34" s="375">
        <f t="shared" si="58"/>
        <v>0</v>
      </c>
      <c r="CT34" s="375">
        <f t="shared" si="173"/>
        <v>3</v>
      </c>
      <c r="CU34" s="376">
        <f t="shared" si="60"/>
        <v>27</v>
      </c>
      <c r="CV34" s="373">
        <f t="shared" si="61"/>
        <v>9.5610624999999985</v>
      </c>
      <c r="CW34" s="374" t="str">
        <f t="shared" si="62"/>
        <v>(0.89)</v>
      </c>
      <c r="CX34" s="375">
        <v>2</v>
      </c>
      <c r="CY34" s="375">
        <f t="shared" si="63"/>
        <v>3</v>
      </c>
      <c r="CZ34" s="375">
        <v>0</v>
      </c>
      <c r="DA34" s="375">
        <f t="shared" si="64"/>
        <v>0</v>
      </c>
      <c r="DB34" s="375">
        <v>0</v>
      </c>
      <c r="DC34" s="375">
        <f t="shared" si="65"/>
        <v>0</v>
      </c>
      <c r="DD34" s="375">
        <f t="shared" si="174"/>
        <v>3</v>
      </c>
      <c r="DE34" s="376">
        <f t="shared" si="67"/>
        <v>33</v>
      </c>
      <c r="DF34" s="373">
        <f t="shared" si="68"/>
        <v>11.2994375</v>
      </c>
      <c r="DG34" s="374" t="str">
        <f t="shared" si="69"/>
        <v>(1.05)</v>
      </c>
      <c r="DH34" s="375">
        <v>2</v>
      </c>
      <c r="DI34" s="375">
        <f t="shared" si="70"/>
        <v>3</v>
      </c>
      <c r="DJ34" s="375">
        <v>0</v>
      </c>
      <c r="DK34" s="375">
        <f t="shared" si="71"/>
        <v>0</v>
      </c>
      <c r="DL34" s="375">
        <v>0</v>
      </c>
      <c r="DM34" s="375">
        <f t="shared" si="72"/>
        <v>0</v>
      </c>
      <c r="DN34" s="375">
        <f t="shared" si="175"/>
        <v>3</v>
      </c>
      <c r="DO34" s="376">
        <f t="shared" si="74"/>
        <v>39</v>
      </c>
      <c r="DP34" s="373">
        <f t="shared" si="75"/>
        <v>13.037812499999999</v>
      </c>
      <c r="DQ34" s="374" t="str">
        <f t="shared" si="76"/>
        <v>(1.21)</v>
      </c>
      <c r="DR34" s="375">
        <v>2</v>
      </c>
      <c r="DS34" s="375">
        <f t="shared" si="77"/>
        <v>3</v>
      </c>
      <c r="DT34" s="375">
        <v>0</v>
      </c>
      <c r="DU34" s="375">
        <f t="shared" si="78"/>
        <v>0</v>
      </c>
      <c r="DV34" s="375">
        <v>0</v>
      </c>
      <c r="DW34" s="375">
        <f t="shared" si="79"/>
        <v>0</v>
      </c>
      <c r="DX34" s="375">
        <f t="shared" si="176"/>
        <v>3</v>
      </c>
      <c r="DY34" s="376">
        <f t="shared" si="81"/>
        <v>45</v>
      </c>
      <c r="DZ34" s="373">
        <f t="shared" si="82"/>
        <v>14.486458333333331</v>
      </c>
      <c r="EA34" s="374" t="str">
        <f t="shared" si="177"/>
        <v>(1.35)</v>
      </c>
      <c r="EB34" s="375">
        <v>2</v>
      </c>
      <c r="EC34" s="375">
        <f t="shared" si="84"/>
        <v>3</v>
      </c>
      <c r="ED34" s="375">
        <v>0</v>
      </c>
      <c r="EE34" s="375">
        <f t="shared" si="85"/>
        <v>0</v>
      </c>
      <c r="EF34" s="375">
        <v>1</v>
      </c>
      <c r="EG34" s="375">
        <f t="shared" si="86"/>
        <v>1</v>
      </c>
      <c r="EH34" s="375">
        <f t="shared" si="178"/>
        <v>4</v>
      </c>
      <c r="EI34" s="376">
        <f t="shared" si="88"/>
        <v>50</v>
      </c>
      <c r="EJ34" s="373">
        <f t="shared" si="89"/>
        <v>16.224833333333333</v>
      </c>
      <c r="EK34" s="374" t="str">
        <f t="shared" si="203"/>
        <v>(1.51)</v>
      </c>
      <c r="EL34" s="375">
        <v>2</v>
      </c>
      <c r="EM34" s="375">
        <f t="shared" si="91"/>
        <v>3</v>
      </c>
      <c r="EN34" s="375">
        <v>0</v>
      </c>
      <c r="EO34" s="375">
        <f t="shared" si="92"/>
        <v>0</v>
      </c>
      <c r="EP34" s="375">
        <v>1</v>
      </c>
      <c r="EQ34" s="375">
        <f t="shared" si="93"/>
        <v>1</v>
      </c>
      <c r="ER34" s="375">
        <f t="shared" si="180"/>
        <v>4</v>
      </c>
      <c r="ES34" s="376">
        <f t="shared" si="95"/>
        <v>56</v>
      </c>
      <c r="ET34" s="373">
        <f t="shared" si="96"/>
        <v>17.963208333333331</v>
      </c>
      <c r="EU34" s="374" t="str">
        <f t="shared" si="204"/>
        <v>(1.67)</v>
      </c>
      <c r="EV34" s="375">
        <v>2</v>
      </c>
      <c r="EW34" s="375">
        <f t="shared" si="98"/>
        <v>3</v>
      </c>
      <c r="EX34" s="375">
        <v>0</v>
      </c>
      <c r="EY34" s="375">
        <f t="shared" si="99"/>
        <v>0</v>
      </c>
      <c r="EZ34" s="375">
        <v>1</v>
      </c>
      <c r="FA34" s="375">
        <f t="shared" si="100"/>
        <v>1</v>
      </c>
      <c r="FB34" s="375">
        <f t="shared" si="182"/>
        <v>4</v>
      </c>
      <c r="FC34" s="376">
        <f t="shared" si="102"/>
        <v>62</v>
      </c>
      <c r="FD34" s="373">
        <f t="shared" si="103"/>
        <v>19.665367187499996</v>
      </c>
      <c r="FE34" s="374" t="str">
        <f t="shared" si="183"/>
        <v>(1.83)</v>
      </c>
      <c r="FF34" s="375">
        <v>2</v>
      </c>
      <c r="FG34" s="375">
        <f t="shared" si="105"/>
        <v>3</v>
      </c>
      <c r="FH34" s="375">
        <v>1</v>
      </c>
      <c r="FI34" s="375">
        <f t="shared" si="106"/>
        <v>1.125</v>
      </c>
      <c r="FJ34" s="375">
        <v>0</v>
      </c>
      <c r="FK34" s="375">
        <f t="shared" si="107"/>
        <v>0</v>
      </c>
      <c r="FL34" s="375">
        <f t="shared" si="184"/>
        <v>4.125</v>
      </c>
      <c r="FM34" s="376">
        <f t="shared" si="109"/>
        <v>67.875</v>
      </c>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v>14</v>
      </c>
      <c r="IR34" s="26">
        <v>2.5</v>
      </c>
      <c r="IS34" s="26">
        <v>2.8079999999999998</v>
      </c>
      <c r="IT34" s="26">
        <v>2.7170000000000001</v>
      </c>
      <c r="IU34" s="26">
        <v>1.5</v>
      </c>
      <c r="IV34" s="26">
        <v>1</v>
      </c>
      <c r="IW34" s="26">
        <v>1.125</v>
      </c>
      <c r="IX34" s="8"/>
    </row>
    <row r="35" spans="2:258" ht="15.75" thickBot="1" x14ac:dyDescent="0.3">
      <c r="B35" s="103">
        <f t="shared" si="25"/>
        <v>102</v>
      </c>
      <c r="C35" s="221">
        <v>18</v>
      </c>
      <c r="D35" s="98">
        <f t="shared" si="1"/>
        <v>0.35850980392156861</v>
      </c>
      <c r="E35" s="96">
        <f t="shared" si="2"/>
        <v>0.40332352941176469</v>
      </c>
      <c r="F35" s="96">
        <f t="shared" si="3"/>
        <v>0.44813725490196077</v>
      </c>
      <c r="G35" s="96">
        <f t="shared" si="4"/>
        <v>0.47054411764705878</v>
      </c>
      <c r="H35" s="96">
        <f t="shared" si="5"/>
        <v>0.48398823529411761</v>
      </c>
      <c r="I35" s="96">
        <f t="shared" si="6"/>
        <v>0.49295098039215685</v>
      </c>
      <c r="J35" s="96">
        <f t="shared" si="7"/>
        <v>0.49935294117647061</v>
      </c>
      <c r="K35" s="96">
        <f t="shared" si="8"/>
        <v>0.50415441176470588</v>
      </c>
      <c r="L35" s="96">
        <f t="shared" si="9"/>
        <v>0.49793028322440092</v>
      </c>
      <c r="M35" s="96">
        <f t="shared" si="10"/>
        <v>0.50191372549019608</v>
      </c>
      <c r="N35" s="96">
        <f t="shared" si="11"/>
        <v>0.5051729055258467</v>
      </c>
      <c r="O35" s="96">
        <f t="shared" si="12"/>
        <v>0.5069552696078431</v>
      </c>
      <c r="P35" s="238"/>
      <c r="Q35" s="238"/>
      <c r="R35" s="238"/>
      <c r="S35" s="238"/>
      <c r="T35" s="238"/>
      <c r="U35" s="238"/>
      <c r="V35" s="238"/>
      <c r="W35" s="238"/>
      <c r="X35" s="96"/>
      <c r="Y35" s="65"/>
      <c r="AT35" s="4"/>
      <c r="AU35" s="14">
        <f t="shared" si="200"/>
        <v>84</v>
      </c>
      <c r="AV35" s="12" t="str">
        <f t="shared" si="166"/>
        <v>(2150)</v>
      </c>
      <c r="AW35" s="19">
        <f t="shared" si="201"/>
        <v>20</v>
      </c>
      <c r="AX35" s="20">
        <f t="shared" si="26"/>
        <v>1.8435833333333334</v>
      </c>
      <c r="AY35" s="21" t="str">
        <f t="shared" si="202"/>
        <v>(0.17)</v>
      </c>
      <c r="AZ35" s="22">
        <v>2</v>
      </c>
      <c r="BA35" s="22">
        <f t="shared" si="28"/>
        <v>3</v>
      </c>
      <c r="BB35" s="22">
        <v>0</v>
      </c>
      <c r="BC35" s="22">
        <f t="shared" si="29"/>
        <v>0</v>
      </c>
      <c r="BD35" s="22">
        <v>0</v>
      </c>
      <c r="BE35" s="22">
        <f t="shared" si="30"/>
        <v>0</v>
      </c>
      <c r="BF35" s="22">
        <f t="shared" si="168"/>
        <v>3</v>
      </c>
      <c r="BG35" s="23">
        <f t="shared" si="32"/>
        <v>6</v>
      </c>
      <c r="BH35" s="373">
        <f t="shared" si="33"/>
        <v>2.7653749999999997</v>
      </c>
      <c r="BI35" s="374" t="str">
        <f t="shared" si="169"/>
        <v>(0.26)</v>
      </c>
      <c r="BJ35" s="375">
        <v>2</v>
      </c>
      <c r="BK35" s="375">
        <f t="shared" si="35"/>
        <v>3</v>
      </c>
      <c r="BL35" s="375">
        <v>0</v>
      </c>
      <c r="BM35" s="375">
        <f t="shared" si="36"/>
        <v>0</v>
      </c>
      <c r="BN35" s="375">
        <v>0</v>
      </c>
      <c r="BO35" s="375">
        <f t="shared" si="37"/>
        <v>0</v>
      </c>
      <c r="BP35" s="375">
        <f t="shared" si="170"/>
        <v>3</v>
      </c>
      <c r="BQ35" s="376">
        <f t="shared" si="39"/>
        <v>9</v>
      </c>
      <c r="BR35" s="373">
        <f t="shared" si="40"/>
        <v>4.6089583333333328</v>
      </c>
      <c r="BS35" s="374" t="str">
        <f t="shared" si="41"/>
        <v>(0.43)</v>
      </c>
      <c r="BT35" s="375">
        <v>2</v>
      </c>
      <c r="BU35" s="375">
        <f t="shared" si="42"/>
        <v>3</v>
      </c>
      <c r="BV35" s="375">
        <v>0</v>
      </c>
      <c r="BW35" s="375">
        <f t="shared" si="43"/>
        <v>0</v>
      </c>
      <c r="BX35" s="375">
        <v>0</v>
      </c>
      <c r="BY35" s="375">
        <f t="shared" si="44"/>
        <v>0</v>
      </c>
      <c r="BZ35" s="375">
        <f t="shared" si="171"/>
        <v>3</v>
      </c>
      <c r="CA35" s="376">
        <f t="shared" si="46"/>
        <v>15</v>
      </c>
      <c r="CB35" s="373">
        <f t="shared" si="47"/>
        <v>6.452541666666666</v>
      </c>
      <c r="CC35" s="374" t="str">
        <f t="shared" si="48"/>
        <v>(0.6)</v>
      </c>
      <c r="CD35" s="375">
        <v>2</v>
      </c>
      <c r="CE35" s="375">
        <f t="shared" si="49"/>
        <v>3</v>
      </c>
      <c r="CF35" s="375">
        <v>0</v>
      </c>
      <c r="CG35" s="375">
        <f t="shared" si="50"/>
        <v>0</v>
      </c>
      <c r="CH35" s="375">
        <v>0</v>
      </c>
      <c r="CI35" s="375">
        <f t="shared" si="51"/>
        <v>0</v>
      </c>
      <c r="CJ35" s="375">
        <f t="shared" si="172"/>
        <v>3</v>
      </c>
      <c r="CK35" s="376">
        <f t="shared" si="53"/>
        <v>21</v>
      </c>
      <c r="CL35" s="373">
        <f t="shared" si="54"/>
        <v>8.2961249999999982</v>
      </c>
      <c r="CM35" s="374" t="str">
        <f t="shared" si="55"/>
        <v>(0.77)</v>
      </c>
      <c r="CN35" s="375">
        <v>2</v>
      </c>
      <c r="CO35" s="375">
        <f t="shared" si="56"/>
        <v>3</v>
      </c>
      <c r="CP35" s="375">
        <v>0</v>
      </c>
      <c r="CQ35" s="375">
        <f t="shared" si="57"/>
        <v>0</v>
      </c>
      <c r="CR35" s="375">
        <v>0</v>
      </c>
      <c r="CS35" s="375">
        <f t="shared" si="58"/>
        <v>0</v>
      </c>
      <c r="CT35" s="375">
        <f t="shared" si="173"/>
        <v>3</v>
      </c>
      <c r="CU35" s="376">
        <f t="shared" si="60"/>
        <v>27</v>
      </c>
      <c r="CV35" s="373">
        <f t="shared" si="61"/>
        <v>10.139708333333333</v>
      </c>
      <c r="CW35" s="374" t="str">
        <f t="shared" si="62"/>
        <v>(0.94)</v>
      </c>
      <c r="CX35" s="375">
        <v>2</v>
      </c>
      <c r="CY35" s="375">
        <f t="shared" si="63"/>
        <v>3</v>
      </c>
      <c r="CZ35" s="375">
        <v>0</v>
      </c>
      <c r="DA35" s="375">
        <f t="shared" si="64"/>
        <v>0</v>
      </c>
      <c r="DB35" s="375">
        <v>0</v>
      </c>
      <c r="DC35" s="375">
        <f t="shared" si="65"/>
        <v>0</v>
      </c>
      <c r="DD35" s="375">
        <f t="shared" si="174"/>
        <v>3</v>
      </c>
      <c r="DE35" s="376">
        <f t="shared" si="67"/>
        <v>33</v>
      </c>
      <c r="DF35" s="373">
        <f t="shared" si="68"/>
        <v>11.983291666666666</v>
      </c>
      <c r="DG35" s="374" t="str">
        <f t="shared" si="69"/>
        <v>(1.11)</v>
      </c>
      <c r="DH35" s="375">
        <v>2</v>
      </c>
      <c r="DI35" s="375">
        <f t="shared" si="70"/>
        <v>3</v>
      </c>
      <c r="DJ35" s="375">
        <v>0</v>
      </c>
      <c r="DK35" s="375">
        <f t="shared" si="71"/>
        <v>0</v>
      </c>
      <c r="DL35" s="375">
        <v>0</v>
      </c>
      <c r="DM35" s="375">
        <f t="shared" si="72"/>
        <v>0</v>
      </c>
      <c r="DN35" s="375">
        <f t="shared" si="175"/>
        <v>3</v>
      </c>
      <c r="DO35" s="376">
        <f t="shared" si="74"/>
        <v>39</v>
      </c>
      <c r="DP35" s="373">
        <f t="shared" si="75"/>
        <v>13.826874999999998</v>
      </c>
      <c r="DQ35" s="374" t="str">
        <f t="shared" si="76"/>
        <v>(1.28)</v>
      </c>
      <c r="DR35" s="375">
        <v>2</v>
      </c>
      <c r="DS35" s="375">
        <f t="shared" si="77"/>
        <v>3</v>
      </c>
      <c r="DT35" s="375">
        <v>0</v>
      </c>
      <c r="DU35" s="375">
        <f t="shared" si="78"/>
        <v>0</v>
      </c>
      <c r="DV35" s="375">
        <v>0</v>
      </c>
      <c r="DW35" s="375">
        <f t="shared" si="79"/>
        <v>0</v>
      </c>
      <c r="DX35" s="375">
        <f t="shared" si="176"/>
        <v>3</v>
      </c>
      <c r="DY35" s="376">
        <f t="shared" si="81"/>
        <v>45</v>
      </c>
      <c r="DZ35" s="373">
        <f t="shared" si="82"/>
        <v>15.363194444444442</v>
      </c>
      <c r="EA35" s="374" t="str">
        <f t="shared" si="177"/>
        <v>(1.43)</v>
      </c>
      <c r="EB35" s="375">
        <v>2</v>
      </c>
      <c r="EC35" s="375">
        <f t="shared" si="84"/>
        <v>3</v>
      </c>
      <c r="ED35" s="375">
        <v>0</v>
      </c>
      <c r="EE35" s="375">
        <f t="shared" si="85"/>
        <v>0</v>
      </c>
      <c r="EF35" s="375">
        <v>1</v>
      </c>
      <c r="EG35" s="375">
        <f t="shared" si="86"/>
        <v>1</v>
      </c>
      <c r="EH35" s="375">
        <f t="shared" si="178"/>
        <v>4</v>
      </c>
      <c r="EI35" s="376">
        <f t="shared" si="88"/>
        <v>50</v>
      </c>
      <c r="EJ35" s="373">
        <f t="shared" si="89"/>
        <v>17.206777777777777</v>
      </c>
      <c r="EK35" s="374" t="str">
        <f t="shared" si="203"/>
        <v>(1.60)</v>
      </c>
      <c r="EL35" s="375">
        <v>2</v>
      </c>
      <c r="EM35" s="375">
        <f t="shared" si="91"/>
        <v>3</v>
      </c>
      <c r="EN35" s="375">
        <v>0</v>
      </c>
      <c r="EO35" s="375">
        <f t="shared" si="92"/>
        <v>0</v>
      </c>
      <c r="EP35" s="375">
        <v>1</v>
      </c>
      <c r="EQ35" s="375">
        <f t="shared" si="93"/>
        <v>1</v>
      </c>
      <c r="ER35" s="375">
        <f t="shared" si="180"/>
        <v>4</v>
      </c>
      <c r="ES35" s="376">
        <f t="shared" si="95"/>
        <v>56</v>
      </c>
      <c r="ET35" s="373">
        <f t="shared" si="96"/>
        <v>19.050361111111108</v>
      </c>
      <c r="EU35" s="374" t="str">
        <f t="shared" si="204"/>
        <v>(1.77)</v>
      </c>
      <c r="EV35" s="375">
        <v>2</v>
      </c>
      <c r="EW35" s="375">
        <f t="shared" si="98"/>
        <v>3</v>
      </c>
      <c r="EX35" s="375">
        <v>0</v>
      </c>
      <c r="EY35" s="375">
        <f t="shared" si="99"/>
        <v>0</v>
      </c>
      <c r="EZ35" s="375">
        <v>1</v>
      </c>
      <c r="FA35" s="375">
        <f t="shared" si="100"/>
        <v>1</v>
      </c>
      <c r="FB35" s="375">
        <f t="shared" si="182"/>
        <v>4</v>
      </c>
      <c r="FC35" s="376">
        <f t="shared" si="102"/>
        <v>62</v>
      </c>
      <c r="FD35" s="373">
        <f t="shared" si="103"/>
        <v>20.855536458333333</v>
      </c>
      <c r="FE35" s="374" t="str">
        <f t="shared" si="183"/>
        <v>(1.94)</v>
      </c>
      <c r="FF35" s="375">
        <v>2</v>
      </c>
      <c r="FG35" s="375">
        <f t="shared" si="105"/>
        <v>3</v>
      </c>
      <c r="FH35" s="375">
        <v>1</v>
      </c>
      <c r="FI35" s="375">
        <f t="shared" si="106"/>
        <v>1.125</v>
      </c>
      <c r="FJ35" s="375">
        <v>0</v>
      </c>
      <c r="FK35" s="375">
        <f t="shared" si="107"/>
        <v>0</v>
      </c>
      <c r="FL35" s="375">
        <f t="shared" si="184"/>
        <v>4.125</v>
      </c>
      <c r="FM35" s="376">
        <f t="shared" si="109"/>
        <v>67.875</v>
      </c>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5">
        <v>15</v>
      </c>
      <c r="IR35" s="26">
        <v>2.5</v>
      </c>
      <c r="IS35" s="26">
        <v>2.8079999999999998</v>
      </c>
      <c r="IT35" s="26">
        <v>2.4340000000000002</v>
      </c>
      <c r="IU35" s="26">
        <v>1.5</v>
      </c>
      <c r="IV35" s="26">
        <v>1</v>
      </c>
      <c r="IW35" s="26">
        <v>1.125</v>
      </c>
      <c r="IX35" s="8"/>
    </row>
    <row r="36" spans="2:258" ht="15.75" thickBot="1" x14ac:dyDescent="0.3">
      <c r="B36" s="103">
        <f t="shared" si="25"/>
        <v>108</v>
      </c>
      <c r="C36" s="226">
        <v>19</v>
      </c>
      <c r="D36" s="98">
        <f t="shared" si="1"/>
        <v>0.36153703703703705</v>
      </c>
      <c r="E36" s="96">
        <f t="shared" si="2"/>
        <v>0.40672916666666664</v>
      </c>
      <c r="F36" s="96">
        <f t="shared" si="3"/>
        <v>0.45192129629629629</v>
      </c>
      <c r="G36" s="96">
        <f t="shared" si="4"/>
        <v>0.47451736111111104</v>
      </c>
      <c r="H36" s="96">
        <f t="shared" si="5"/>
        <v>0.48807499999999998</v>
      </c>
      <c r="I36" s="96">
        <f t="shared" si="6"/>
        <v>0.49711342592592589</v>
      </c>
      <c r="J36" s="96">
        <f t="shared" si="7"/>
        <v>0.5035694444444444</v>
      </c>
      <c r="K36" s="96">
        <f t="shared" si="8"/>
        <v>0.50841145833333334</v>
      </c>
      <c r="L36" s="96">
        <f t="shared" si="9"/>
        <v>0.50213477366255144</v>
      </c>
      <c r="M36" s="96">
        <f t="shared" si="10"/>
        <v>0.50615185185185174</v>
      </c>
      <c r="N36" s="96">
        <f t="shared" si="11"/>
        <v>0.50943855218855216</v>
      </c>
      <c r="O36" s="96">
        <f t="shared" si="12"/>
        <v>0.5112359664351851</v>
      </c>
      <c r="P36" s="238"/>
      <c r="Q36" s="238"/>
      <c r="R36" s="238"/>
      <c r="S36" s="238"/>
      <c r="T36" s="238"/>
      <c r="U36" s="238"/>
      <c r="V36" s="238"/>
      <c r="W36" s="238"/>
      <c r="X36" s="96"/>
      <c r="Y36" s="65"/>
      <c r="AT36" s="4"/>
      <c r="AU36" s="27">
        <f t="shared" si="200"/>
        <v>90</v>
      </c>
      <c r="AV36" s="28" t="str">
        <f t="shared" si="166"/>
        <v>(2300)</v>
      </c>
      <c r="AW36" s="19">
        <f t="shared" si="201"/>
        <v>21</v>
      </c>
      <c r="AX36" s="20">
        <f t="shared" si="26"/>
        <v>1.9798333333333333</v>
      </c>
      <c r="AY36" s="29" t="str">
        <f t="shared" si="202"/>
        <v>(0.18)</v>
      </c>
      <c r="AZ36" s="22">
        <v>2</v>
      </c>
      <c r="BA36" s="22">
        <f t="shared" si="28"/>
        <v>3</v>
      </c>
      <c r="BB36" s="30">
        <v>0</v>
      </c>
      <c r="BC36" s="22">
        <f t="shared" si="29"/>
        <v>0</v>
      </c>
      <c r="BD36" s="30">
        <v>0</v>
      </c>
      <c r="BE36" s="22">
        <f t="shared" si="30"/>
        <v>0</v>
      </c>
      <c r="BF36" s="22">
        <f t="shared" si="168"/>
        <v>3</v>
      </c>
      <c r="BG36" s="23">
        <f t="shared" si="32"/>
        <v>6</v>
      </c>
      <c r="BH36" s="373">
        <f t="shared" si="33"/>
        <v>2.9697499999999999</v>
      </c>
      <c r="BI36" s="374" t="str">
        <f t="shared" si="169"/>
        <v>(0.28)</v>
      </c>
      <c r="BJ36" s="375">
        <v>2</v>
      </c>
      <c r="BK36" s="375">
        <f t="shared" si="35"/>
        <v>3</v>
      </c>
      <c r="BL36" s="375">
        <v>0</v>
      </c>
      <c r="BM36" s="375">
        <f t="shared" si="36"/>
        <v>0</v>
      </c>
      <c r="BN36" s="375">
        <v>0</v>
      </c>
      <c r="BO36" s="375">
        <f t="shared" si="37"/>
        <v>0</v>
      </c>
      <c r="BP36" s="375">
        <f t="shared" si="170"/>
        <v>3</v>
      </c>
      <c r="BQ36" s="376">
        <f t="shared" si="39"/>
        <v>9</v>
      </c>
      <c r="BR36" s="373">
        <f t="shared" si="40"/>
        <v>4.949583333333333</v>
      </c>
      <c r="BS36" s="374" t="str">
        <f t="shared" si="41"/>
        <v>(0.46)</v>
      </c>
      <c r="BT36" s="375">
        <v>2</v>
      </c>
      <c r="BU36" s="375">
        <f t="shared" si="42"/>
        <v>3</v>
      </c>
      <c r="BV36" s="375">
        <v>0</v>
      </c>
      <c r="BW36" s="375">
        <f t="shared" si="43"/>
        <v>0</v>
      </c>
      <c r="BX36" s="375">
        <v>0</v>
      </c>
      <c r="BY36" s="375">
        <f t="shared" si="44"/>
        <v>0</v>
      </c>
      <c r="BZ36" s="375">
        <f t="shared" si="171"/>
        <v>3</v>
      </c>
      <c r="CA36" s="376">
        <f t="shared" si="46"/>
        <v>15</v>
      </c>
      <c r="CB36" s="373">
        <f t="shared" si="47"/>
        <v>6.9294166666666666</v>
      </c>
      <c r="CC36" s="374" t="str">
        <f t="shared" si="48"/>
        <v>(0.64)</v>
      </c>
      <c r="CD36" s="375">
        <v>2</v>
      </c>
      <c r="CE36" s="375">
        <f t="shared" si="49"/>
        <v>3</v>
      </c>
      <c r="CF36" s="375">
        <v>0</v>
      </c>
      <c r="CG36" s="375">
        <f t="shared" si="50"/>
        <v>0</v>
      </c>
      <c r="CH36" s="375">
        <v>0</v>
      </c>
      <c r="CI36" s="375">
        <f t="shared" si="51"/>
        <v>0</v>
      </c>
      <c r="CJ36" s="375">
        <f t="shared" si="172"/>
        <v>3</v>
      </c>
      <c r="CK36" s="376">
        <f t="shared" si="53"/>
        <v>21</v>
      </c>
      <c r="CL36" s="373">
        <f t="shared" si="54"/>
        <v>8.9092500000000001</v>
      </c>
      <c r="CM36" s="374" t="str">
        <f t="shared" si="55"/>
        <v>(0.83)</v>
      </c>
      <c r="CN36" s="375">
        <v>2</v>
      </c>
      <c r="CO36" s="375">
        <f t="shared" si="56"/>
        <v>3</v>
      </c>
      <c r="CP36" s="375">
        <v>0</v>
      </c>
      <c r="CQ36" s="375">
        <f t="shared" si="57"/>
        <v>0</v>
      </c>
      <c r="CR36" s="375">
        <v>0</v>
      </c>
      <c r="CS36" s="375">
        <f t="shared" si="58"/>
        <v>0</v>
      </c>
      <c r="CT36" s="375">
        <f t="shared" si="173"/>
        <v>3</v>
      </c>
      <c r="CU36" s="376">
        <f t="shared" si="60"/>
        <v>27</v>
      </c>
      <c r="CV36" s="373">
        <f t="shared" si="61"/>
        <v>10.889083333333334</v>
      </c>
      <c r="CW36" s="374" t="str">
        <f t="shared" si="62"/>
        <v>(1.01)</v>
      </c>
      <c r="CX36" s="375">
        <v>2</v>
      </c>
      <c r="CY36" s="375">
        <f t="shared" si="63"/>
        <v>3</v>
      </c>
      <c r="CZ36" s="375">
        <v>0</v>
      </c>
      <c r="DA36" s="375">
        <f t="shared" si="64"/>
        <v>0</v>
      </c>
      <c r="DB36" s="375">
        <v>0</v>
      </c>
      <c r="DC36" s="375">
        <f t="shared" si="65"/>
        <v>0</v>
      </c>
      <c r="DD36" s="375">
        <f t="shared" si="174"/>
        <v>3</v>
      </c>
      <c r="DE36" s="376">
        <f t="shared" si="67"/>
        <v>33</v>
      </c>
      <c r="DF36" s="373">
        <f t="shared" si="68"/>
        <v>12.868916666666667</v>
      </c>
      <c r="DG36" s="374" t="str">
        <f t="shared" si="69"/>
        <v>(1.2)</v>
      </c>
      <c r="DH36" s="375">
        <v>2</v>
      </c>
      <c r="DI36" s="375">
        <f t="shared" si="70"/>
        <v>3</v>
      </c>
      <c r="DJ36" s="375">
        <v>0</v>
      </c>
      <c r="DK36" s="375">
        <f t="shared" si="71"/>
        <v>0</v>
      </c>
      <c r="DL36" s="375">
        <v>0</v>
      </c>
      <c r="DM36" s="375">
        <f t="shared" si="72"/>
        <v>0</v>
      </c>
      <c r="DN36" s="375">
        <f t="shared" si="175"/>
        <v>3</v>
      </c>
      <c r="DO36" s="376">
        <f t="shared" si="74"/>
        <v>39</v>
      </c>
      <c r="DP36" s="373">
        <f t="shared" si="75"/>
        <v>14.848749999999999</v>
      </c>
      <c r="DQ36" s="374" t="str">
        <f t="shared" si="76"/>
        <v>(1.38)</v>
      </c>
      <c r="DR36" s="375">
        <v>2</v>
      </c>
      <c r="DS36" s="375">
        <f t="shared" si="77"/>
        <v>3</v>
      </c>
      <c r="DT36" s="375">
        <v>0</v>
      </c>
      <c r="DU36" s="375">
        <f t="shared" si="78"/>
        <v>0</v>
      </c>
      <c r="DV36" s="375">
        <v>0</v>
      </c>
      <c r="DW36" s="375">
        <f t="shared" si="79"/>
        <v>0</v>
      </c>
      <c r="DX36" s="375">
        <f t="shared" si="176"/>
        <v>3</v>
      </c>
      <c r="DY36" s="376">
        <f t="shared" si="81"/>
        <v>45</v>
      </c>
      <c r="DZ36" s="373">
        <f t="shared" si="82"/>
        <v>16.49861111111111</v>
      </c>
      <c r="EA36" s="374" t="str">
        <f t="shared" si="177"/>
        <v>(1.53)</v>
      </c>
      <c r="EB36" s="375">
        <v>2</v>
      </c>
      <c r="EC36" s="375">
        <f t="shared" si="84"/>
        <v>3</v>
      </c>
      <c r="ED36" s="375">
        <v>0</v>
      </c>
      <c r="EE36" s="375">
        <f t="shared" si="85"/>
        <v>0</v>
      </c>
      <c r="EF36" s="375">
        <v>1</v>
      </c>
      <c r="EG36" s="375">
        <f t="shared" si="86"/>
        <v>1</v>
      </c>
      <c r="EH36" s="375">
        <f t="shared" si="178"/>
        <v>4</v>
      </c>
      <c r="EI36" s="376">
        <f t="shared" si="88"/>
        <v>50</v>
      </c>
      <c r="EJ36" s="373">
        <f t="shared" si="89"/>
        <v>18.478444444444442</v>
      </c>
      <c r="EK36" s="374" t="str">
        <f t="shared" si="203"/>
        <v>(1.72)</v>
      </c>
      <c r="EL36" s="375">
        <v>2</v>
      </c>
      <c r="EM36" s="375">
        <f t="shared" si="91"/>
        <v>3</v>
      </c>
      <c r="EN36" s="375">
        <v>0</v>
      </c>
      <c r="EO36" s="375">
        <f t="shared" si="92"/>
        <v>0</v>
      </c>
      <c r="EP36" s="375">
        <v>1</v>
      </c>
      <c r="EQ36" s="375">
        <f t="shared" si="93"/>
        <v>1</v>
      </c>
      <c r="ER36" s="375">
        <f t="shared" si="180"/>
        <v>4</v>
      </c>
      <c r="ES36" s="376">
        <f t="shared" si="95"/>
        <v>56</v>
      </c>
      <c r="ET36" s="373">
        <f t="shared" si="96"/>
        <v>20.458277777777777</v>
      </c>
      <c r="EU36" s="374" t="str">
        <f t="shared" si="204"/>
        <v>(1.90)</v>
      </c>
      <c r="EV36" s="375">
        <v>2</v>
      </c>
      <c r="EW36" s="375">
        <f t="shared" si="98"/>
        <v>3</v>
      </c>
      <c r="EX36" s="375">
        <v>0</v>
      </c>
      <c r="EY36" s="375">
        <f t="shared" si="99"/>
        <v>0</v>
      </c>
      <c r="EZ36" s="375">
        <v>1</v>
      </c>
      <c r="FA36" s="375">
        <f t="shared" si="100"/>
        <v>1</v>
      </c>
      <c r="FB36" s="375">
        <f t="shared" si="182"/>
        <v>4</v>
      </c>
      <c r="FC36" s="376">
        <f t="shared" si="102"/>
        <v>62</v>
      </c>
      <c r="FD36" s="373">
        <f t="shared" si="103"/>
        <v>22.396864583333333</v>
      </c>
      <c r="FE36" s="374" t="str">
        <f t="shared" si="183"/>
        <v>(2.08)</v>
      </c>
      <c r="FF36" s="375">
        <v>2</v>
      </c>
      <c r="FG36" s="375">
        <f t="shared" si="105"/>
        <v>3</v>
      </c>
      <c r="FH36" s="375">
        <v>1</v>
      </c>
      <c r="FI36" s="375">
        <f t="shared" si="106"/>
        <v>1.125</v>
      </c>
      <c r="FJ36" s="375">
        <v>0</v>
      </c>
      <c r="FK36" s="375">
        <f t="shared" si="107"/>
        <v>0</v>
      </c>
      <c r="FL36" s="375">
        <f t="shared" si="184"/>
        <v>4.125</v>
      </c>
      <c r="FM36" s="376">
        <f t="shared" si="109"/>
        <v>67.875</v>
      </c>
      <c r="FN36" s="31"/>
      <c r="FO36" s="31"/>
      <c r="FP36" s="32"/>
      <c r="FQ36" s="32"/>
      <c r="FR36" s="32"/>
      <c r="FS36" s="32"/>
      <c r="FT36" s="32"/>
      <c r="FU36" s="32"/>
      <c r="FV36" s="31"/>
      <c r="FW36" s="31"/>
      <c r="FX36" s="31"/>
      <c r="FY36" s="31"/>
      <c r="FZ36" s="31"/>
      <c r="GA36" s="31"/>
      <c r="GB36" s="31"/>
      <c r="GC36" s="31"/>
      <c r="GD36" s="31"/>
      <c r="GE36" s="31"/>
      <c r="GF36" s="31"/>
      <c r="GG36" s="31"/>
      <c r="GH36" s="31"/>
      <c r="GI36" s="31"/>
      <c r="GJ36" s="32"/>
      <c r="GK36" s="32"/>
      <c r="GL36" s="32"/>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2"/>
      <c r="HQ36" s="32"/>
      <c r="HR36" s="32"/>
      <c r="HS36" s="32"/>
      <c r="HT36" s="32"/>
      <c r="HU36" s="32"/>
      <c r="HV36" s="32"/>
      <c r="HW36" s="32"/>
      <c r="HX36" s="32"/>
      <c r="HY36" s="32"/>
      <c r="HZ36" s="32"/>
      <c r="IA36" s="32"/>
      <c r="IB36" s="32"/>
      <c r="IC36" s="32"/>
      <c r="ID36" s="32"/>
      <c r="IE36" s="32"/>
      <c r="IF36" s="31"/>
      <c r="IG36" s="31"/>
      <c r="IH36" s="32"/>
      <c r="II36" s="32"/>
      <c r="IJ36" s="34"/>
      <c r="IK36" s="32"/>
      <c r="IL36" s="32"/>
      <c r="IM36" s="32"/>
      <c r="IN36" s="33"/>
      <c r="IO36" s="33"/>
      <c r="IP36" s="33"/>
      <c r="IQ36" s="25">
        <v>17</v>
      </c>
      <c r="IR36" s="26">
        <v>2.5</v>
      </c>
      <c r="IS36" s="26">
        <v>2.8079999999999998</v>
      </c>
      <c r="IT36" s="26">
        <v>8.7999999999999995E-2</v>
      </c>
      <c r="IU36" s="26">
        <v>1.5</v>
      </c>
      <c r="IV36" s="26">
        <v>1</v>
      </c>
      <c r="IW36" s="26">
        <v>1.125</v>
      </c>
      <c r="IX36" s="8"/>
    </row>
    <row r="37" spans="2:258" ht="15.75" thickBot="1" x14ac:dyDescent="0.3">
      <c r="B37" s="103">
        <f>B36+6</f>
        <v>114</v>
      </c>
      <c r="C37" s="221">
        <v>20</v>
      </c>
      <c r="D37" s="98">
        <f t="shared" si="1"/>
        <v>0.35727485380116958</v>
      </c>
      <c r="E37" s="96">
        <f t="shared" si="2"/>
        <v>0.40193421052631578</v>
      </c>
      <c r="F37" s="96">
        <f t="shared" si="3"/>
        <v>0.44659356725146193</v>
      </c>
      <c r="G37" s="96">
        <f t="shared" si="4"/>
        <v>0.46892324561403503</v>
      </c>
      <c r="H37" s="96">
        <f t="shared" si="5"/>
        <v>0.48232105263157893</v>
      </c>
      <c r="I37" s="96">
        <f t="shared" si="6"/>
        <v>0.49125292397660814</v>
      </c>
      <c r="J37" s="96">
        <f t="shared" si="7"/>
        <v>0.49763283208020043</v>
      </c>
      <c r="K37" s="96">
        <f t="shared" si="8"/>
        <v>0.50241776315789466</v>
      </c>
      <c r="L37" s="96">
        <f t="shared" si="9"/>
        <v>0.49621507472384663</v>
      </c>
      <c r="M37" s="96">
        <f t="shared" si="10"/>
        <v>0.5001847953216374</v>
      </c>
      <c r="N37" s="96">
        <f t="shared" si="11"/>
        <v>0.50343274853801157</v>
      </c>
      <c r="O37" s="96">
        <f t="shared" si="12"/>
        <v>0.50520897295321621</v>
      </c>
      <c r="P37" s="238"/>
      <c r="Q37" s="238"/>
      <c r="R37" s="238"/>
      <c r="S37" s="238"/>
      <c r="T37" s="238"/>
      <c r="U37" s="238"/>
      <c r="V37" s="238"/>
      <c r="W37" s="238"/>
      <c r="X37" s="96"/>
      <c r="Y37" s="65"/>
      <c r="AT37" s="4"/>
      <c r="AU37" s="27">
        <f t="shared" si="200"/>
        <v>96</v>
      </c>
      <c r="AV37" s="28" t="str">
        <f t="shared" si="166"/>
        <v>(2450)</v>
      </c>
      <c r="AW37" s="19">
        <f t="shared" si="201"/>
        <v>22</v>
      </c>
      <c r="AX37" s="20">
        <f t="shared" si="26"/>
        <v>2.13</v>
      </c>
      <c r="AY37" s="21" t="str">
        <f t="shared" si="202"/>
        <v>(0.20)</v>
      </c>
      <c r="AZ37" s="22">
        <v>2</v>
      </c>
      <c r="BA37" s="22">
        <f t="shared" si="28"/>
        <v>3</v>
      </c>
      <c r="BB37" s="22">
        <v>0</v>
      </c>
      <c r="BC37" s="22">
        <f t="shared" si="29"/>
        <v>0</v>
      </c>
      <c r="BD37" s="22">
        <v>0</v>
      </c>
      <c r="BE37" s="22">
        <f t="shared" si="30"/>
        <v>0</v>
      </c>
      <c r="BF37" s="22">
        <f t="shared" si="168"/>
        <v>3</v>
      </c>
      <c r="BG37" s="23">
        <f t="shared" si="32"/>
        <v>6</v>
      </c>
      <c r="BH37" s="373">
        <f t="shared" si="33"/>
        <v>3.1949999999999998</v>
      </c>
      <c r="BI37" s="374" t="str">
        <f t="shared" si="169"/>
        <v>(0.30)</v>
      </c>
      <c r="BJ37" s="375">
        <v>2</v>
      </c>
      <c r="BK37" s="375">
        <f t="shared" si="35"/>
        <v>3</v>
      </c>
      <c r="BL37" s="375">
        <v>0</v>
      </c>
      <c r="BM37" s="375">
        <f t="shared" si="36"/>
        <v>0</v>
      </c>
      <c r="BN37" s="375">
        <v>0</v>
      </c>
      <c r="BO37" s="375">
        <f t="shared" si="37"/>
        <v>0</v>
      </c>
      <c r="BP37" s="375">
        <f t="shared" si="170"/>
        <v>3</v>
      </c>
      <c r="BQ37" s="376">
        <f t="shared" si="39"/>
        <v>9</v>
      </c>
      <c r="BR37" s="373">
        <f t="shared" si="40"/>
        <v>5.3249999999999993</v>
      </c>
      <c r="BS37" s="374" t="str">
        <f t="shared" si="41"/>
        <v>(0.49)</v>
      </c>
      <c r="BT37" s="375">
        <v>2</v>
      </c>
      <c r="BU37" s="375">
        <f t="shared" si="42"/>
        <v>3</v>
      </c>
      <c r="BV37" s="375">
        <v>0</v>
      </c>
      <c r="BW37" s="375">
        <f t="shared" si="43"/>
        <v>0</v>
      </c>
      <c r="BX37" s="375">
        <v>0</v>
      </c>
      <c r="BY37" s="375">
        <f t="shared" si="44"/>
        <v>0</v>
      </c>
      <c r="BZ37" s="375">
        <f t="shared" si="171"/>
        <v>3</v>
      </c>
      <c r="CA37" s="376">
        <f t="shared" si="46"/>
        <v>15</v>
      </c>
      <c r="CB37" s="373">
        <f t="shared" si="47"/>
        <v>7.4550000000000001</v>
      </c>
      <c r="CC37" s="374" t="str">
        <f t="shared" si="48"/>
        <v>(0.69)</v>
      </c>
      <c r="CD37" s="375">
        <v>2</v>
      </c>
      <c r="CE37" s="375">
        <f t="shared" si="49"/>
        <v>3</v>
      </c>
      <c r="CF37" s="375">
        <v>0</v>
      </c>
      <c r="CG37" s="375">
        <f t="shared" si="50"/>
        <v>0</v>
      </c>
      <c r="CH37" s="375">
        <v>0</v>
      </c>
      <c r="CI37" s="375">
        <f t="shared" si="51"/>
        <v>0</v>
      </c>
      <c r="CJ37" s="375">
        <f t="shared" si="172"/>
        <v>3</v>
      </c>
      <c r="CK37" s="376">
        <f t="shared" si="53"/>
        <v>21</v>
      </c>
      <c r="CL37" s="373">
        <f t="shared" si="54"/>
        <v>9.5850000000000009</v>
      </c>
      <c r="CM37" s="374" t="str">
        <f t="shared" si="55"/>
        <v>(0.89)</v>
      </c>
      <c r="CN37" s="375">
        <v>2</v>
      </c>
      <c r="CO37" s="375">
        <f t="shared" si="56"/>
        <v>3</v>
      </c>
      <c r="CP37" s="375">
        <v>0</v>
      </c>
      <c r="CQ37" s="375">
        <f t="shared" si="57"/>
        <v>0</v>
      </c>
      <c r="CR37" s="375">
        <v>0</v>
      </c>
      <c r="CS37" s="375">
        <f t="shared" si="58"/>
        <v>0</v>
      </c>
      <c r="CT37" s="375">
        <f t="shared" si="173"/>
        <v>3</v>
      </c>
      <c r="CU37" s="376">
        <f t="shared" si="60"/>
        <v>27</v>
      </c>
      <c r="CV37" s="373">
        <f t="shared" si="61"/>
        <v>11.714999999999998</v>
      </c>
      <c r="CW37" s="374" t="str">
        <f t="shared" si="62"/>
        <v>(1.09)</v>
      </c>
      <c r="CX37" s="375">
        <v>2</v>
      </c>
      <c r="CY37" s="375">
        <f t="shared" si="63"/>
        <v>3</v>
      </c>
      <c r="CZ37" s="375">
        <v>0</v>
      </c>
      <c r="DA37" s="375">
        <f t="shared" si="64"/>
        <v>0</v>
      </c>
      <c r="DB37" s="375">
        <v>0</v>
      </c>
      <c r="DC37" s="375">
        <f t="shared" si="65"/>
        <v>0</v>
      </c>
      <c r="DD37" s="375">
        <f t="shared" si="174"/>
        <v>3</v>
      </c>
      <c r="DE37" s="376">
        <f t="shared" si="67"/>
        <v>33</v>
      </c>
      <c r="DF37" s="373">
        <f t="shared" si="68"/>
        <v>13.844999999999999</v>
      </c>
      <c r="DG37" s="374" t="str">
        <f t="shared" si="69"/>
        <v>(1.29)</v>
      </c>
      <c r="DH37" s="375">
        <v>2</v>
      </c>
      <c r="DI37" s="375">
        <f t="shared" si="70"/>
        <v>3</v>
      </c>
      <c r="DJ37" s="375">
        <v>0</v>
      </c>
      <c r="DK37" s="375">
        <f t="shared" si="71"/>
        <v>0</v>
      </c>
      <c r="DL37" s="375">
        <v>0</v>
      </c>
      <c r="DM37" s="375">
        <f t="shared" si="72"/>
        <v>0</v>
      </c>
      <c r="DN37" s="375">
        <f t="shared" si="175"/>
        <v>3</v>
      </c>
      <c r="DO37" s="376">
        <f t="shared" si="74"/>
        <v>39</v>
      </c>
      <c r="DP37" s="373">
        <f t="shared" si="75"/>
        <v>15.975000000000001</v>
      </c>
      <c r="DQ37" s="374" t="str">
        <f t="shared" si="76"/>
        <v>(1.48)</v>
      </c>
      <c r="DR37" s="375">
        <v>2</v>
      </c>
      <c r="DS37" s="375">
        <f t="shared" si="77"/>
        <v>3</v>
      </c>
      <c r="DT37" s="375">
        <v>0</v>
      </c>
      <c r="DU37" s="375">
        <f t="shared" si="78"/>
        <v>0</v>
      </c>
      <c r="DV37" s="375">
        <v>0</v>
      </c>
      <c r="DW37" s="375">
        <f t="shared" si="79"/>
        <v>0</v>
      </c>
      <c r="DX37" s="375">
        <f t="shared" si="176"/>
        <v>3</v>
      </c>
      <c r="DY37" s="376">
        <f t="shared" si="81"/>
        <v>45</v>
      </c>
      <c r="DZ37" s="373">
        <f t="shared" si="82"/>
        <v>17.75</v>
      </c>
      <c r="EA37" s="374" t="str">
        <f t="shared" si="177"/>
        <v>(1.65)</v>
      </c>
      <c r="EB37" s="375">
        <v>2</v>
      </c>
      <c r="EC37" s="375">
        <f t="shared" si="84"/>
        <v>3</v>
      </c>
      <c r="ED37" s="375">
        <v>0</v>
      </c>
      <c r="EE37" s="375">
        <f t="shared" si="85"/>
        <v>0</v>
      </c>
      <c r="EF37" s="375">
        <v>1</v>
      </c>
      <c r="EG37" s="375">
        <f t="shared" si="86"/>
        <v>1</v>
      </c>
      <c r="EH37" s="375">
        <f t="shared" si="178"/>
        <v>4</v>
      </c>
      <c r="EI37" s="376">
        <f t="shared" si="88"/>
        <v>50</v>
      </c>
      <c r="EJ37" s="373">
        <f t="shared" si="89"/>
        <v>19.88</v>
      </c>
      <c r="EK37" s="374" t="str">
        <f t="shared" si="203"/>
        <v>(1.85)</v>
      </c>
      <c r="EL37" s="375">
        <v>2</v>
      </c>
      <c r="EM37" s="375">
        <f t="shared" si="91"/>
        <v>3</v>
      </c>
      <c r="EN37" s="375">
        <v>0</v>
      </c>
      <c r="EO37" s="375">
        <f t="shared" si="92"/>
        <v>0</v>
      </c>
      <c r="EP37" s="375">
        <v>1</v>
      </c>
      <c r="EQ37" s="375">
        <f t="shared" si="93"/>
        <v>1</v>
      </c>
      <c r="ER37" s="375">
        <f t="shared" si="180"/>
        <v>4</v>
      </c>
      <c r="ES37" s="376">
        <f t="shared" si="95"/>
        <v>56</v>
      </c>
      <c r="ET37" s="373">
        <f t="shared" si="96"/>
        <v>22.01</v>
      </c>
      <c r="EU37" s="374" t="str">
        <f t="shared" si="204"/>
        <v>(2.04)</v>
      </c>
      <c r="EV37" s="375">
        <v>2</v>
      </c>
      <c r="EW37" s="375">
        <f t="shared" si="98"/>
        <v>3</v>
      </c>
      <c r="EX37" s="375">
        <v>0</v>
      </c>
      <c r="EY37" s="375">
        <f t="shared" si="99"/>
        <v>0</v>
      </c>
      <c r="EZ37" s="375">
        <v>1</v>
      </c>
      <c r="FA37" s="375">
        <f t="shared" si="100"/>
        <v>1</v>
      </c>
      <c r="FB37" s="375">
        <f t="shared" si="182"/>
        <v>4</v>
      </c>
      <c r="FC37" s="376">
        <f t="shared" si="102"/>
        <v>62</v>
      </c>
      <c r="FD37" s="373">
        <f t="shared" si="103"/>
        <v>24.095624999999998</v>
      </c>
      <c r="FE37" s="374" t="str">
        <f t="shared" si="183"/>
        <v>(2.24)</v>
      </c>
      <c r="FF37" s="375">
        <v>2</v>
      </c>
      <c r="FG37" s="375">
        <f t="shared" si="105"/>
        <v>3</v>
      </c>
      <c r="FH37" s="375">
        <v>1</v>
      </c>
      <c r="FI37" s="375">
        <f t="shared" si="106"/>
        <v>1.125</v>
      </c>
      <c r="FJ37" s="375">
        <v>0</v>
      </c>
      <c r="FK37" s="375">
        <f t="shared" si="107"/>
        <v>0</v>
      </c>
      <c r="FL37" s="375">
        <f t="shared" si="184"/>
        <v>4.125</v>
      </c>
      <c r="FM37" s="376">
        <f t="shared" si="109"/>
        <v>67.875</v>
      </c>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5">
        <v>18</v>
      </c>
      <c r="IR37" s="26">
        <v>2.5</v>
      </c>
      <c r="IS37" s="26">
        <v>2.8079999999999998</v>
      </c>
      <c r="IT37" s="26">
        <v>0.88400000000000001</v>
      </c>
      <c r="IU37" s="26">
        <v>1.5</v>
      </c>
      <c r="IV37" s="26">
        <v>1</v>
      </c>
      <c r="IW37" s="26">
        <v>1.125</v>
      </c>
      <c r="IX37" s="8"/>
    </row>
    <row r="38" spans="2:258" ht="15.75" thickBot="1" x14ac:dyDescent="0.3">
      <c r="B38" s="103">
        <f t="shared" si="25"/>
        <v>120</v>
      </c>
      <c r="C38" s="227">
        <v>21</v>
      </c>
      <c r="D38" s="98">
        <f t="shared" si="1"/>
        <v>0.35757777777777772</v>
      </c>
      <c r="E38" s="96">
        <f t="shared" si="2"/>
        <v>0.40227499999999994</v>
      </c>
      <c r="F38" s="96">
        <f t="shared" si="3"/>
        <v>0.44697222222222216</v>
      </c>
      <c r="G38" s="96">
        <f t="shared" si="4"/>
        <v>0.4693208333333333</v>
      </c>
      <c r="H38" s="96">
        <f t="shared" si="5"/>
        <v>0.48272999999999994</v>
      </c>
      <c r="I38" s="96">
        <f t="shared" si="6"/>
        <v>0.49166944444444438</v>
      </c>
      <c r="J38" s="96">
        <f t="shared" si="7"/>
        <v>0.49805476190476178</v>
      </c>
      <c r="K38" s="96">
        <f t="shared" si="8"/>
        <v>0.50284374999999992</v>
      </c>
      <c r="L38" s="96">
        <f t="shared" si="9"/>
        <v>0.49663580246913575</v>
      </c>
      <c r="M38" s="96">
        <f t="shared" si="10"/>
        <v>0.50060888888888888</v>
      </c>
      <c r="N38" s="96">
        <f t="shared" si="11"/>
        <v>0.50385959595959584</v>
      </c>
      <c r="O38" s="96">
        <f t="shared" si="12"/>
        <v>0.50563732638888881</v>
      </c>
      <c r="P38" s="238"/>
      <c r="Q38" s="238"/>
      <c r="R38" s="238"/>
      <c r="S38" s="238"/>
      <c r="T38" s="238"/>
      <c r="U38" s="238"/>
      <c r="V38" s="238"/>
      <c r="W38" s="238"/>
      <c r="X38" s="96"/>
      <c r="Y38" s="65"/>
      <c r="AT38" s="4"/>
      <c r="AU38" s="27">
        <f t="shared" si="200"/>
        <v>102</v>
      </c>
      <c r="AV38" s="28" t="str">
        <f t="shared" si="166"/>
        <v>(2600)</v>
      </c>
      <c r="AW38" s="19">
        <f t="shared" si="201"/>
        <v>23</v>
      </c>
      <c r="AX38" s="20">
        <f t="shared" si="26"/>
        <v>2.2854999999999999</v>
      </c>
      <c r="AY38" s="21" t="str">
        <f t="shared" si="202"/>
        <v>(0.21)</v>
      </c>
      <c r="AZ38" s="22">
        <v>2</v>
      </c>
      <c r="BA38" s="22">
        <f t="shared" si="28"/>
        <v>3</v>
      </c>
      <c r="BB38" s="22">
        <v>0</v>
      </c>
      <c r="BC38" s="22">
        <f t="shared" si="29"/>
        <v>0</v>
      </c>
      <c r="BD38" s="22">
        <v>0</v>
      </c>
      <c r="BE38" s="22">
        <f t="shared" si="30"/>
        <v>0</v>
      </c>
      <c r="BF38" s="22">
        <f t="shared" si="168"/>
        <v>3</v>
      </c>
      <c r="BG38" s="23">
        <f t="shared" si="32"/>
        <v>6</v>
      </c>
      <c r="BH38" s="373">
        <f t="shared" si="33"/>
        <v>3.4282499999999998</v>
      </c>
      <c r="BI38" s="374" t="str">
        <f t="shared" si="169"/>
        <v>(0.32)</v>
      </c>
      <c r="BJ38" s="375">
        <v>2</v>
      </c>
      <c r="BK38" s="375">
        <f t="shared" si="35"/>
        <v>3</v>
      </c>
      <c r="BL38" s="375">
        <v>0</v>
      </c>
      <c r="BM38" s="375">
        <f t="shared" si="36"/>
        <v>0</v>
      </c>
      <c r="BN38" s="375">
        <v>0</v>
      </c>
      <c r="BO38" s="375">
        <f t="shared" si="37"/>
        <v>0</v>
      </c>
      <c r="BP38" s="375">
        <f t="shared" si="170"/>
        <v>3</v>
      </c>
      <c r="BQ38" s="376">
        <f t="shared" si="39"/>
        <v>9</v>
      </c>
      <c r="BR38" s="373">
        <f t="shared" si="40"/>
        <v>5.7137500000000001</v>
      </c>
      <c r="BS38" s="374" t="str">
        <f t="shared" si="41"/>
        <v>(0.53)</v>
      </c>
      <c r="BT38" s="375">
        <v>2</v>
      </c>
      <c r="BU38" s="375">
        <f t="shared" si="42"/>
        <v>3</v>
      </c>
      <c r="BV38" s="375">
        <v>0</v>
      </c>
      <c r="BW38" s="375">
        <f t="shared" si="43"/>
        <v>0</v>
      </c>
      <c r="BX38" s="375">
        <v>0</v>
      </c>
      <c r="BY38" s="375">
        <f t="shared" si="44"/>
        <v>0</v>
      </c>
      <c r="BZ38" s="375">
        <f t="shared" si="171"/>
        <v>3</v>
      </c>
      <c r="CA38" s="376">
        <f t="shared" si="46"/>
        <v>15</v>
      </c>
      <c r="CB38" s="373">
        <f t="shared" si="47"/>
        <v>7.9992499999999991</v>
      </c>
      <c r="CC38" s="374" t="str">
        <f t="shared" si="48"/>
        <v>(0.74)</v>
      </c>
      <c r="CD38" s="375">
        <v>2</v>
      </c>
      <c r="CE38" s="375">
        <f t="shared" si="49"/>
        <v>3</v>
      </c>
      <c r="CF38" s="375">
        <v>0</v>
      </c>
      <c r="CG38" s="375">
        <f t="shared" si="50"/>
        <v>0</v>
      </c>
      <c r="CH38" s="375">
        <v>0</v>
      </c>
      <c r="CI38" s="375">
        <f t="shared" si="51"/>
        <v>0</v>
      </c>
      <c r="CJ38" s="375">
        <f t="shared" si="172"/>
        <v>3</v>
      </c>
      <c r="CK38" s="376">
        <f t="shared" si="53"/>
        <v>21</v>
      </c>
      <c r="CL38" s="373">
        <f t="shared" si="54"/>
        <v>10.284749999999999</v>
      </c>
      <c r="CM38" s="374" t="str">
        <f t="shared" si="55"/>
        <v>(0.96)</v>
      </c>
      <c r="CN38" s="375">
        <v>2</v>
      </c>
      <c r="CO38" s="375">
        <f t="shared" si="56"/>
        <v>3</v>
      </c>
      <c r="CP38" s="375">
        <v>0</v>
      </c>
      <c r="CQ38" s="375">
        <f t="shared" si="57"/>
        <v>0</v>
      </c>
      <c r="CR38" s="375">
        <v>0</v>
      </c>
      <c r="CS38" s="375">
        <f t="shared" si="58"/>
        <v>0</v>
      </c>
      <c r="CT38" s="375">
        <f t="shared" si="173"/>
        <v>3</v>
      </c>
      <c r="CU38" s="376">
        <f t="shared" si="60"/>
        <v>27</v>
      </c>
      <c r="CV38" s="373">
        <f t="shared" si="61"/>
        <v>12.57025</v>
      </c>
      <c r="CW38" s="374" t="str">
        <f t="shared" si="62"/>
        <v>(1.17)</v>
      </c>
      <c r="CX38" s="375">
        <v>2</v>
      </c>
      <c r="CY38" s="375">
        <f t="shared" si="63"/>
        <v>3</v>
      </c>
      <c r="CZ38" s="375">
        <v>0</v>
      </c>
      <c r="DA38" s="375">
        <f t="shared" si="64"/>
        <v>0</v>
      </c>
      <c r="DB38" s="375">
        <v>0</v>
      </c>
      <c r="DC38" s="375">
        <f t="shared" si="65"/>
        <v>0</v>
      </c>
      <c r="DD38" s="375">
        <f t="shared" si="174"/>
        <v>3</v>
      </c>
      <c r="DE38" s="376">
        <f t="shared" si="67"/>
        <v>33</v>
      </c>
      <c r="DF38" s="373">
        <f t="shared" si="68"/>
        <v>14.85575</v>
      </c>
      <c r="DG38" s="374" t="str">
        <f t="shared" si="69"/>
        <v>(1.38)</v>
      </c>
      <c r="DH38" s="375">
        <v>2</v>
      </c>
      <c r="DI38" s="375">
        <f t="shared" si="70"/>
        <v>3</v>
      </c>
      <c r="DJ38" s="375">
        <v>0</v>
      </c>
      <c r="DK38" s="375">
        <f t="shared" si="71"/>
        <v>0</v>
      </c>
      <c r="DL38" s="375">
        <v>0</v>
      </c>
      <c r="DM38" s="375">
        <f t="shared" si="72"/>
        <v>0</v>
      </c>
      <c r="DN38" s="375">
        <f t="shared" si="175"/>
        <v>3</v>
      </c>
      <c r="DO38" s="376">
        <f t="shared" si="74"/>
        <v>39</v>
      </c>
      <c r="DP38" s="373">
        <f t="shared" si="75"/>
        <v>17.141249999999999</v>
      </c>
      <c r="DQ38" s="374" t="str">
        <f t="shared" si="76"/>
        <v>(1.59)</v>
      </c>
      <c r="DR38" s="375">
        <v>2</v>
      </c>
      <c r="DS38" s="375">
        <f t="shared" si="77"/>
        <v>3</v>
      </c>
      <c r="DT38" s="375">
        <v>0</v>
      </c>
      <c r="DU38" s="375">
        <f t="shared" si="78"/>
        <v>0</v>
      </c>
      <c r="DV38" s="375">
        <v>0</v>
      </c>
      <c r="DW38" s="375">
        <f t="shared" si="79"/>
        <v>0</v>
      </c>
      <c r="DX38" s="375">
        <f t="shared" si="176"/>
        <v>3</v>
      </c>
      <c r="DY38" s="376">
        <f t="shared" si="81"/>
        <v>45</v>
      </c>
      <c r="DZ38" s="373">
        <f t="shared" si="82"/>
        <v>19.045833333333334</v>
      </c>
      <c r="EA38" s="374" t="str">
        <f t="shared" si="177"/>
        <v>(1.77)</v>
      </c>
      <c r="EB38" s="375">
        <v>2</v>
      </c>
      <c r="EC38" s="375">
        <f t="shared" si="84"/>
        <v>3</v>
      </c>
      <c r="ED38" s="375">
        <v>0</v>
      </c>
      <c r="EE38" s="375">
        <f t="shared" si="85"/>
        <v>0</v>
      </c>
      <c r="EF38" s="375">
        <v>1</v>
      </c>
      <c r="EG38" s="375">
        <f t="shared" si="86"/>
        <v>1</v>
      </c>
      <c r="EH38" s="375">
        <f t="shared" si="178"/>
        <v>4</v>
      </c>
      <c r="EI38" s="376">
        <f t="shared" si="88"/>
        <v>50</v>
      </c>
      <c r="EJ38" s="373">
        <f t="shared" si="89"/>
        <v>21.331333333333333</v>
      </c>
      <c r="EK38" s="374" t="str">
        <f t="shared" si="203"/>
        <v>(1.98)</v>
      </c>
      <c r="EL38" s="375">
        <v>2</v>
      </c>
      <c r="EM38" s="375">
        <f t="shared" si="91"/>
        <v>3</v>
      </c>
      <c r="EN38" s="375">
        <v>0</v>
      </c>
      <c r="EO38" s="375">
        <f t="shared" si="92"/>
        <v>0</v>
      </c>
      <c r="EP38" s="375">
        <v>1</v>
      </c>
      <c r="EQ38" s="375">
        <f t="shared" si="93"/>
        <v>1</v>
      </c>
      <c r="ER38" s="375">
        <f t="shared" si="180"/>
        <v>4</v>
      </c>
      <c r="ES38" s="376">
        <f t="shared" si="95"/>
        <v>56</v>
      </c>
      <c r="ET38" s="373">
        <f t="shared" si="96"/>
        <v>23.616833333333332</v>
      </c>
      <c r="EU38" s="374" t="str">
        <f t="shared" si="204"/>
        <v>(2.19)</v>
      </c>
      <c r="EV38" s="375">
        <v>2</v>
      </c>
      <c r="EW38" s="375">
        <f t="shared" si="98"/>
        <v>3</v>
      </c>
      <c r="EX38" s="375">
        <v>0</v>
      </c>
      <c r="EY38" s="375">
        <f t="shared" si="99"/>
        <v>0</v>
      </c>
      <c r="EZ38" s="375">
        <v>1</v>
      </c>
      <c r="FA38" s="375">
        <f t="shared" si="100"/>
        <v>1</v>
      </c>
      <c r="FB38" s="375">
        <f t="shared" si="182"/>
        <v>4</v>
      </c>
      <c r="FC38" s="376">
        <f t="shared" si="102"/>
        <v>62</v>
      </c>
      <c r="FD38" s="373">
        <f t="shared" si="103"/>
        <v>25.85471875</v>
      </c>
      <c r="FE38" s="374" t="str">
        <f t="shared" si="183"/>
        <v>(2.40)</v>
      </c>
      <c r="FF38" s="375">
        <v>2</v>
      </c>
      <c r="FG38" s="375">
        <f t="shared" si="105"/>
        <v>3</v>
      </c>
      <c r="FH38" s="375">
        <v>1</v>
      </c>
      <c r="FI38" s="375">
        <f t="shared" si="106"/>
        <v>1.125</v>
      </c>
      <c r="FJ38" s="375">
        <v>0</v>
      </c>
      <c r="FK38" s="375">
        <f t="shared" si="107"/>
        <v>0</v>
      </c>
      <c r="FL38" s="375">
        <f t="shared" si="184"/>
        <v>4.125</v>
      </c>
      <c r="FM38" s="376">
        <f t="shared" si="109"/>
        <v>67.875</v>
      </c>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5">
        <v>19</v>
      </c>
      <c r="IR38" s="26">
        <v>2.5</v>
      </c>
      <c r="IS38" s="26">
        <v>2.8079999999999998</v>
      </c>
      <c r="IT38" s="26">
        <v>1.8080000000000001</v>
      </c>
      <c r="IU38" s="26">
        <v>1.5</v>
      </c>
      <c r="IV38" s="26">
        <v>1</v>
      </c>
      <c r="IW38" s="26">
        <v>1.125</v>
      </c>
      <c r="IX38" s="8"/>
    </row>
    <row r="39" spans="2: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96"/>
      <c r="Y39" s="65"/>
      <c r="AT39" s="4"/>
      <c r="AU39" s="27">
        <f t="shared" si="200"/>
        <v>108</v>
      </c>
      <c r="AV39" s="28" t="str">
        <f t="shared" si="166"/>
        <v>(2750)</v>
      </c>
      <c r="AW39" s="19">
        <f t="shared" si="201"/>
        <v>24</v>
      </c>
      <c r="AX39" s="20">
        <f t="shared" si="26"/>
        <v>2.440375</v>
      </c>
      <c r="AY39" s="21" t="str">
        <f t="shared" si="202"/>
        <v>(0.23)</v>
      </c>
      <c r="AZ39" s="22">
        <v>2</v>
      </c>
      <c r="BA39" s="22">
        <f t="shared" si="28"/>
        <v>3</v>
      </c>
      <c r="BB39" s="22">
        <v>0</v>
      </c>
      <c r="BC39" s="22">
        <f t="shared" si="29"/>
        <v>0</v>
      </c>
      <c r="BD39" s="22">
        <v>0</v>
      </c>
      <c r="BE39" s="22">
        <f t="shared" si="30"/>
        <v>0</v>
      </c>
      <c r="BF39" s="22">
        <f t="shared" si="168"/>
        <v>3</v>
      </c>
      <c r="BG39" s="23">
        <f t="shared" si="32"/>
        <v>6</v>
      </c>
      <c r="BH39" s="373">
        <f t="shared" si="33"/>
        <v>3.6605624999999997</v>
      </c>
      <c r="BI39" s="374" t="str">
        <f t="shared" si="169"/>
        <v>(0.34)</v>
      </c>
      <c r="BJ39" s="375">
        <v>2</v>
      </c>
      <c r="BK39" s="375">
        <f t="shared" si="35"/>
        <v>3</v>
      </c>
      <c r="BL39" s="375">
        <v>0</v>
      </c>
      <c r="BM39" s="375">
        <f t="shared" si="36"/>
        <v>0</v>
      </c>
      <c r="BN39" s="375">
        <v>0</v>
      </c>
      <c r="BO39" s="375">
        <f t="shared" si="37"/>
        <v>0</v>
      </c>
      <c r="BP39" s="375">
        <f t="shared" si="170"/>
        <v>3</v>
      </c>
      <c r="BQ39" s="376">
        <f t="shared" si="39"/>
        <v>9</v>
      </c>
      <c r="BR39" s="373">
        <f t="shared" si="40"/>
        <v>6.1009374999999997</v>
      </c>
      <c r="BS39" s="374" t="str">
        <f t="shared" si="41"/>
        <v>(0.57)</v>
      </c>
      <c r="BT39" s="375">
        <v>2</v>
      </c>
      <c r="BU39" s="375">
        <f t="shared" si="42"/>
        <v>3</v>
      </c>
      <c r="BV39" s="375">
        <v>0</v>
      </c>
      <c r="BW39" s="375">
        <f t="shared" si="43"/>
        <v>0</v>
      </c>
      <c r="BX39" s="375">
        <v>0</v>
      </c>
      <c r="BY39" s="375">
        <f t="shared" si="44"/>
        <v>0</v>
      </c>
      <c r="BZ39" s="375">
        <f t="shared" si="171"/>
        <v>3</v>
      </c>
      <c r="CA39" s="376">
        <f t="shared" si="46"/>
        <v>15</v>
      </c>
      <c r="CB39" s="373">
        <f t="shared" si="47"/>
        <v>8.5413124999999983</v>
      </c>
      <c r="CC39" s="374" t="str">
        <f t="shared" si="48"/>
        <v>(0.79)</v>
      </c>
      <c r="CD39" s="375">
        <v>2</v>
      </c>
      <c r="CE39" s="375">
        <f t="shared" si="49"/>
        <v>3</v>
      </c>
      <c r="CF39" s="375">
        <v>0</v>
      </c>
      <c r="CG39" s="375">
        <f t="shared" si="50"/>
        <v>0</v>
      </c>
      <c r="CH39" s="375">
        <v>0</v>
      </c>
      <c r="CI39" s="375">
        <f t="shared" si="51"/>
        <v>0</v>
      </c>
      <c r="CJ39" s="375">
        <f t="shared" si="172"/>
        <v>3</v>
      </c>
      <c r="CK39" s="376">
        <f t="shared" si="53"/>
        <v>21</v>
      </c>
      <c r="CL39" s="373">
        <f t="shared" si="54"/>
        <v>10.9816875</v>
      </c>
      <c r="CM39" s="374" t="str">
        <f t="shared" si="55"/>
        <v>(1.02)</v>
      </c>
      <c r="CN39" s="375">
        <v>2</v>
      </c>
      <c r="CO39" s="375">
        <f t="shared" si="56"/>
        <v>3</v>
      </c>
      <c r="CP39" s="375">
        <v>0</v>
      </c>
      <c r="CQ39" s="375">
        <f t="shared" si="57"/>
        <v>0</v>
      </c>
      <c r="CR39" s="375">
        <v>0</v>
      </c>
      <c r="CS39" s="375">
        <f t="shared" si="58"/>
        <v>0</v>
      </c>
      <c r="CT39" s="375">
        <f t="shared" si="173"/>
        <v>3</v>
      </c>
      <c r="CU39" s="376">
        <f t="shared" si="60"/>
        <v>27</v>
      </c>
      <c r="CV39" s="373">
        <f t="shared" si="61"/>
        <v>13.422062499999999</v>
      </c>
      <c r="CW39" s="374" t="str">
        <f t="shared" si="62"/>
        <v>(1.25)</v>
      </c>
      <c r="CX39" s="375">
        <v>2</v>
      </c>
      <c r="CY39" s="375">
        <f t="shared" si="63"/>
        <v>3</v>
      </c>
      <c r="CZ39" s="375">
        <v>0</v>
      </c>
      <c r="DA39" s="375">
        <f t="shared" si="64"/>
        <v>0</v>
      </c>
      <c r="DB39" s="375">
        <v>0</v>
      </c>
      <c r="DC39" s="375">
        <f t="shared" si="65"/>
        <v>0</v>
      </c>
      <c r="DD39" s="375">
        <f t="shared" si="174"/>
        <v>3</v>
      </c>
      <c r="DE39" s="376">
        <f t="shared" si="67"/>
        <v>33</v>
      </c>
      <c r="DF39" s="373">
        <f t="shared" si="68"/>
        <v>15.862437499999999</v>
      </c>
      <c r="DG39" s="374" t="str">
        <f t="shared" si="69"/>
        <v>(1.47)</v>
      </c>
      <c r="DH39" s="375">
        <v>2</v>
      </c>
      <c r="DI39" s="375">
        <f t="shared" si="70"/>
        <v>3</v>
      </c>
      <c r="DJ39" s="375">
        <v>0</v>
      </c>
      <c r="DK39" s="375">
        <f t="shared" si="71"/>
        <v>0</v>
      </c>
      <c r="DL39" s="375">
        <v>0</v>
      </c>
      <c r="DM39" s="375">
        <f t="shared" si="72"/>
        <v>0</v>
      </c>
      <c r="DN39" s="375">
        <f t="shared" si="175"/>
        <v>3</v>
      </c>
      <c r="DO39" s="376">
        <f t="shared" si="74"/>
        <v>39</v>
      </c>
      <c r="DP39" s="373">
        <f t="shared" si="75"/>
        <v>18.302812500000002</v>
      </c>
      <c r="DQ39" s="374" t="str">
        <f t="shared" si="76"/>
        <v>(1.7)</v>
      </c>
      <c r="DR39" s="375">
        <v>2</v>
      </c>
      <c r="DS39" s="375">
        <f t="shared" si="77"/>
        <v>3</v>
      </c>
      <c r="DT39" s="375">
        <v>0</v>
      </c>
      <c r="DU39" s="375">
        <f t="shared" si="78"/>
        <v>0</v>
      </c>
      <c r="DV39" s="375">
        <v>0</v>
      </c>
      <c r="DW39" s="375">
        <f t="shared" si="79"/>
        <v>0</v>
      </c>
      <c r="DX39" s="375">
        <f t="shared" si="176"/>
        <v>3</v>
      </c>
      <c r="DY39" s="376">
        <f t="shared" si="81"/>
        <v>45</v>
      </c>
      <c r="DZ39" s="373">
        <f t="shared" si="82"/>
        <v>20.336458333333333</v>
      </c>
      <c r="EA39" s="374" t="str">
        <f t="shared" si="177"/>
        <v>(1.89)</v>
      </c>
      <c r="EB39" s="375">
        <v>2</v>
      </c>
      <c r="EC39" s="375">
        <f t="shared" si="84"/>
        <v>3</v>
      </c>
      <c r="ED39" s="375">
        <v>0</v>
      </c>
      <c r="EE39" s="375">
        <f t="shared" si="85"/>
        <v>0</v>
      </c>
      <c r="EF39" s="375">
        <v>1</v>
      </c>
      <c r="EG39" s="375">
        <f t="shared" si="86"/>
        <v>1</v>
      </c>
      <c r="EH39" s="375">
        <f t="shared" si="178"/>
        <v>4</v>
      </c>
      <c r="EI39" s="376">
        <f t="shared" si="88"/>
        <v>50</v>
      </c>
      <c r="EJ39" s="373">
        <f t="shared" si="89"/>
        <v>22.776833333333329</v>
      </c>
      <c r="EK39" s="374" t="str">
        <f t="shared" si="203"/>
        <v>(2.12)</v>
      </c>
      <c r="EL39" s="375">
        <v>2</v>
      </c>
      <c r="EM39" s="375">
        <f t="shared" si="91"/>
        <v>3</v>
      </c>
      <c r="EN39" s="375">
        <v>0</v>
      </c>
      <c r="EO39" s="375">
        <f t="shared" si="92"/>
        <v>0</v>
      </c>
      <c r="EP39" s="375">
        <v>1</v>
      </c>
      <c r="EQ39" s="375">
        <f t="shared" si="93"/>
        <v>1</v>
      </c>
      <c r="ER39" s="375">
        <f t="shared" si="180"/>
        <v>4</v>
      </c>
      <c r="ES39" s="376">
        <f t="shared" si="95"/>
        <v>56</v>
      </c>
      <c r="ET39" s="373">
        <f t="shared" si="96"/>
        <v>25.217208333333332</v>
      </c>
      <c r="EU39" s="374" t="str">
        <f t="shared" si="204"/>
        <v>(2.34)</v>
      </c>
      <c r="EV39" s="375">
        <v>2</v>
      </c>
      <c r="EW39" s="375">
        <f t="shared" si="98"/>
        <v>3</v>
      </c>
      <c r="EX39" s="375">
        <v>0</v>
      </c>
      <c r="EY39" s="375">
        <f t="shared" si="99"/>
        <v>0</v>
      </c>
      <c r="EZ39" s="375">
        <v>1</v>
      </c>
      <c r="FA39" s="375">
        <f t="shared" si="100"/>
        <v>1</v>
      </c>
      <c r="FB39" s="375">
        <f t="shared" si="182"/>
        <v>4</v>
      </c>
      <c r="FC39" s="376">
        <f t="shared" si="102"/>
        <v>62</v>
      </c>
      <c r="FD39" s="373">
        <f t="shared" si="103"/>
        <v>27.606742187499997</v>
      </c>
      <c r="FE39" s="374" t="str">
        <f t="shared" si="183"/>
        <v>(2.56)</v>
      </c>
      <c r="FF39" s="375">
        <v>2</v>
      </c>
      <c r="FG39" s="375">
        <f t="shared" si="105"/>
        <v>3</v>
      </c>
      <c r="FH39" s="375">
        <v>1</v>
      </c>
      <c r="FI39" s="375">
        <f t="shared" si="106"/>
        <v>1.125</v>
      </c>
      <c r="FJ39" s="375">
        <v>0</v>
      </c>
      <c r="FK39" s="375">
        <f t="shared" si="107"/>
        <v>0</v>
      </c>
      <c r="FL39" s="375">
        <f t="shared" si="184"/>
        <v>4.125</v>
      </c>
      <c r="FM39" s="376">
        <f t="shared" si="109"/>
        <v>67.875</v>
      </c>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5">
        <v>20</v>
      </c>
      <c r="IR39" s="26">
        <v>2.5</v>
      </c>
      <c r="IS39" s="26">
        <v>2.8079999999999998</v>
      </c>
      <c r="IT39" s="26">
        <v>2.7170000000000001</v>
      </c>
      <c r="IU39" s="26">
        <v>1.5</v>
      </c>
      <c r="IV39" s="26">
        <v>1</v>
      </c>
      <c r="IW39" s="26">
        <v>1.125</v>
      </c>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4"/>
      <c r="AU40" s="27">
        <f t="shared" si="200"/>
        <v>114</v>
      </c>
      <c r="AV40" s="28" t="str">
        <f t="shared" si="166"/>
        <v>(2900)</v>
      </c>
      <c r="AW40" s="19">
        <f t="shared" si="201"/>
        <v>25</v>
      </c>
      <c r="AX40" s="20">
        <f t="shared" si="26"/>
        <v>2.5455833333333331</v>
      </c>
      <c r="AY40" s="21" t="str">
        <f t="shared" si="202"/>
        <v>(0.24)</v>
      </c>
      <c r="AZ40" s="22">
        <v>2</v>
      </c>
      <c r="BA40" s="22">
        <f t="shared" si="28"/>
        <v>3</v>
      </c>
      <c r="BB40" s="22">
        <v>0</v>
      </c>
      <c r="BC40" s="22">
        <f t="shared" si="29"/>
        <v>0</v>
      </c>
      <c r="BD40" s="22">
        <v>0</v>
      </c>
      <c r="BE40" s="22">
        <f t="shared" si="30"/>
        <v>0</v>
      </c>
      <c r="BF40" s="22">
        <f t="shared" si="168"/>
        <v>3</v>
      </c>
      <c r="BG40" s="23">
        <f t="shared" si="32"/>
        <v>6</v>
      </c>
      <c r="BH40" s="373">
        <f t="shared" si="33"/>
        <v>3.8183750000000001</v>
      </c>
      <c r="BI40" s="374" t="str">
        <f t="shared" si="169"/>
        <v>(0.35)</v>
      </c>
      <c r="BJ40" s="375">
        <v>2</v>
      </c>
      <c r="BK40" s="375">
        <f t="shared" si="35"/>
        <v>3</v>
      </c>
      <c r="BL40" s="375">
        <v>0</v>
      </c>
      <c r="BM40" s="375">
        <f t="shared" si="36"/>
        <v>0</v>
      </c>
      <c r="BN40" s="375">
        <v>0</v>
      </c>
      <c r="BO40" s="375">
        <f t="shared" si="37"/>
        <v>0</v>
      </c>
      <c r="BP40" s="375">
        <f t="shared" si="170"/>
        <v>3</v>
      </c>
      <c r="BQ40" s="376">
        <f t="shared" si="39"/>
        <v>9</v>
      </c>
      <c r="BR40" s="373">
        <f t="shared" si="40"/>
        <v>6.3639583333333327</v>
      </c>
      <c r="BS40" s="374" t="str">
        <f t="shared" si="41"/>
        <v>(0.59)</v>
      </c>
      <c r="BT40" s="375">
        <v>2</v>
      </c>
      <c r="BU40" s="375">
        <f t="shared" si="42"/>
        <v>3</v>
      </c>
      <c r="BV40" s="375">
        <v>0</v>
      </c>
      <c r="BW40" s="375">
        <f t="shared" si="43"/>
        <v>0</v>
      </c>
      <c r="BX40" s="375">
        <v>0</v>
      </c>
      <c r="BY40" s="375">
        <f t="shared" si="44"/>
        <v>0</v>
      </c>
      <c r="BZ40" s="375">
        <f t="shared" si="171"/>
        <v>3</v>
      </c>
      <c r="CA40" s="376">
        <f t="shared" si="46"/>
        <v>15</v>
      </c>
      <c r="CB40" s="373">
        <f t="shared" si="47"/>
        <v>8.9095416666666658</v>
      </c>
      <c r="CC40" s="374" t="str">
        <f t="shared" si="48"/>
        <v>(0.83)</v>
      </c>
      <c r="CD40" s="375">
        <v>2</v>
      </c>
      <c r="CE40" s="375">
        <f t="shared" si="49"/>
        <v>3</v>
      </c>
      <c r="CF40" s="375">
        <v>0</v>
      </c>
      <c r="CG40" s="375">
        <f t="shared" si="50"/>
        <v>0</v>
      </c>
      <c r="CH40" s="375">
        <v>0</v>
      </c>
      <c r="CI40" s="375">
        <f t="shared" si="51"/>
        <v>0</v>
      </c>
      <c r="CJ40" s="375">
        <f t="shared" si="172"/>
        <v>3</v>
      </c>
      <c r="CK40" s="376">
        <f t="shared" si="53"/>
        <v>21</v>
      </c>
      <c r="CL40" s="373">
        <f t="shared" si="54"/>
        <v>11.455124999999999</v>
      </c>
      <c r="CM40" s="374" t="str">
        <f t="shared" si="55"/>
        <v>(1.06)</v>
      </c>
      <c r="CN40" s="375">
        <v>2</v>
      </c>
      <c r="CO40" s="375">
        <f t="shared" si="56"/>
        <v>3</v>
      </c>
      <c r="CP40" s="375">
        <v>0</v>
      </c>
      <c r="CQ40" s="375">
        <f t="shared" si="57"/>
        <v>0</v>
      </c>
      <c r="CR40" s="375">
        <v>0</v>
      </c>
      <c r="CS40" s="375">
        <f t="shared" si="58"/>
        <v>0</v>
      </c>
      <c r="CT40" s="375">
        <f t="shared" si="173"/>
        <v>3</v>
      </c>
      <c r="CU40" s="376">
        <f t="shared" si="60"/>
        <v>27</v>
      </c>
      <c r="CV40" s="373">
        <f t="shared" si="61"/>
        <v>14.000708333333332</v>
      </c>
      <c r="CW40" s="374" t="str">
        <f t="shared" si="62"/>
        <v>(1.3)</v>
      </c>
      <c r="CX40" s="375">
        <v>2</v>
      </c>
      <c r="CY40" s="375">
        <f t="shared" si="63"/>
        <v>3</v>
      </c>
      <c r="CZ40" s="375">
        <v>0</v>
      </c>
      <c r="DA40" s="375">
        <f t="shared" si="64"/>
        <v>0</v>
      </c>
      <c r="DB40" s="375">
        <v>0</v>
      </c>
      <c r="DC40" s="375">
        <f t="shared" si="65"/>
        <v>0</v>
      </c>
      <c r="DD40" s="375">
        <f t="shared" si="174"/>
        <v>3</v>
      </c>
      <c r="DE40" s="376">
        <f t="shared" si="67"/>
        <v>33</v>
      </c>
      <c r="DF40" s="373">
        <f t="shared" si="68"/>
        <v>16.546291666666665</v>
      </c>
      <c r="DG40" s="374" t="str">
        <f t="shared" si="69"/>
        <v>(1.54)</v>
      </c>
      <c r="DH40" s="375">
        <v>2</v>
      </c>
      <c r="DI40" s="375">
        <f t="shared" si="70"/>
        <v>3</v>
      </c>
      <c r="DJ40" s="375">
        <v>0</v>
      </c>
      <c r="DK40" s="375">
        <f t="shared" si="71"/>
        <v>0</v>
      </c>
      <c r="DL40" s="375">
        <v>0</v>
      </c>
      <c r="DM40" s="375">
        <f t="shared" si="72"/>
        <v>0</v>
      </c>
      <c r="DN40" s="375">
        <f t="shared" si="175"/>
        <v>3</v>
      </c>
      <c r="DO40" s="376">
        <f t="shared" si="74"/>
        <v>39</v>
      </c>
      <c r="DP40" s="373">
        <f t="shared" si="75"/>
        <v>19.091874999999998</v>
      </c>
      <c r="DQ40" s="374" t="str">
        <f t="shared" si="76"/>
        <v>(1.77)</v>
      </c>
      <c r="DR40" s="375">
        <v>2</v>
      </c>
      <c r="DS40" s="375">
        <f t="shared" si="77"/>
        <v>3</v>
      </c>
      <c r="DT40" s="375">
        <v>0</v>
      </c>
      <c r="DU40" s="375">
        <f t="shared" si="78"/>
        <v>0</v>
      </c>
      <c r="DV40" s="375">
        <v>0</v>
      </c>
      <c r="DW40" s="375">
        <f t="shared" si="79"/>
        <v>0</v>
      </c>
      <c r="DX40" s="375">
        <f t="shared" si="176"/>
        <v>3</v>
      </c>
      <c r="DY40" s="376">
        <f t="shared" si="81"/>
        <v>45</v>
      </c>
      <c r="DZ40" s="373">
        <f t="shared" si="82"/>
        <v>21.213194444444444</v>
      </c>
      <c r="EA40" s="374" t="str">
        <f t="shared" si="177"/>
        <v>(1.97)</v>
      </c>
      <c r="EB40" s="375">
        <v>2</v>
      </c>
      <c r="EC40" s="375">
        <f t="shared" si="84"/>
        <v>3</v>
      </c>
      <c r="ED40" s="375">
        <v>0</v>
      </c>
      <c r="EE40" s="375">
        <f t="shared" si="85"/>
        <v>0</v>
      </c>
      <c r="EF40" s="375">
        <v>1</v>
      </c>
      <c r="EG40" s="375">
        <f t="shared" si="86"/>
        <v>1</v>
      </c>
      <c r="EH40" s="375">
        <f t="shared" si="178"/>
        <v>4</v>
      </c>
      <c r="EI40" s="376">
        <f t="shared" si="88"/>
        <v>50</v>
      </c>
      <c r="EJ40" s="373">
        <f t="shared" si="89"/>
        <v>23.758777777777777</v>
      </c>
      <c r="EK40" s="374" t="str">
        <f t="shared" si="203"/>
        <v>(2.21)</v>
      </c>
      <c r="EL40" s="375">
        <v>2</v>
      </c>
      <c r="EM40" s="375">
        <f t="shared" si="91"/>
        <v>3</v>
      </c>
      <c r="EN40" s="375">
        <v>0</v>
      </c>
      <c r="EO40" s="375">
        <f t="shared" si="92"/>
        <v>0</v>
      </c>
      <c r="EP40" s="375">
        <v>1</v>
      </c>
      <c r="EQ40" s="375">
        <f t="shared" si="93"/>
        <v>1</v>
      </c>
      <c r="ER40" s="375">
        <f t="shared" si="180"/>
        <v>4</v>
      </c>
      <c r="ES40" s="376">
        <f t="shared" si="95"/>
        <v>56</v>
      </c>
      <c r="ET40" s="373">
        <f t="shared" si="96"/>
        <v>26.304361111111106</v>
      </c>
      <c r="EU40" s="374" t="str">
        <f t="shared" si="204"/>
        <v>(2.44)</v>
      </c>
      <c r="EV40" s="375">
        <v>2</v>
      </c>
      <c r="EW40" s="375">
        <f t="shared" si="98"/>
        <v>3</v>
      </c>
      <c r="EX40" s="375">
        <v>0</v>
      </c>
      <c r="EY40" s="375">
        <f t="shared" si="99"/>
        <v>0</v>
      </c>
      <c r="EZ40" s="375">
        <v>1</v>
      </c>
      <c r="FA40" s="375">
        <f t="shared" si="100"/>
        <v>1</v>
      </c>
      <c r="FB40" s="375">
        <f t="shared" si="182"/>
        <v>4</v>
      </c>
      <c r="FC40" s="376">
        <f t="shared" si="102"/>
        <v>62</v>
      </c>
      <c r="FD40" s="373">
        <f t="shared" si="103"/>
        <v>28.796911458333327</v>
      </c>
      <c r="FE40" s="374" t="str">
        <f t="shared" si="183"/>
        <v>(2.68)</v>
      </c>
      <c r="FF40" s="375">
        <v>2</v>
      </c>
      <c r="FG40" s="375">
        <f t="shared" si="105"/>
        <v>3</v>
      </c>
      <c r="FH40" s="375">
        <v>1</v>
      </c>
      <c r="FI40" s="375">
        <f t="shared" si="106"/>
        <v>1.125</v>
      </c>
      <c r="FJ40" s="375">
        <v>0</v>
      </c>
      <c r="FK40" s="375">
        <f t="shared" si="107"/>
        <v>0</v>
      </c>
      <c r="FL40" s="375">
        <f t="shared" si="184"/>
        <v>4.125</v>
      </c>
      <c r="FM40" s="376">
        <f t="shared" si="109"/>
        <v>67.875</v>
      </c>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5">
        <v>21</v>
      </c>
      <c r="IR40" s="26">
        <v>2.5</v>
      </c>
      <c r="IS40" s="26">
        <v>2.8079999999999998</v>
      </c>
      <c r="IT40" s="26">
        <v>2.4340000000000002</v>
      </c>
      <c r="IU40" s="26">
        <v>1.5</v>
      </c>
      <c r="IV40" s="26">
        <v>1</v>
      </c>
      <c r="IW40" s="26">
        <v>1.125</v>
      </c>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200"/>
        <v>120</v>
      </c>
      <c r="AV41" s="28" t="str">
        <f t="shared" si="166"/>
        <v>(3050)</v>
      </c>
      <c r="AW41" s="19">
        <f t="shared" si="201"/>
        <v>26</v>
      </c>
      <c r="AX41" s="20">
        <f t="shared" si="26"/>
        <v>2.6818333333333331</v>
      </c>
      <c r="AY41" s="29" t="str">
        <f>"("&amp;FIXED(AX41*0.092903,2)&amp;")"</f>
        <v>(0.25)</v>
      </c>
      <c r="AZ41" s="22">
        <v>2</v>
      </c>
      <c r="BA41" s="22">
        <f t="shared" si="28"/>
        <v>3</v>
      </c>
      <c r="BB41" s="30">
        <v>0</v>
      </c>
      <c r="BC41" s="22">
        <f t="shared" si="29"/>
        <v>0</v>
      </c>
      <c r="BD41" s="30">
        <v>0</v>
      </c>
      <c r="BE41" s="22">
        <f t="shared" si="30"/>
        <v>0</v>
      </c>
      <c r="BF41" s="22">
        <f t="shared" si="168"/>
        <v>3</v>
      </c>
      <c r="BG41" s="23">
        <f t="shared" si="32"/>
        <v>6</v>
      </c>
      <c r="BH41" s="373">
        <f t="shared" si="33"/>
        <v>4.0227499999999994</v>
      </c>
      <c r="BI41" s="374" t="str">
        <f>"("&amp;FIXED(BH41*0.092903,2)&amp;")"</f>
        <v>(0.37)</v>
      </c>
      <c r="BJ41" s="375">
        <v>2</v>
      </c>
      <c r="BK41" s="375">
        <f t="shared" si="35"/>
        <v>3</v>
      </c>
      <c r="BL41" s="375">
        <v>0</v>
      </c>
      <c r="BM41" s="375">
        <f t="shared" si="36"/>
        <v>0</v>
      </c>
      <c r="BN41" s="375">
        <v>0</v>
      </c>
      <c r="BO41" s="375">
        <f t="shared" si="37"/>
        <v>0</v>
      </c>
      <c r="BP41" s="375">
        <f t="shared" si="170"/>
        <v>3</v>
      </c>
      <c r="BQ41" s="376">
        <f t="shared" si="39"/>
        <v>9</v>
      </c>
      <c r="BR41" s="373">
        <f t="shared" si="40"/>
        <v>6.704583333333332</v>
      </c>
      <c r="BS41" s="374" t="str">
        <f t="shared" si="41"/>
        <v>(0.62)</v>
      </c>
      <c r="BT41" s="375">
        <v>2</v>
      </c>
      <c r="BU41" s="375">
        <f t="shared" si="42"/>
        <v>3</v>
      </c>
      <c r="BV41" s="375">
        <v>0</v>
      </c>
      <c r="BW41" s="375">
        <f t="shared" si="43"/>
        <v>0</v>
      </c>
      <c r="BX41" s="375">
        <v>0</v>
      </c>
      <c r="BY41" s="375">
        <f t="shared" si="44"/>
        <v>0</v>
      </c>
      <c r="BZ41" s="375">
        <f t="shared" si="171"/>
        <v>3</v>
      </c>
      <c r="CA41" s="376">
        <f t="shared" si="46"/>
        <v>15</v>
      </c>
      <c r="CB41" s="373">
        <f t="shared" si="47"/>
        <v>9.3864166666666655</v>
      </c>
      <c r="CC41" s="374" t="str">
        <f t="shared" si="48"/>
        <v>(0.87)</v>
      </c>
      <c r="CD41" s="375">
        <v>2</v>
      </c>
      <c r="CE41" s="375">
        <f t="shared" si="49"/>
        <v>3</v>
      </c>
      <c r="CF41" s="375">
        <v>0</v>
      </c>
      <c r="CG41" s="375">
        <f t="shared" si="50"/>
        <v>0</v>
      </c>
      <c r="CH41" s="375">
        <v>0</v>
      </c>
      <c r="CI41" s="375">
        <f t="shared" si="51"/>
        <v>0</v>
      </c>
      <c r="CJ41" s="375">
        <f t="shared" si="172"/>
        <v>3</v>
      </c>
      <c r="CK41" s="376">
        <f t="shared" si="53"/>
        <v>21</v>
      </c>
      <c r="CL41" s="373">
        <f t="shared" si="54"/>
        <v>12.068249999999999</v>
      </c>
      <c r="CM41" s="374" t="str">
        <f t="shared" si="55"/>
        <v>(1.12)</v>
      </c>
      <c r="CN41" s="375">
        <v>2</v>
      </c>
      <c r="CO41" s="375">
        <f t="shared" si="56"/>
        <v>3</v>
      </c>
      <c r="CP41" s="375">
        <v>0</v>
      </c>
      <c r="CQ41" s="375">
        <f t="shared" si="57"/>
        <v>0</v>
      </c>
      <c r="CR41" s="375">
        <v>0</v>
      </c>
      <c r="CS41" s="375">
        <f t="shared" si="58"/>
        <v>0</v>
      </c>
      <c r="CT41" s="375">
        <f t="shared" si="173"/>
        <v>3</v>
      </c>
      <c r="CU41" s="376">
        <f t="shared" si="60"/>
        <v>27</v>
      </c>
      <c r="CV41" s="373">
        <f t="shared" si="61"/>
        <v>14.750083333333331</v>
      </c>
      <c r="CW41" s="374" t="str">
        <f t="shared" si="62"/>
        <v>(1.37)</v>
      </c>
      <c r="CX41" s="375">
        <v>2</v>
      </c>
      <c r="CY41" s="375">
        <f t="shared" si="63"/>
        <v>3</v>
      </c>
      <c r="CZ41" s="375">
        <v>0</v>
      </c>
      <c r="DA41" s="375">
        <f t="shared" si="64"/>
        <v>0</v>
      </c>
      <c r="DB41" s="375">
        <v>0</v>
      </c>
      <c r="DC41" s="375">
        <f t="shared" si="65"/>
        <v>0</v>
      </c>
      <c r="DD41" s="375">
        <f t="shared" si="174"/>
        <v>3</v>
      </c>
      <c r="DE41" s="376">
        <f t="shared" si="67"/>
        <v>33</v>
      </c>
      <c r="DF41" s="373">
        <f t="shared" si="68"/>
        <v>17.431916666666663</v>
      </c>
      <c r="DG41" s="374" t="str">
        <f t="shared" si="69"/>
        <v>(1.62)</v>
      </c>
      <c r="DH41" s="375">
        <v>2</v>
      </c>
      <c r="DI41" s="375">
        <f t="shared" si="70"/>
        <v>3</v>
      </c>
      <c r="DJ41" s="375">
        <v>0</v>
      </c>
      <c r="DK41" s="375">
        <f t="shared" si="71"/>
        <v>0</v>
      </c>
      <c r="DL41" s="375">
        <v>0</v>
      </c>
      <c r="DM41" s="375">
        <f t="shared" si="72"/>
        <v>0</v>
      </c>
      <c r="DN41" s="375">
        <f t="shared" si="175"/>
        <v>3</v>
      </c>
      <c r="DO41" s="376">
        <f t="shared" si="74"/>
        <v>39</v>
      </c>
      <c r="DP41" s="373">
        <f t="shared" si="75"/>
        <v>20.113749999999996</v>
      </c>
      <c r="DQ41" s="374" t="str">
        <f t="shared" si="76"/>
        <v>(1.87)</v>
      </c>
      <c r="DR41" s="375">
        <v>2</v>
      </c>
      <c r="DS41" s="375">
        <f t="shared" si="77"/>
        <v>3</v>
      </c>
      <c r="DT41" s="375">
        <v>0</v>
      </c>
      <c r="DU41" s="375">
        <f t="shared" si="78"/>
        <v>0</v>
      </c>
      <c r="DV41" s="375">
        <v>0</v>
      </c>
      <c r="DW41" s="375">
        <f t="shared" si="79"/>
        <v>0</v>
      </c>
      <c r="DX41" s="375">
        <f t="shared" si="176"/>
        <v>3</v>
      </c>
      <c r="DY41" s="376">
        <f t="shared" si="81"/>
        <v>45</v>
      </c>
      <c r="DZ41" s="373">
        <f t="shared" si="82"/>
        <v>22.348611111111108</v>
      </c>
      <c r="EA41" s="374" t="str">
        <f>"("&amp;FIXED(DZ41*0.092903,2)&amp;")"</f>
        <v>(2.08)</v>
      </c>
      <c r="EB41" s="375">
        <v>2</v>
      </c>
      <c r="EC41" s="375">
        <f t="shared" si="84"/>
        <v>3</v>
      </c>
      <c r="ED41" s="375">
        <v>0</v>
      </c>
      <c r="EE41" s="375">
        <f t="shared" si="85"/>
        <v>0</v>
      </c>
      <c r="EF41" s="375">
        <v>1</v>
      </c>
      <c r="EG41" s="375">
        <f t="shared" si="86"/>
        <v>1</v>
      </c>
      <c r="EH41" s="375">
        <f t="shared" si="178"/>
        <v>4</v>
      </c>
      <c r="EI41" s="376">
        <f t="shared" si="88"/>
        <v>50</v>
      </c>
      <c r="EJ41" s="373">
        <f t="shared" si="89"/>
        <v>25.030444444444441</v>
      </c>
      <c r="EK41" s="374" t="str">
        <f>"("&amp;FIXED(EJ41*0.092903,2)&amp;")"</f>
        <v>(2.33)</v>
      </c>
      <c r="EL41" s="375">
        <v>2</v>
      </c>
      <c r="EM41" s="375">
        <f t="shared" si="91"/>
        <v>3</v>
      </c>
      <c r="EN41" s="375">
        <v>0</v>
      </c>
      <c r="EO41" s="375">
        <f t="shared" si="92"/>
        <v>0</v>
      </c>
      <c r="EP41" s="375">
        <v>1</v>
      </c>
      <c r="EQ41" s="375">
        <f t="shared" si="93"/>
        <v>1</v>
      </c>
      <c r="ER41" s="375">
        <f t="shared" si="180"/>
        <v>4</v>
      </c>
      <c r="ES41" s="376">
        <f t="shared" si="95"/>
        <v>56</v>
      </c>
      <c r="ET41" s="373">
        <f t="shared" si="96"/>
        <v>27.712277777777771</v>
      </c>
      <c r="EU41" s="374" t="str">
        <f>"("&amp;FIXED(ET41*0.092903,2)&amp;")"</f>
        <v>(2.57)</v>
      </c>
      <c r="EV41" s="375">
        <v>2</v>
      </c>
      <c r="EW41" s="375">
        <f t="shared" si="98"/>
        <v>3</v>
      </c>
      <c r="EX41" s="375">
        <v>0</v>
      </c>
      <c r="EY41" s="375">
        <f t="shared" si="99"/>
        <v>0</v>
      </c>
      <c r="EZ41" s="375">
        <v>1</v>
      </c>
      <c r="FA41" s="375">
        <f t="shared" si="100"/>
        <v>1</v>
      </c>
      <c r="FB41" s="375">
        <f t="shared" si="182"/>
        <v>4</v>
      </c>
      <c r="FC41" s="376">
        <f t="shared" si="102"/>
        <v>62</v>
      </c>
      <c r="FD41" s="373">
        <f t="shared" si="103"/>
        <v>30.33823958333333</v>
      </c>
      <c r="FE41" s="374" t="str">
        <f>"("&amp;FIXED(FD41*0.092903,2)&amp;")"</f>
        <v>(2.82)</v>
      </c>
      <c r="FF41" s="375">
        <v>2</v>
      </c>
      <c r="FG41" s="375">
        <f t="shared" si="105"/>
        <v>3</v>
      </c>
      <c r="FH41" s="375">
        <v>1</v>
      </c>
      <c r="FI41" s="375">
        <f t="shared" si="106"/>
        <v>1.125</v>
      </c>
      <c r="FJ41" s="375">
        <v>0</v>
      </c>
      <c r="FK41" s="375">
        <f t="shared" si="107"/>
        <v>0</v>
      </c>
      <c r="FL41" s="375">
        <f t="shared" si="184"/>
        <v>4.125</v>
      </c>
      <c r="FM41" s="376">
        <f t="shared" si="109"/>
        <v>67.875</v>
      </c>
      <c r="FN41" s="31"/>
      <c r="FO41" s="31"/>
      <c r="FP41" s="32"/>
      <c r="FQ41" s="32"/>
      <c r="FR41" s="32"/>
      <c r="FS41" s="32"/>
      <c r="FT41" s="32"/>
      <c r="FU41" s="32"/>
      <c r="FV41" s="31"/>
      <c r="FW41" s="31"/>
      <c r="FX41" s="31"/>
      <c r="FY41" s="31"/>
      <c r="FZ41" s="31"/>
      <c r="GA41" s="31"/>
      <c r="GB41" s="31"/>
      <c r="GC41" s="31"/>
      <c r="GD41" s="31"/>
      <c r="GE41" s="31"/>
      <c r="GF41" s="31"/>
      <c r="GG41" s="31"/>
      <c r="GH41" s="31"/>
      <c r="GI41" s="31"/>
      <c r="GJ41" s="32"/>
      <c r="GK41" s="32"/>
      <c r="GL41" s="32"/>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2"/>
      <c r="HQ41" s="32"/>
      <c r="HR41" s="32"/>
      <c r="HS41" s="32"/>
      <c r="HT41" s="32"/>
      <c r="HU41" s="32"/>
      <c r="HV41" s="32"/>
      <c r="HW41" s="32"/>
      <c r="HX41" s="32"/>
      <c r="HY41" s="32"/>
      <c r="HZ41" s="32"/>
      <c r="IA41" s="32"/>
      <c r="IB41" s="32"/>
      <c r="IC41" s="32"/>
      <c r="ID41" s="32"/>
      <c r="IE41" s="32"/>
      <c r="IF41" s="31"/>
      <c r="IG41" s="31"/>
      <c r="IH41" s="32"/>
      <c r="II41" s="32"/>
      <c r="IJ41" s="34"/>
      <c r="IK41" s="32"/>
      <c r="IL41" s="32"/>
      <c r="IM41" s="32"/>
      <c r="IN41" s="33"/>
      <c r="IO41" s="33"/>
      <c r="IP41" s="33"/>
      <c r="IQ41" s="25">
        <v>23</v>
      </c>
      <c r="IR41" s="26">
        <v>2.5</v>
      </c>
      <c r="IS41" s="26">
        <v>2.8079999999999998</v>
      </c>
      <c r="IT41" s="26">
        <v>8.7999999999999995E-2</v>
      </c>
      <c r="IU41" s="26">
        <v>1.5</v>
      </c>
      <c r="IV41" s="26">
        <v>1</v>
      </c>
      <c r="IW41" s="26">
        <v>1.125</v>
      </c>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8.5" customHeight="1"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row>
    <row r="45" spans="2:258" ht="25.5" customHeight="1" thickBot="1" x14ac:dyDescent="0.35">
      <c r="B45" s="272" t="s">
        <v>41</v>
      </c>
      <c r="C45" s="147" t="e">
        <f>C9</f>
        <v>#VALUE!</v>
      </c>
      <c r="D45" s="73"/>
      <c r="E45" s="73"/>
      <c r="F45" s="73"/>
      <c r="G45" s="73"/>
      <c r="H45" s="73"/>
      <c r="I45" s="73"/>
      <c r="J45" s="73"/>
      <c r="K45" s="73"/>
      <c r="L45" s="273"/>
      <c r="N45" s="879" t="s">
        <v>191</v>
      </c>
      <c r="O45" s="252"/>
      <c r="P45" s="95"/>
      <c r="Q45" s="253">
        <f>F11</f>
        <v>9</v>
      </c>
      <c r="R45" s="254">
        <v>12</v>
      </c>
      <c r="S45" s="254">
        <f t="shared" ref="S45:AJ45" si="211">R45+6</f>
        <v>18</v>
      </c>
      <c r="T45" s="254">
        <f t="shared" si="211"/>
        <v>24</v>
      </c>
      <c r="U45" s="254">
        <f t="shared" si="211"/>
        <v>30</v>
      </c>
      <c r="V45" s="254">
        <f t="shared" si="211"/>
        <v>36</v>
      </c>
      <c r="W45" s="254">
        <f t="shared" si="211"/>
        <v>42</v>
      </c>
      <c r="X45" s="254">
        <f t="shared" si="211"/>
        <v>48</v>
      </c>
      <c r="Y45" s="254">
        <f t="shared" si="211"/>
        <v>54</v>
      </c>
      <c r="Z45" s="254">
        <f t="shared" si="211"/>
        <v>60</v>
      </c>
      <c r="AA45" s="254">
        <f t="shared" si="211"/>
        <v>66</v>
      </c>
      <c r="AB45" s="254">
        <f t="shared" si="211"/>
        <v>72</v>
      </c>
      <c r="AC45" s="254">
        <f t="shared" si="211"/>
        <v>78</v>
      </c>
      <c r="AD45" s="254">
        <f t="shared" si="211"/>
        <v>84</v>
      </c>
      <c r="AE45" s="254">
        <f t="shared" si="211"/>
        <v>90</v>
      </c>
      <c r="AF45" s="254">
        <f t="shared" si="211"/>
        <v>96</v>
      </c>
      <c r="AG45" s="254">
        <f t="shared" si="211"/>
        <v>102</v>
      </c>
      <c r="AH45" s="254">
        <f t="shared" si="211"/>
        <v>108</v>
      </c>
      <c r="AI45" s="254">
        <f t="shared" si="211"/>
        <v>114</v>
      </c>
      <c r="AJ45" s="254">
        <f t="shared" si="211"/>
        <v>120</v>
      </c>
      <c r="AK45" s="94"/>
      <c r="AL45" s="94"/>
      <c r="AM45" s="94"/>
      <c r="AN45" s="94"/>
      <c r="AO45" s="94"/>
      <c r="AP45" s="94"/>
      <c r="AQ45" s="95"/>
    </row>
    <row r="46" spans="2:258" ht="19.5" thickBot="1" x14ac:dyDescent="0.35">
      <c r="B46" s="228" t="s">
        <v>42</v>
      </c>
      <c r="C46" s="148" t="e">
        <f>F9</f>
        <v>#VALUE!</v>
      </c>
      <c r="E46" s="71"/>
      <c r="F46" s="71"/>
      <c r="G46" s="71"/>
      <c r="H46" s="71"/>
      <c r="I46" s="71"/>
      <c r="J46" s="71"/>
      <c r="K46" s="71"/>
      <c r="L46" s="75"/>
      <c r="N46" s="880"/>
      <c r="O46" s="67"/>
      <c r="P46" s="300">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21.75" thickBot="1" x14ac:dyDescent="0.4">
      <c r="B47" s="234" t="s">
        <v>77</v>
      </c>
      <c r="C47" s="71"/>
      <c r="D47" s="71"/>
      <c r="E47" s="71"/>
      <c r="F47" s="71"/>
      <c r="G47" s="71"/>
      <c r="H47" s="71"/>
      <c r="I47" s="71"/>
      <c r="J47" s="71"/>
      <c r="K47" s="71"/>
      <c r="L47" s="75"/>
      <c r="N47" s="250"/>
      <c r="O47" s="251">
        <f>F12</f>
        <v>10.5</v>
      </c>
      <c r="P47" s="301">
        <v>2</v>
      </c>
      <c r="Q47" s="299">
        <v>2.92</v>
      </c>
      <c r="R47" s="255">
        <v>3.71</v>
      </c>
      <c r="S47" s="255">
        <v>5.28</v>
      </c>
      <c r="T47" s="255">
        <v>6.85</v>
      </c>
      <c r="U47" s="255">
        <v>8.42</v>
      </c>
      <c r="V47" s="255">
        <v>10</v>
      </c>
      <c r="W47" s="255">
        <v>11.57</v>
      </c>
      <c r="X47" s="255">
        <v>13.14</v>
      </c>
      <c r="Y47" s="255">
        <v>14.71</v>
      </c>
      <c r="Z47" s="255">
        <v>16.29</v>
      </c>
      <c r="AA47" s="255">
        <v>17.86</v>
      </c>
      <c r="AB47" s="255">
        <v>19.43</v>
      </c>
      <c r="AC47" s="255">
        <v>21</v>
      </c>
      <c r="AD47" s="255">
        <v>22.57</v>
      </c>
      <c r="AE47" s="255">
        <v>24.15</v>
      </c>
      <c r="AF47" s="255">
        <v>25.72</v>
      </c>
      <c r="AG47" s="255">
        <v>27.29</v>
      </c>
      <c r="AH47" s="255">
        <v>28.86</v>
      </c>
      <c r="AI47" s="255">
        <v>30.44</v>
      </c>
      <c r="AJ47" s="255">
        <v>32.01</v>
      </c>
      <c r="AK47" s="150"/>
      <c r="AL47" s="150"/>
      <c r="AM47" s="150"/>
      <c r="AN47" s="150"/>
      <c r="AO47" s="150"/>
      <c r="AP47" s="150"/>
      <c r="AQ47" s="158"/>
    </row>
    <row r="48" spans="2:258" ht="16.5" thickBot="1" x14ac:dyDescent="0.3">
      <c r="B48" s="78"/>
      <c r="D48" s="71"/>
      <c r="E48" s="71"/>
      <c r="F48" s="71"/>
      <c r="G48" s="71"/>
      <c r="H48" s="71"/>
      <c r="I48" s="71"/>
      <c r="J48" s="71"/>
      <c r="K48" s="71"/>
      <c r="L48" s="75"/>
      <c r="N48" s="297">
        <v>1.57</v>
      </c>
      <c r="O48" s="162">
        <v>12</v>
      </c>
      <c r="P48" s="302">
        <v>3</v>
      </c>
      <c r="Q48" s="336">
        <v>3.12</v>
      </c>
      <c r="R48" s="153">
        <v>3.91</v>
      </c>
      <c r="S48" s="153">
        <v>5.48</v>
      </c>
      <c r="T48" s="153">
        <v>7.05</v>
      </c>
      <c r="U48" s="153">
        <f t="shared" ref="U48:AD48" si="212">T48+$N48</f>
        <v>8.6199999999999992</v>
      </c>
      <c r="V48" s="153">
        <f t="shared" si="212"/>
        <v>10.19</v>
      </c>
      <c r="W48" s="153">
        <f t="shared" si="212"/>
        <v>11.76</v>
      </c>
      <c r="X48" s="153">
        <f t="shared" si="212"/>
        <v>13.33</v>
      </c>
      <c r="Y48" s="153">
        <f t="shared" si="212"/>
        <v>14.9</v>
      </c>
      <c r="Z48" s="153">
        <f t="shared" si="212"/>
        <v>16.47</v>
      </c>
      <c r="AA48" s="153">
        <f t="shared" si="212"/>
        <v>18.04</v>
      </c>
      <c r="AB48" s="153">
        <f t="shared" si="212"/>
        <v>19.61</v>
      </c>
      <c r="AC48" s="153">
        <f t="shared" si="212"/>
        <v>21.18</v>
      </c>
      <c r="AD48" s="153">
        <f t="shared" si="212"/>
        <v>22.75</v>
      </c>
      <c r="AE48" s="153">
        <v>24.35</v>
      </c>
      <c r="AF48" s="153">
        <f t="shared" ref="AF48:AJ57" si="213">AE48+$N48</f>
        <v>25.92</v>
      </c>
      <c r="AG48" s="153">
        <f t="shared" si="213"/>
        <v>27.490000000000002</v>
      </c>
      <c r="AH48" s="153">
        <f t="shared" si="213"/>
        <v>29.060000000000002</v>
      </c>
      <c r="AI48" s="153">
        <f t="shared" si="213"/>
        <v>30.630000000000003</v>
      </c>
      <c r="AJ48" s="153">
        <f t="shared" si="213"/>
        <v>32.200000000000003</v>
      </c>
      <c r="AK48" s="64"/>
      <c r="AL48" s="154"/>
      <c r="AM48" s="154" t="e">
        <f>D51</f>
        <v>#VALUE!</v>
      </c>
      <c r="AN48" s="155" t="e">
        <f>C45</f>
        <v>#VALUE!</v>
      </c>
      <c r="AO48" s="154" t="e">
        <f>E51</f>
        <v>#VALUE!</v>
      </c>
      <c r="AP48" s="64"/>
      <c r="AQ48" s="65"/>
    </row>
    <row r="49" spans="2:59" ht="16.5" thickBot="1" x14ac:dyDescent="0.3">
      <c r="B49" s="78"/>
      <c r="C49" s="124"/>
      <c r="D49" s="125" t="s">
        <v>35</v>
      </c>
      <c r="E49" s="126"/>
      <c r="F49" s="126"/>
      <c r="G49" s="128"/>
      <c r="H49" s="125" t="s">
        <v>36</v>
      </c>
      <c r="I49" s="127"/>
      <c r="J49" s="71"/>
      <c r="K49" s="71"/>
      <c r="L49" s="75"/>
      <c r="N49" s="103">
        <v>1.95</v>
      </c>
      <c r="O49" s="162">
        <f t="shared" ref="O49:O66" si="214">O48+6</f>
        <v>18</v>
      </c>
      <c r="P49" s="302">
        <v>4</v>
      </c>
      <c r="Q49" s="336">
        <v>4.29</v>
      </c>
      <c r="R49" s="153">
        <v>5.26</v>
      </c>
      <c r="S49" s="153">
        <v>7.21</v>
      </c>
      <c r="T49" s="153">
        <v>9.15</v>
      </c>
      <c r="U49" s="153">
        <f t="shared" ref="U49:AD49" si="215">T49+$N49</f>
        <v>11.1</v>
      </c>
      <c r="V49" s="153">
        <f t="shared" si="215"/>
        <v>13.049999999999999</v>
      </c>
      <c r="W49" s="153">
        <f t="shared" si="215"/>
        <v>14.999999999999998</v>
      </c>
      <c r="X49" s="153">
        <f t="shared" si="215"/>
        <v>16.95</v>
      </c>
      <c r="Y49" s="153">
        <f t="shared" si="215"/>
        <v>18.899999999999999</v>
      </c>
      <c r="Z49" s="153">
        <f t="shared" si="215"/>
        <v>20.849999999999998</v>
      </c>
      <c r="AA49" s="153">
        <f t="shared" si="215"/>
        <v>22.799999999999997</v>
      </c>
      <c r="AB49" s="153">
        <f t="shared" si="215"/>
        <v>24.749999999999996</v>
      </c>
      <c r="AC49" s="153">
        <f t="shared" si="215"/>
        <v>26.699999999999996</v>
      </c>
      <c r="AD49" s="153">
        <f t="shared" si="215"/>
        <v>28.649999999999995</v>
      </c>
      <c r="AE49" s="153">
        <v>30.56</v>
      </c>
      <c r="AF49" s="153">
        <f t="shared" si="213"/>
        <v>32.51</v>
      </c>
      <c r="AG49" s="153">
        <f t="shared" si="213"/>
        <v>34.46</v>
      </c>
      <c r="AH49" s="153">
        <f t="shared" si="213"/>
        <v>36.410000000000004</v>
      </c>
      <c r="AI49" s="153">
        <f t="shared" si="213"/>
        <v>38.360000000000007</v>
      </c>
      <c r="AJ49" s="153">
        <f t="shared" si="213"/>
        <v>40.310000000000009</v>
      </c>
      <c r="AK49" s="96"/>
      <c r="AL49" s="154" t="e">
        <f>H51</f>
        <v>#VALUE!</v>
      </c>
      <c r="AM49" s="155" t="e">
        <f>INDEX(P46:AJ66,$H$52,$D$52)</f>
        <v>#VALUE!</v>
      </c>
      <c r="AN49" s="155" t="e">
        <f>(((AN48-AM48)/(AO48-AM48))*(AO49-AM49))+AM49</f>
        <v>#VALUE!</v>
      </c>
      <c r="AO49" s="155" t="e">
        <f>INDEX(P46:AJ66,$H$52,$E$52)</f>
        <v>#VALUE!</v>
      </c>
      <c r="AP49" s="64"/>
      <c r="AQ49" s="65"/>
    </row>
    <row r="50" spans="2:59" ht="16.5" thickBot="1" x14ac:dyDescent="0.3">
      <c r="B50" s="78"/>
      <c r="C50" s="120"/>
      <c r="D50" s="121" t="s">
        <v>78</v>
      </c>
      <c r="E50" s="122" t="s">
        <v>79</v>
      </c>
      <c r="F50" s="122"/>
      <c r="G50" s="129"/>
      <c r="H50" s="121" t="s">
        <v>78</v>
      </c>
      <c r="I50" s="123" t="s">
        <v>79</v>
      </c>
      <c r="J50" s="71"/>
      <c r="K50" s="71"/>
      <c r="L50" s="75"/>
      <c r="N50" s="103">
        <v>2.3199999999999998</v>
      </c>
      <c r="O50" s="162">
        <f t="shared" si="214"/>
        <v>24</v>
      </c>
      <c r="P50" s="302">
        <v>5</v>
      </c>
      <c r="Q50" s="336">
        <v>5.46</v>
      </c>
      <c r="R50" s="153">
        <v>6.62</v>
      </c>
      <c r="S50" s="153">
        <v>8.94</v>
      </c>
      <c r="T50" s="153">
        <v>11.26</v>
      </c>
      <c r="U50" s="153">
        <f t="shared" ref="U50:AD50" si="216">T50+$N50</f>
        <v>13.58</v>
      </c>
      <c r="V50" s="153">
        <f t="shared" si="216"/>
        <v>15.9</v>
      </c>
      <c r="W50" s="153">
        <f t="shared" si="216"/>
        <v>18.22</v>
      </c>
      <c r="X50" s="153">
        <f t="shared" si="216"/>
        <v>20.54</v>
      </c>
      <c r="Y50" s="153">
        <f t="shared" si="216"/>
        <v>22.86</v>
      </c>
      <c r="Z50" s="153">
        <f t="shared" si="216"/>
        <v>25.18</v>
      </c>
      <c r="AA50" s="153">
        <f t="shared" si="216"/>
        <v>27.5</v>
      </c>
      <c r="AB50" s="153">
        <f t="shared" si="216"/>
        <v>29.82</v>
      </c>
      <c r="AC50" s="153">
        <f t="shared" si="216"/>
        <v>32.14</v>
      </c>
      <c r="AD50" s="153">
        <f t="shared" si="216"/>
        <v>34.46</v>
      </c>
      <c r="AE50" s="153">
        <v>36.770000000000003</v>
      </c>
      <c r="AF50" s="153">
        <f t="shared" si="213"/>
        <v>39.090000000000003</v>
      </c>
      <c r="AG50" s="153">
        <f t="shared" si="213"/>
        <v>41.410000000000004</v>
      </c>
      <c r="AH50" s="153">
        <f t="shared" si="213"/>
        <v>43.730000000000004</v>
      </c>
      <c r="AI50" s="153">
        <f t="shared" si="213"/>
        <v>46.050000000000004</v>
      </c>
      <c r="AJ50" s="153">
        <f t="shared" si="213"/>
        <v>48.370000000000005</v>
      </c>
      <c r="AK50" s="64"/>
      <c r="AL50" s="154" t="e">
        <f>C46</f>
        <v>#VALUE!</v>
      </c>
      <c r="AM50" s="155" t="e">
        <f>(((AL50-AL49)/(AL51-AL49))*(AM51-AM49))+AM49</f>
        <v>#VALUE!</v>
      </c>
      <c r="AN50" s="156" t="e">
        <f>IF(AND(AN48&gt;72,AL50&gt;72),5/0,IF(AN48=120,AM50,(((AN49-AM49)/(AO49-AM49))*(AO50-AM50))+AM50))</f>
        <v>#VALUE!</v>
      </c>
      <c r="AO50" s="155" t="e">
        <f>(((AL50-AL49)/(AL51-AL49))*(AO51-AO49))+AO49</f>
        <v>#VALUE!</v>
      </c>
      <c r="AP50" s="64"/>
      <c r="AQ50" s="65"/>
    </row>
    <row r="51" spans="2:59" ht="16.5" thickBot="1" x14ac:dyDescent="0.3">
      <c r="B51" s="78"/>
      <c r="C51" s="118"/>
      <c r="D51" s="116" t="e">
        <f>IF(AND(C45&lt;12,C45&gt;=9),9,FLOOR(C45/6,1)*6)</f>
        <v>#VALUE!</v>
      </c>
      <c r="E51" s="112" t="e">
        <f>IF(D51&lt;12,12,D51+6)</f>
        <v>#VALUE!</v>
      </c>
      <c r="F51" s="112"/>
      <c r="G51" s="130"/>
      <c r="H51" s="116" t="e">
        <f>IF(AND(C46&lt;12,C46&gt;=F12),F12,FLOOR(C46/6,1)*6)</f>
        <v>#VALUE!</v>
      </c>
      <c r="I51" s="113" t="e">
        <f>IF(H51&lt;12,12,H51+6)</f>
        <v>#VALUE!</v>
      </c>
      <c r="J51" s="71"/>
      <c r="K51" s="71"/>
      <c r="L51" s="75"/>
      <c r="N51" s="103">
        <v>3.07</v>
      </c>
      <c r="O51" s="162">
        <f t="shared" si="214"/>
        <v>30</v>
      </c>
      <c r="P51" s="302">
        <v>6</v>
      </c>
      <c r="Q51" s="336">
        <v>7</v>
      </c>
      <c r="R51" s="153">
        <v>8.5299999999999994</v>
      </c>
      <c r="S51" s="153">
        <v>11.6</v>
      </c>
      <c r="T51" s="153">
        <v>14.67</v>
      </c>
      <c r="U51" s="153">
        <f t="shared" ref="U51:AD51" si="217">T51+$N51</f>
        <v>17.739999999999998</v>
      </c>
      <c r="V51" s="153">
        <f t="shared" si="217"/>
        <v>20.81</v>
      </c>
      <c r="W51" s="153">
        <f t="shared" si="217"/>
        <v>23.88</v>
      </c>
      <c r="X51" s="153">
        <f t="shared" si="217"/>
        <v>26.95</v>
      </c>
      <c r="Y51" s="153">
        <f t="shared" si="217"/>
        <v>30.02</v>
      </c>
      <c r="Z51" s="153">
        <f t="shared" si="217"/>
        <v>33.089999999999996</v>
      </c>
      <c r="AA51" s="153">
        <f t="shared" si="217"/>
        <v>36.159999999999997</v>
      </c>
      <c r="AB51" s="153">
        <f t="shared" si="217"/>
        <v>39.229999999999997</v>
      </c>
      <c r="AC51" s="153">
        <f t="shared" si="217"/>
        <v>42.3</v>
      </c>
      <c r="AD51" s="153">
        <f t="shared" si="217"/>
        <v>45.37</v>
      </c>
      <c r="AE51" s="153">
        <v>48.39</v>
      </c>
      <c r="AF51" s="153">
        <f t="shared" si="213"/>
        <v>51.46</v>
      </c>
      <c r="AG51" s="153">
        <f t="shared" si="213"/>
        <v>54.53</v>
      </c>
      <c r="AH51" s="153">
        <f t="shared" si="213"/>
        <v>57.6</v>
      </c>
      <c r="AI51" s="153">
        <f t="shared" si="213"/>
        <v>60.67</v>
      </c>
      <c r="AJ51" s="153">
        <f t="shared" si="213"/>
        <v>63.74</v>
      </c>
      <c r="AK51" s="64"/>
      <c r="AL51" s="154" t="e">
        <f>I51</f>
        <v>#VALUE!</v>
      </c>
      <c r="AM51" s="155" t="e">
        <f>INDEX(P46:AJ66,$I$52,$D$52)</f>
        <v>#VALUE!</v>
      </c>
      <c r="AN51" s="155" t="e">
        <f>(((AN48-AM48)/(AO48-AM48))*(AO51-AM51))+AM51</f>
        <v>#VALUE!</v>
      </c>
      <c r="AO51" s="155" t="e">
        <f>INDEX(P46:AJ66,$I$52,$E$52)</f>
        <v>#VALUE!</v>
      </c>
      <c r="AP51" s="64"/>
      <c r="AQ51" s="65"/>
    </row>
    <row r="52" spans="2:59"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3.44</v>
      </c>
      <c r="O52" s="162">
        <f t="shared" si="214"/>
        <v>36</v>
      </c>
      <c r="P52" s="302">
        <v>7</v>
      </c>
      <c r="Q52" s="336">
        <v>8.17</v>
      </c>
      <c r="R52" s="153">
        <v>9.89</v>
      </c>
      <c r="S52" s="153">
        <v>13.33</v>
      </c>
      <c r="T52" s="153">
        <v>16.77</v>
      </c>
      <c r="U52" s="153">
        <f t="shared" ref="U52:AD52" si="218">T52+$N52</f>
        <v>20.21</v>
      </c>
      <c r="V52" s="153">
        <f t="shared" si="218"/>
        <v>23.650000000000002</v>
      </c>
      <c r="W52" s="153">
        <f t="shared" si="218"/>
        <v>27.090000000000003</v>
      </c>
      <c r="X52" s="153">
        <f t="shared" si="218"/>
        <v>30.530000000000005</v>
      </c>
      <c r="Y52" s="153">
        <f t="shared" si="218"/>
        <v>33.970000000000006</v>
      </c>
      <c r="Z52" s="153">
        <f t="shared" si="218"/>
        <v>37.410000000000004</v>
      </c>
      <c r="AA52" s="153">
        <f t="shared" si="218"/>
        <v>40.85</v>
      </c>
      <c r="AB52" s="153">
        <f t="shared" si="218"/>
        <v>44.29</v>
      </c>
      <c r="AC52" s="153">
        <f t="shared" si="218"/>
        <v>47.73</v>
      </c>
      <c r="AD52" s="153">
        <f t="shared" si="218"/>
        <v>51.169999999999995</v>
      </c>
      <c r="AE52" s="153">
        <v>54.61</v>
      </c>
      <c r="AF52" s="153">
        <f t="shared" si="213"/>
        <v>58.05</v>
      </c>
      <c r="AG52" s="153">
        <f t="shared" si="213"/>
        <v>61.489999999999995</v>
      </c>
      <c r="AH52" s="153">
        <f t="shared" si="213"/>
        <v>64.929999999999993</v>
      </c>
      <c r="AI52" s="153">
        <f t="shared" si="213"/>
        <v>68.36999999999999</v>
      </c>
      <c r="AJ52" s="153">
        <f t="shared" si="213"/>
        <v>71.809999999999988</v>
      </c>
      <c r="AK52" s="64"/>
      <c r="AL52" s="64"/>
      <c r="AM52" s="64"/>
      <c r="AN52" s="64"/>
      <c r="AO52" s="64"/>
      <c r="AP52" s="64"/>
      <c r="AQ52" s="65"/>
    </row>
    <row r="53" spans="2:59" ht="24" thickBot="1" x14ac:dyDescent="0.4">
      <c r="B53" s="78"/>
      <c r="C53" s="119"/>
      <c r="D53" s="117"/>
      <c r="E53" s="114"/>
      <c r="F53" s="114"/>
      <c r="G53" s="131"/>
      <c r="H53" s="117"/>
      <c r="I53" s="115"/>
      <c r="J53" s="71"/>
      <c r="K53" s="71"/>
      <c r="L53" s="75"/>
      <c r="N53" s="103">
        <v>3.81</v>
      </c>
      <c r="O53" s="162">
        <f t="shared" si="214"/>
        <v>42</v>
      </c>
      <c r="P53" s="302">
        <v>8</v>
      </c>
      <c r="Q53" s="336">
        <v>9.34</v>
      </c>
      <c r="R53" s="153">
        <v>10.98</v>
      </c>
      <c r="S53" s="153">
        <v>15.06</v>
      </c>
      <c r="T53" s="153">
        <v>18.87</v>
      </c>
      <c r="U53" s="153">
        <v>22.68</v>
      </c>
      <c r="V53" s="153">
        <v>26.5</v>
      </c>
      <c r="W53" s="153">
        <v>30.31</v>
      </c>
      <c r="X53" s="153">
        <v>34.119999999999997</v>
      </c>
      <c r="Y53" s="153">
        <f t="shared" ref="Y53:AD66" si="219">X53+$N53</f>
        <v>37.93</v>
      </c>
      <c r="Z53" s="153">
        <f t="shared" si="219"/>
        <v>41.74</v>
      </c>
      <c r="AA53" s="153">
        <f t="shared" si="219"/>
        <v>45.550000000000004</v>
      </c>
      <c r="AB53" s="153">
        <f t="shared" si="219"/>
        <v>49.360000000000007</v>
      </c>
      <c r="AC53" s="153">
        <f t="shared" si="219"/>
        <v>53.170000000000009</v>
      </c>
      <c r="AD53" s="153">
        <f t="shared" si="219"/>
        <v>56.980000000000011</v>
      </c>
      <c r="AE53" s="153">
        <v>60.82</v>
      </c>
      <c r="AF53" s="153">
        <f t="shared" si="213"/>
        <v>64.63</v>
      </c>
      <c r="AG53" s="153">
        <f t="shared" si="213"/>
        <v>68.44</v>
      </c>
      <c r="AH53" s="153">
        <f t="shared" si="213"/>
        <v>72.25</v>
      </c>
      <c r="AI53" s="153">
        <f t="shared" si="213"/>
        <v>76.06</v>
      </c>
      <c r="AJ53" s="153">
        <f t="shared" si="213"/>
        <v>79.87</v>
      </c>
      <c r="AK53" s="64"/>
      <c r="AL53" s="64"/>
      <c r="AM53" s="64" t="s">
        <v>157</v>
      </c>
      <c r="AN53" s="64" t="e">
        <f>IF(AN48&gt;=72,1,0)</f>
        <v>#VALUE!</v>
      </c>
      <c r="AO53" s="64"/>
      <c r="AP53" s="64"/>
      <c r="AQ53" s="65"/>
      <c r="AS53" s="495"/>
      <c r="AT53" s="496"/>
    </row>
    <row r="54" spans="2:59" ht="15.75" thickBot="1" x14ac:dyDescent="0.3">
      <c r="B54" s="78"/>
      <c r="C54" s="71"/>
      <c r="D54" s="71"/>
      <c r="E54" s="71"/>
      <c r="F54" s="71"/>
      <c r="G54" s="71"/>
      <c r="H54" s="71"/>
      <c r="I54" s="71"/>
      <c r="J54" s="71"/>
      <c r="K54" s="71"/>
      <c r="L54" s="75"/>
      <c r="N54" s="103">
        <v>4.1900000000000004</v>
      </c>
      <c r="O54" s="162">
        <f t="shared" si="214"/>
        <v>48</v>
      </c>
      <c r="P54" s="302">
        <v>9</v>
      </c>
      <c r="Q54" s="336">
        <v>10.51</v>
      </c>
      <c r="R54" s="153">
        <v>12.6</v>
      </c>
      <c r="S54" s="153">
        <v>16.79</v>
      </c>
      <c r="T54" s="153">
        <v>20.97</v>
      </c>
      <c r="U54" s="153">
        <f t="shared" ref="U54:X66" si="220">T54+$N54</f>
        <v>25.16</v>
      </c>
      <c r="V54" s="153">
        <f t="shared" si="220"/>
        <v>29.35</v>
      </c>
      <c r="W54" s="153">
        <f t="shared" si="220"/>
        <v>33.54</v>
      </c>
      <c r="X54" s="153">
        <f t="shared" si="220"/>
        <v>37.729999999999997</v>
      </c>
      <c r="Y54" s="153">
        <f t="shared" si="219"/>
        <v>41.919999999999995</v>
      </c>
      <c r="Z54" s="153">
        <f t="shared" si="219"/>
        <v>46.109999999999992</v>
      </c>
      <c r="AA54" s="153">
        <f t="shared" si="219"/>
        <v>50.29999999999999</v>
      </c>
      <c r="AB54" s="153">
        <f t="shared" si="219"/>
        <v>54.489999999999988</v>
      </c>
      <c r="AC54" s="153">
        <f t="shared" si="219"/>
        <v>58.679999999999986</v>
      </c>
      <c r="AD54" s="153">
        <f t="shared" si="219"/>
        <v>62.869999999999983</v>
      </c>
      <c r="AE54" s="153">
        <v>67.03</v>
      </c>
      <c r="AF54" s="153">
        <f t="shared" si="213"/>
        <v>71.22</v>
      </c>
      <c r="AG54" s="153">
        <f t="shared" si="213"/>
        <v>75.41</v>
      </c>
      <c r="AH54" s="153">
        <f t="shared" si="213"/>
        <v>79.599999999999994</v>
      </c>
      <c r="AI54" s="153">
        <f t="shared" si="213"/>
        <v>83.789999999999992</v>
      </c>
      <c r="AJ54" s="153">
        <f t="shared" si="213"/>
        <v>87.97999999999999</v>
      </c>
      <c r="AK54" s="64"/>
      <c r="AL54" s="64"/>
      <c r="AM54" s="64" t="s">
        <v>158</v>
      </c>
      <c r="AN54" s="64" t="e">
        <f>AN53*(1.5+((AL50-12))*0.103)</f>
        <v>#VALUE!</v>
      </c>
      <c r="AO54" s="64"/>
      <c r="AP54" s="64"/>
      <c r="AQ54" s="65"/>
    </row>
    <row r="55" spans="2:59" ht="21.75" thickBot="1" x14ac:dyDescent="0.4">
      <c r="B55" s="229" t="s">
        <v>71</v>
      </c>
      <c r="C55" s="71"/>
      <c r="E55" s="71"/>
      <c r="F55" s="71"/>
      <c r="G55" s="71"/>
      <c r="H55" s="71"/>
      <c r="I55" s="71"/>
      <c r="J55" s="71"/>
      <c r="K55" s="71"/>
      <c r="L55" s="75"/>
      <c r="N55" s="103">
        <v>4.5599999999999996</v>
      </c>
      <c r="O55" s="162">
        <f t="shared" si="214"/>
        <v>54</v>
      </c>
      <c r="P55" s="302">
        <v>10</v>
      </c>
      <c r="Q55" s="336">
        <v>11.68</v>
      </c>
      <c r="R55" s="153">
        <v>13.96</v>
      </c>
      <c r="S55" s="153">
        <v>18.52</v>
      </c>
      <c r="T55" s="153">
        <v>23.08</v>
      </c>
      <c r="U55" s="153">
        <f t="shared" si="220"/>
        <v>27.639999999999997</v>
      </c>
      <c r="V55" s="153">
        <f t="shared" si="220"/>
        <v>32.199999999999996</v>
      </c>
      <c r="W55" s="153">
        <f t="shared" si="220"/>
        <v>36.76</v>
      </c>
      <c r="X55" s="153">
        <f t="shared" si="220"/>
        <v>41.32</v>
      </c>
      <c r="Y55" s="153">
        <f t="shared" si="219"/>
        <v>45.88</v>
      </c>
      <c r="Z55" s="153">
        <f t="shared" si="219"/>
        <v>50.440000000000005</v>
      </c>
      <c r="AA55" s="153">
        <f t="shared" si="219"/>
        <v>55.000000000000007</v>
      </c>
      <c r="AB55" s="153">
        <f t="shared" si="219"/>
        <v>59.560000000000009</v>
      </c>
      <c r="AC55" s="153">
        <f t="shared" si="219"/>
        <v>64.12</v>
      </c>
      <c r="AD55" s="153">
        <f t="shared" si="219"/>
        <v>68.680000000000007</v>
      </c>
      <c r="AE55" s="153">
        <f>AD55+$N55</f>
        <v>73.240000000000009</v>
      </c>
      <c r="AF55" s="153">
        <f t="shared" si="213"/>
        <v>77.800000000000011</v>
      </c>
      <c r="AG55" s="153">
        <f t="shared" si="213"/>
        <v>82.360000000000014</v>
      </c>
      <c r="AH55" s="153">
        <f t="shared" si="213"/>
        <v>86.920000000000016</v>
      </c>
      <c r="AI55" s="153">
        <f t="shared" si="213"/>
        <v>91.480000000000018</v>
      </c>
      <c r="AJ55" s="153">
        <f t="shared" si="213"/>
        <v>96.04000000000002</v>
      </c>
      <c r="AK55" s="64"/>
      <c r="AL55" s="64"/>
      <c r="AM55" s="64"/>
      <c r="AN55" s="64"/>
      <c r="AO55" s="64"/>
      <c r="AP55" s="64"/>
      <c r="AQ55" s="65"/>
    </row>
    <row r="56" spans="2:59" ht="16.5" thickBot="1" x14ac:dyDescent="0.3">
      <c r="B56" s="78"/>
      <c r="C56" s="71"/>
      <c r="D56" s="109"/>
      <c r="E56" s="109" t="e">
        <f>D51</f>
        <v>#VALUE!</v>
      </c>
      <c r="F56" s="132" t="e">
        <f>C45</f>
        <v>#VALUE!</v>
      </c>
      <c r="G56" s="109" t="e">
        <f>E51</f>
        <v>#VALUE!</v>
      </c>
      <c r="H56" s="71"/>
      <c r="I56" s="71"/>
      <c r="J56" s="71"/>
      <c r="K56" s="71"/>
      <c r="L56" s="75"/>
      <c r="N56" s="103">
        <v>5.31</v>
      </c>
      <c r="O56" s="162">
        <f t="shared" si="214"/>
        <v>60</v>
      </c>
      <c r="P56" s="302">
        <v>11</v>
      </c>
      <c r="Q56" s="336">
        <v>13.22</v>
      </c>
      <c r="R56" s="153">
        <v>15.87</v>
      </c>
      <c r="S56" s="153">
        <v>21.18</v>
      </c>
      <c r="T56" s="153">
        <v>26.49</v>
      </c>
      <c r="U56" s="153">
        <f t="shared" si="220"/>
        <v>31.799999999999997</v>
      </c>
      <c r="V56" s="153">
        <f t="shared" si="220"/>
        <v>37.11</v>
      </c>
      <c r="W56" s="153">
        <f t="shared" si="220"/>
        <v>42.42</v>
      </c>
      <c r="X56" s="153">
        <f t="shared" si="220"/>
        <v>47.730000000000004</v>
      </c>
      <c r="Y56" s="153">
        <f t="shared" si="219"/>
        <v>53.040000000000006</v>
      </c>
      <c r="Z56" s="153">
        <f t="shared" si="219"/>
        <v>58.350000000000009</v>
      </c>
      <c r="AA56" s="153">
        <f t="shared" si="219"/>
        <v>63.660000000000011</v>
      </c>
      <c r="AB56" s="153">
        <f t="shared" si="219"/>
        <v>68.970000000000013</v>
      </c>
      <c r="AC56" s="153">
        <f t="shared" si="219"/>
        <v>74.280000000000015</v>
      </c>
      <c r="AD56" s="153">
        <f t="shared" si="219"/>
        <v>79.590000000000018</v>
      </c>
      <c r="AE56" s="153">
        <v>84.87</v>
      </c>
      <c r="AF56" s="153">
        <f t="shared" si="213"/>
        <v>90.18</v>
      </c>
      <c r="AG56" s="153">
        <f t="shared" si="213"/>
        <v>95.490000000000009</v>
      </c>
      <c r="AH56" s="153">
        <f t="shared" si="213"/>
        <v>100.80000000000001</v>
      </c>
      <c r="AI56" s="153">
        <f t="shared" si="213"/>
        <v>106.11000000000001</v>
      </c>
      <c r="AJ56" s="153">
        <f t="shared" si="213"/>
        <v>111.42000000000002</v>
      </c>
      <c r="AK56" s="64"/>
      <c r="AL56" s="64"/>
      <c r="AM56" s="64"/>
      <c r="AN56" s="64"/>
      <c r="AO56" s="64"/>
      <c r="AP56" s="64"/>
      <c r="AQ56" s="65"/>
    </row>
    <row r="57" spans="2:59"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03">
        <v>5.68</v>
      </c>
      <c r="O57" s="162">
        <f t="shared" si="214"/>
        <v>66</v>
      </c>
      <c r="P57" s="302">
        <v>12</v>
      </c>
      <c r="Q57" s="336">
        <v>14.39</v>
      </c>
      <c r="R57" s="153">
        <v>17.23</v>
      </c>
      <c r="S57" s="153">
        <v>22.91</v>
      </c>
      <c r="T57" s="153">
        <v>28.59</v>
      </c>
      <c r="U57" s="153">
        <f t="shared" si="220"/>
        <v>34.269999999999996</v>
      </c>
      <c r="V57" s="153">
        <f t="shared" si="220"/>
        <v>39.949999999999996</v>
      </c>
      <c r="W57" s="153">
        <f t="shared" si="220"/>
        <v>45.629999999999995</v>
      </c>
      <c r="X57" s="153">
        <f t="shared" si="220"/>
        <v>51.309999999999995</v>
      </c>
      <c r="Y57" s="153">
        <f t="shared" si="219"/>
        <v>56.989999999999995</v>
      </c>
      <c r="Z57" s="153">
        <f t="shared" si="219"/>
        <v>62.669999999999995</v>
      </c>
      <c r="AA57" s="153">
        <f t="shared" si="219"/>
        <v>68.349999999999994</v>
      </c>
      <c r="AB57" s="153">
        <f t="shared" si="219"/>
        <v>74.03</v>
      </c>
      <c r="AC57" s="153">
        <f t="shared" si="219"/>
        <v>79.710000000000008</v>
      </c>
      <c r="AD57" s="153">
        <f t="shared" si="219"/>
        <v>85.390000000000015</v>
      </c>
      <c r="AE57" s="153">
        <v>91.08</v>
      </c>
      <c r="AF57" s="153">
        <f t="shared" si="213"/>
        <v>96.759999999999991</v>
      </c>
      <c r="AG57" s="153">
        <f t="shared" si="213"/>
        <v>102.44</v>
      </c>
      <c r="AH57" s="153">
        <f t="shared" si="213"/>
        <v>108.12</v>
      </c>
      <c r="AI57" s="153">
        <f t="shared" si="213"/>
        <v>113.80000000000001</v>
      </c>
      <c r="AJ57" s="153">
        <f t="shared" si="213"/>
        <v>119.48000000000002</v>
      </c>
      <c r="AK57" s="64"/>
      <c r="AL57" s="64"/>
      <c r="AM57" s="270" t="s">
        <v>212</v>
      </c>
      <c r="AN57" s="64"/>
      <c r="AO57" s="153" t="e">
        <f>(AN50+AN54)</f>
        <v>#VALUE!</v>
      </c>
      <c r="AP57" s="64" t="s">
        <v>86</v>
      </c>
      <c r="AQ57" s="65"/>
    </row>
    <row r="58" spans="2:59"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6.06</v>
      </c>
      <c r="O58" s="162">
        <f t="shared" si="214"/>
        <v>72</v>
      </c>
      <c r="P58" s="302">
        <v>13</v>
      </c>
      <c r="Q58" s="336">
        <v>15.56</v>
      </c>
      <c r="R58" s="153">
        <v>18.579999999999998</v>
      </c>
      <c r="S58" s="153">
        <v>24.64</v>
      </c>
      <c r="T58" s="153">
        <v>30.69</v>
      </c>
      <c r="U58" s="153">
        <f t="shared" si="220"/>
        <v>36.75</v>
      </c>
      <c r="V58" s="153">
        <f t="shared" si="220"/>
        <v>42.81</v>
      </c>
      <c r="W58" s="153">
        <f t="shared" si="220"/>
        <v>48.870000000000005</v>
      </c>
      <c r="X58" s="153">
        <f t="shared" si="220"/>
        <v>54.930000000000007</v>
      </c>
      <c r="Y58" s="153">
        <f t="shared" si="219"/>
        <v>60.990000000000009</v>
      </c>
      <c r="Z58" s="153">
        <f t="shared" si="219"/>
        <v>67.050000000000011</v>
      </c>
      <c r="AA58" s="153">
        <f t="shared" si="219"/>
        <v>73.110000000000014</v>
      </c>
      <c r="AB58" s="153">
        <f t="shared" si="219"/>
        <v>79.170000000000016</v>
      </c>
      <c r="AC58" s="153">
        <f t="shared" si="219"/>
        <v>85.230000000000018</v>
      </c>
      <c r="AD58" s="153">
        <f t="shared" si="219"/>
        <v>91.29000000000002</v>
      </c>
      <c r="AE58" s="153">
        <v>97.29</v>
      </c>
      <c r="AF58" s="153">
        <f t="shared" ref="AF58:AJ58" si="221">AE58+$N58</f>
        <v>103.35000000000001</v>
      </c>
      <c r="AG58" s="153">
        <f t="shared" si="221"/>
        <v>109.41000000000001</v>
      </c>
      <c r="AH58" s="153">
        <f t="shared" si="221"/>
        <v>115.47000000000001</v>
      </c>
      <c r="AI58" s="153">
        <f t="shared" si="221"/>
        <v>121.53000000000002</v>
      </c>
      <c r="AJ58" s="153">
        <f t="shared" si="221"/>
        <v>127.59000000000002</v>
      </c>
      <c r="AK58" s="64"/>
      <c r="AL58" s="64"/>
      <c r="AM58" s="270" t="s">
        <v>213</v>
      </c>
      <c r="AN58" s="64"/>
      <c r="AO58" s="64" t="e">
        <f>AO57*C11</f>
        <v>#VALUE!</v>
      </c>
      <c r="AP58" s="64" t="s">
        <v>86</v>
      </c>
      <c r="AQ58" s="65"/>
    </row>
    <row r="59" spans="2:59"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03">
        <v>6.43</v>
      </c>
      <c r="O59" s="162">
        <f t="shared" si="214"/>
        <v>78</v>
      </c>
      <c r="P59" s="302">
        <v>14</v>
      </c>
      <c r="Q59" s="336">
        <v>16.72</v>
      </c>
      <c r="R59" s="153">
        <v>19.940000000000001</v>
      </c>
      <c r="S59" s="153">
        <v>26.37</v>
      </c>
      <c r="T59" s="153">
        <v>32.79</v>
      </c>
      <c r="U59" s="153">
        <f t="shared" si="220"/>
        <v>39.22</v>
      </c>
      <c r="V59" s="153">
        <f t="shared" si="220"/>
        <v>45.65</v>
      </c>
      <c r="W59" s="153">
        <f t="shared" si="220"/>
        <v>52.08</v>
      </c>
      <c r="X59" s="153">
        <f t="shared" si="220"/>
        <v>58.51</v>
      </c>
      <c r="Y59" s="153">
        <f t="shared" si="219"/>
        <v>64.94</v>
      </c>
      <c r="Z59" s="153">
        <f t="shared" si="219"/>
        <v>71.37</v>
      </c>
      <c r="AA59" s="153">
        <f t="shared" si="219"/>
        <v>77.800000000000011</v>
      </c>
      <c r="AB59" s="153">
        <f t="shared" si="219"/>
        <v>84.230000000000018</v>
      </c>
      <c r="AC59" s="306"/>
      <c r="AD59" s="306"/>
      <c r="AE59" s="306"/>
      <c r="AF59" s="306"/>
      <c r="AG59" s="306"/>
      <c r="AH59" s="306"/>
      <c r="AI59" s="306"/>
      <c r="AJ59" s="306"/>
      <c r="AK59" s="64"/>
      <c r="AL59" s="64"/>
      <c r="AM59" s="64"/>
      <c r="AN59" s="64"/>
      <c r="AO59" s="64"/>
      <c r="AP59" s="64"/>
      <c r="AQ59" s="65"/>
    </row>
    <row r="60" spans="2:59" ht="15.75" thickBot="1" x14ac:dyDescent="0.3">
      <c r="B60" s="78"/>
      <c r="C60" s="71"/>
      <c r="D60" s="71"/>
      <c r="E60" s="71"/>
      <c r="F60" s="71"/>
      <c r="G60" s="71"/>
      <c r="H60" s="71"/>
      <c r="I60" s="71"/>
      <c r="J60" s="71"/>
      <c r="K60" s="71"/>
      <c r="L60" s="75"/>
      <c r="N60" s="103">
        <v>6.81</v>
      </c>
      <c r="O60" s="162">
        <f t="shared" si="214"/>
        <v>84</v>
      </c>
      <c r="P60" s="302">
        <v>15</v>
      </c>
      <c r="Q60" s="336">
        <v>17.89</v>
      </c>
      <c r="R60" s="153">
        <v>21.29</v>
      </c>
      <c r="S60" s="153">
        <v>28.1</v>
      </c>
      <c r="T60" s="153">
        <v>34.9</v>
      </c>
      <c r="U60" s="153">
        <f t="shared" si="220"/>
        <v>41.71</v>
      </c>
      <c r="V60" s="153">
        <f t="shared" si="220"/>
        <v>48.52</v>
      </c>
      <c r="W60" s="153">
        <f t="shared" si="220"/>
        <v>55.330000000000005</v>
      </c>
      <c r="X60" s="153">
        <f t="shared" si="220"/>
        <v>62.140000000000008</v>
      </c>
      <c r="Y60" s="153">
        <f t="shared" si="219"/>
        <v>68.95</v>
      </c>
      <c r="Z60" s="153">
        <f t="shared" si="219"/>
        <v>75.760000000000005</v>
      </c>
      <c r="AA60" s="153">
        <f t="shared" si="219"/>
        <v>82.570000000000007</v>
      </c>
      <c r="AB60" s="153">
        <f t="shared" si="219"/>
        <v>89.38000000000001</v>
      </c>
      <c r="AC60" s="306"/>
      <c r="AD60" s="306"/>
      <c r="AE60" s="306"/>
      <c r="AF60" s="306"/>
      <c r="AG60" s="306"/>
      <c r="AH60" s="306"/>
      <c r="AI60" s="306"/>
      <c r="AJ60" s="306"/>
      <c r="AK60" s="64"/>
      <c r="AL60" s="64"/>
      <c r="AM60" s="64"/>
      <c r="AN60" s="64"/>
      <c r="AO60" s="64"/>
      <c r="AP60" s="64"/>
      <c r="AQ60" s="97"/>
    </row>
    <row r="61" spans="2:59" ht="15.75" thickBot="1" x14ac:dyDescent="0.3">
      <c r="B61" s="78"/>
      <c r="C61" s="71"/>
      <c r="D61" s="71"/>
      <c r="E61" s="71"/>
      <c r="F61" s="71"/>
      <c r="G61" s="71"/>
      <c r="H61" s="71"/>
      <c r="I61" s="71"/>
      <c r="J61" s="71"/>
      <c r="K61" s="71"/>
      <c r="L61" s="75"/>
      <c r="N61" s="103">
        <v>7.55</v>
      </c>
      <c r="O61" s="162">
        <f t="shared" si="214"/>
        <v>90</v>
      </c>
      <c r="P61" s="302">
        <v>16</v>
      </c>
      <c r="Q61" s="336">
        <v>19.440000000000001</v>
      </c>
      <c r="R61" s="153">
        <v>23.21</v>
      </c>
      <c r="S61" s="153">
        <v>30.76</v>
      </c>
      <c r="T61" s="153">
        <v>38.31</v>
      </c>
      <c r="U61" s="153">
        <f t="shared" si="220"/>
        <v>45.86</v>
      </c>
      <c r="V61" s="153">
        <f t="shared" si="220"/>
        <v>53.41</v>
      </c>
      <c r="W61" s="153">
        <f t="shared" si="220"/>
        <v>60.959999999999994</v>
      </c>
      <c r="X61" s="153">
        <f t="shared" si="220"/>
        <v>68.509999999999991</v>
      </c>
      <c r="Y61" s="153">
        <f t="shared" si="219"/>
        <v>76.059999999999988</v>
      </c>
      <c r="Z61" s="153">
        <f t="shared" si="219"/>
        <v>83.609999999999985</v>
      </c>
      <c r="AA61" s="153">
        <f t="shared" si="219"/>
        <v>91.159999999999982</v>
      </c>
      <c r="AB61" s="153">
        <f t="shared" si="219"/>
        <v>98.70999999999998</v>
      </c>
      <c r="AC61" s="306"/>
      <c r="AD61" s="306"/>
      <c r="AE61" s="306"/>
      <c r="AF61" s="306"/>
      <c r="AG61" s="306"/>
      <c r="AH61" s="306"/>
      <c r="AI61" s="306"/>
      <c r="AJ61" s="306"/>
      <c r="AK61" s="64"/>
      <c r="AL61" s="64"/>
      <c r="AM61" s="64"/>
      <c r="AN61" s="64"/>
      <c r="AO61" s="64"/>
      <c r="AP61" s="64"/>
      <c r="AQ61" s="97"/>
      <c r="BG61" s="83"/>
    </row>
    <row r="62" spans="2:59" ht="15.75" thickBot="1" x14ac:dyDescent="0.3">
      <c r="B62" s="78"/>
      <c r="C62" s="71"/>
      <c r="D62" s="71"/>
      <c r="E62" s="71"/>
      <c r="F62" s="71"/>
      <c r="G62" s="71"/>
      <c r="H62" s="71"/>
      <c r="I62" s="71"/>
      <c r="J62" s="71"/>
      <c r="K62" s="71"/>
      <c r="L62" s="75"/>
      <c r="N62" s="103">
        <v>7.92</v>
      </c>
      <c r="O62" s="162">
        <f t="shared" si="214"/>
        <v>96</v>
      </c>
      <c r="P62" s="302">
        <v>17</v>
      </c>
      <c r="Q62" s="336">
        <v>20.6</v>
      </c>
      <c r="R62" s="153">
        <v>24.57</v>
      </c>
      <c r="S62" s="153">
        <v>32.49</v>
      </c>
      <c r="T62" s="153">
        <v>40.409999999999997</v>
      </c>
      <c r="U62" s="153">
        <f t="shared" si="220"/>
        <v>48.33</v>
      </c>
      <c r="V62" s="153">
        <f t="shared" si="220"/>
        <v>56.25</v>
      </c>
      <c r="W62" s="153">
        <f t="shared" si="220"/>
        <v>64.17</v>
      </c>
      <c r="X62" s="153">
        <f t="shared" si="220"/>
        <v>72.09</v>
      </c>
      <c r="Y62" s="153">
        <f t="shared" si="219"/>
        <v>80.010000000000005</v>
      </c>
      <c r="Z62" s="153">
        <f t="shared" si="219"/>
        <v>87.93</v>
      </c>
      <c r="AA62" s="153">
        <f t="shared" si="219"/>
        <v>95.850000000000009</v>
      </c>
      <c r="AB62" s="153">
        <f t="shared" si="219"/>
        <v>103.77000000000001</v>
      </c>
      <c r="AC62" s="306"/>
      <c r="AD62" s="306"/>
      <c r="AE62" s="306"/>
      <c r="AF62" s="306"/>
      <c r="AG62" s="306"/>
      <c r="AH62" s="306"/>
      <c r="AI62" s="306"/>
      <c r="AJ62" s="306"/>
      <c r="AK62" s="64"/>
      <c r="AL62" s="64"/>
      <c r="AM62" s="64"/>
      <c r="AN62" s="64"/>
      <c r="AO62" s="64"/>
      <c r="AP62" s="64"/>
      <c r="AQ62" s="97"/>
      <c r="BG62" s="83"/>
    </row>
    <row r="63" spans="2:59" ht="21.75" thickBot="1" x14ac:dyDescent="0.4">
      <c r="B63" s="229" t="s">
        <v>80</v>
      </c>
      <c r="C63" s="71"/>
      <c r="D63" s="71"/>
      <c r="E63" s="71"/>
      <c r="F63" s="71"/>
      <c r="G63" s="71"/>
      <c r="H63" s="71"/>
      <c r="I63" s="71"/>
      <c r="J63" s="71"/>
      <c r="K63" s="71"/>
      <c r="L63" s="75"/>
      <c r="N63" s="103">
        <v>8.3000000000000007</v>
      </c>
      <c r="O63" s="162">
        <f t="shared" si="214"/>
        <v>102</v>
      </c>
      <c r="P63" s="302">
        <v>18</v>
      </c>
      <c r="Q63" s="336">
        <v>21.77</v>
      </c>
      <c r="R63" s="153">
        <v>25.92</v>
      </c>
      <c r="S63" s="153">
        <v>34.22</v>
      </c>
      <c r="T63" s="153">
        <v>42.51</v>
      </c>
      <c r="U63" s="153">
        <f t="shared" si="220"/>
        <v>50.81</v>
      </c>
      <c r="V63" s="153">
        <f t="shared" si="220"/>
        <v>59.11</v>
      </c>
      <c r="W63" s="153">
        <f t="shared" si="220"/>
        <v>67.41</v>
      </c>
      <c r="X63" s="153">
        <f t="shared" si="220"/>
        <v>75.709999999999994</v>
      </c>
      <c r="Y63" s="153">
        <f t="shared" si="219"/>
        <v>84.009999999999991</v>
      </c>
      <c r="Z63" s="153">
        <f t="shared" si="219"/>
        <v>92.309999999999988</v>
      </c>
      <c r="AA63" s="153">
        <f t="shared" si="219"/>
        <v>100.60999999999999</v>
      </c>
      <c r="AB63" s="153">
        <f t="shared" si="219"/>
        <v>108.90999999999998</v>
      </c>
      <c r="AC63" s="306"/>
      <c r="AD63" s="306"/>
      <c r="AE63" s="306"/>
      <c r="AF63" s="306"/>
      <c r="AG63" s="306"/>
      <c r="AH63" s="306"/>
      <c r="AI63" s="306"/>
      <c r="AJ63" s="306"/>
      <c r="AK63" s="64"/>
      <c r="AL63" s="64"/>
      <c r="AM63" s="64"/>
      <c r="AN63" s="64"/>
      <c r="AO63" s="64"/>
      <c r="AP63" s="64"/>
      <c r="AQ63" s="97"/>
      <c r="BG63" s="83"/>
    </row>
    <row r="64" spans="2:59" ht="19.5" thickBot="1" x14ac:dyDescent="0.35">
      <c r="B64" s="230" t="s">
        <v>46</v>
      </c>
      <c r="C64" s="71"/>
      <c r="D64" s="141" t="e">
        <f>F58*(D3*D4)/144</f>
        <v>#VALUE!</v>
      </c>
      <c r="E64" s="256" t="s">
        <v>45</v>
      </c>
      <c r="F64" s="71"/>
      <c r="G64" s="71"/>
      <c r="H64" s="71"/>
      <c r="I64" s="71"/>
      <c r="J64" s="71"/>
      <c r="K64" s="71"/>
      <c r="L64" s="75"/>
      <c r="N64" s="103">
        <v>8.67</v>
      </c>
      <c r="O64" s="162">
        <f t="shared" si="214"/>
        <v>108</v>
      </c>
      <c r="P64" s="302">
        <v>19</v>
      </c>
      <c r="Q64" s="336">
        <v>22.94</v>
      </c>
      <c r="R64" s="153">
        <v>27.28</v>
      </c>
      <c r="S64" s="153">
        <v>35.950000000000003</v>
      </c>
      <c r="T64" s="153">
        <v>44.61</v>
      </c>
      <c r="U64" s="153">
        <f t="shared" si="220"/>
        <v>53.28</v>
      </c>
      <c r="V64" s="153">
        <f t="shared" si="220"/>
        <v>61.95</v>
      </c>
      <c r="W64" s="153">
        <f t="shared" si="220"/>
        <v>70.62</v>
      </c>
      <c r="X64" s="153">
        <f t="shared" si="220"/>
        <v>79.290000000000006</v>
      </c>
      <c r="Y64" s="153">
        <f t="shared" si="219"/>
        <v>87.960000000000008</v>
      </c>
      <c r="Z64" s="153">
        <f t="shared" si="219"/>
        <v>96.63000000000001</v>
      </c>
      <c r="AA64" s="153">
        <f t="shared" si="219"/>
        <v>105.30000000000001</v>
      </c>
      <c r="AB64" s="153">
        <f t="shared" si="219"/>
        <v>113.97000000000001</v>
      </c>
      <c r="AC64" s="306"/>
      <c r="AD64" s="306"/>
      <c r="AE64" s="306"/>
      <c r="AF64" s="306"/>
      <c r="AG64" s="306"/>
      <c r="AH64" s="306"/>
      <c r="AI64" s="306"/>
      <c r="AJ64" s="306"/>
      <c r="AK64" s="64"/>
      <c r="AL64" s="64"/>
      <c r="AM64" s="64"/>
      <c r="AN64" s="64"/>
      <c r="AO64" s="64"/>
      <c r="AP64" s="64"/>
      <c r="AQ64" s="97"/>
      <c r="BG64" s="83"/>
    </row>
    <row r="65" spans="2:214" ht="19.5" thickBot="1" x14ac:dyDescent="0.35">
      <c r="B65" s="230" t="s">
        <v>47</v>
      </c>
      <c r="C65" s="71"/>
      <c r="D65" s="142" t="e">
        <f>(D3*D4)/144</f>
        <v>#VALUE!</v>
      </c>
      <c r="E65" s="256" t="s">
        <v>45</v>
      </c>
      <c r="F65" s="71"/>
      <c r="G65" s="71"/>
      <c r="H65" s="71"/>
      <c r="I65" s="71"/>
      <c r="J65" s="71"/>
      <c r="K65" s="71"/>
      <c r="L65" s="75"/>
      <c r="N65" s="103">
        <v>9.0500000000000007</v>
      </c>
      <c r="O65" s="162">
        <f t="shared" si="214"/>
        <v>114</v>
      </c>
      <c r="P65" s="302">
        <v>20</v>
      </c>
      <c r="Q65" s="336">
        <v>24.11</v>
      </c>
      <c r="R65" s="153">
        <v>28.63</v>
      </c>
      <c r="S65" s="153">
        <v>37.67</v>
      </c>
      <c r="T65" s="153">
        <v>46.72</v>
      </c>
      <c r="U65" s="153">
        <f t="shared" si="220"/>
        <v>55.769999999999996</v>
      </c>
      <c r="V65" s="153">
        <f t="shared" si="220"/>
        <v>64.819999999999993</v>
      </c>
      <c r="W65" s="153">
        <f t="shared" si="220"/>
        <v>73.86999999999999</v>
      </c>
      <c r="X65" s="153">
        <f t="shared" si="220"/>
        <v>82.919999999999987</v>
      </c>
      <c r="Y65" s="153">
        <f t="shared" si="219"/>
        <v>91.969999999999985</v>
      </c>
      <c r="Z65" s="153">
        <f t="shared" si="219"/>
        <v>101.01999999999998</v>
      </c>
      <c r="AA65" s="153">
        <f t="shared" si="219"/>
        <v>110.06999999999998</v>
      </c>
      <c r="AB65" s="153">
        <f t="shared" si="219"/>
        <v>119.11999999999998</v>
      </c>
      <c r="AC65" s="306"/>
      <c r="AD65" s="306"/>
      <c r="AE65" s="306"/>
      <c r="AF65" s="306"/>
      <c r="AG65" s="306"/>
      <c r="AH65" s="306"/>
      <c r="AI65" s="306"/>
      <c r="AJ65" s="306"/>
      <c r="AK65" s="64"/>
      <c r="AL65" s="64"/>
      <c r="AM65" s="64"/>
      <c r="AN65" s="64"/>
      <c r="AO65" s="64"/>
      <c r="AP65" s="64"/>
      <c r="AQ65" s="97"/>
      <c r="BG65" s="83"/>
    </row>
    <row r="66" spans="2:214" ht="19.5" thickBot="1" x14ac:dyDescent="0.35">
      <c r="B66" s="230" t="s">
        <v>81</v>
      </c>
      <c r="C66" s="71"/>
      <c r="D66" s="138" t="e">
        <f>F58*100</f>
        <v>#VALUE!</v>
      </c>
      <c r="E66" s="256" t="s">
        <v>16</v>
      </c>
      <c r="F66" s="71"/>
      <c r="G66" s="71"/>
      <c r="H66" s="71"/>
      <c r="I66" s="71"/>
      <c r="J66" s="71"/>
      <c r="K66" s="71"/>
      <c r="L66" s="75"/>
      <c r="N66" s="103">
        <v>9.7899999999999991</v>
      </c>
      <c r="O66" s="162">
        <f t="shared" si="214"/>
        <v>120</v>
      </c>
      <c r="P66" s="302">
        <v>21</v>
      </c>
      <c r="Q66" s="336">
        <v>25.65</v>
      </c>
      <c r="R66" s="153">
        <v>30.55</v>
      </c>
      <c r="S66" s="153">
        <v>40.340000000000003</v>
      </c>
      <c r="T66" s="153">
        <v>50.13</v>
      </c>
      <c r="U66" s="153">
        <f t="shared" si="220"/>
        <v>59.92</v>
      </c>
      <c r="V66" s="153">
        <f t="shared" si="220"/>
        <v>69.710000000000008</v>
      </c>
      <c r="W66" s="153">
        <f t="shared" si="220"/>
        <v>79.5</v>
      </c>
      <c r="X66" s="153">
        <f t="shared" si="220"/>
        <v>89.289999999999992</v>
      </c>
      <c r="Y66" s="153">
        <f t="shared" si="219"/>
        <v>99.079999999999984</v>
      </c>
      <c r="Z66" s="153">
        <f t="shared" si="219"/>
        <v>108.86999999999998</v>
      </c>
      <c r="AA66" s="153">
        <f t="shared" si="219"/>
        <v>118.65999999999997</v>
      </c>
      <c r="AB66" s="153">
        <f t="shared" si="219"/>
        <v>128.44999999999996</v>
      </c>
      <c r="AC66" s="306"/>
      <c r="AD66" s="306"/>
      <c r="AE66" s="306"/>
      <c r="AF66" s="306"/>
      <c r="AG66" s="306"/>
      <c r="AH66" s="306"/>
      <c r="AI66" s="306"/>
      <c r="AJ66" s="306"/>
      <c r="AK66" s="64"/>
      <c r="AL66" s="64"/>
      <c r="AM66" s="64"/>
      <c r="AN66" s="64"/>
      <c r="AO66" s="64"/>
      <c r="AP66" s="64"/>
      <c r="AQ66" s="97"/>
      <c r="BG66" s="83"/>
    </row>
    <row r="67" spans="2:214" ht="19.5" thickBot="1" x14ac:dyDescent="0.35">
      <c r="B67" s="78"/>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2:214" ht="19.5" thickBot="1" x14ac:dyDescent="0.35">
      <c r="B68" s="231" t="s">
        <v>82</v>
      </c>
      <c r="D68" s="138"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c r="BS68" s="7"/>
      <c r="BT68" s="7"/>
      <c r="BU68" s="7"/>
      <c r="BV68" s="7"/>
      <c r="BW68" s="7"/>
      <c r="BX68" s="6"/>
      <c r="BY68" s="7"/>
      <c r="BZ68" s="7"/>
      <c r="CA68" s="7"/>
      <c r="CB68" s="7"/>
      <c r="CC68" s="7"/>
      <c r="CD68" s="7"/>
      <c r="CE68" s="7"/>
      <c r="CF68" s="7"/>
      <c r="CG68" s="7"/>
      <c r="CH68" s="6"/>
      <c r="CI68" s="7"/>
      <c r="CJ68" s="7"/>
      <c r="CK68" s="7"/>
      <c r="CL68" s="7"/>
      <c r="CM68" s="7"/>
      <c r="CN68" s="7"/>
      <c r="CO68" s="7"/>
      <c r="CP68" s="7"/>
      <c r="CQ68" s="7"/>
      <c r="CR68" s="6"/>
      <c r="CS68" s="7"/>
      <c r="CT68" s="7"/>
      <c r="CU68" s="7"/>
      <c r="CV68" s="7"/>
      <c r="CW68" s="7"/>
      <c r="CX68" s="7"/>
      <c r="CY68" s="7"/>
      <c r="CZ68" s="7"/>
      <c r="DA68" s="7"/>
      <c r="DB68" s="6"/>
      <c r="DC68" s="7"/>
      <c r="DD68" s="7"/>
      <c r="DE68" s="7"/>
      <c r="DF68" s="7"/>
      <c r="DG68" s="7"/>
      <c r="DH68" s="7"/>
      <c r="DI68" s="7"/>
      <c r="DJ68" s="7"/>
      <c r="DK68" s="7"/>
      <c r="DL68" s="6"/>
      <c r="DM68" s="7"/>
      <c r="DN68" s="7"/>
      <c r="DO68" s="7"/>
      <c r="DP68" s="7"/>
      <c r="DQ68" s="7"/>
      <c r="DR68" s="7"/>
      <c r="DS68" s="7"/>
      <c r="DT68" s="7"/>
      <c r="DU68" s="7"/>
      <c r="DV68" s="6"/>
      <c r="DW68" s="7"/>
      <c r="DX68" s="7"/>
      <c r="DY68" s="7"/>
      <c r="DZ68" s="7"/>
      <c r="EA68" s="7"/>
      <c r="EB68" s="7"/>
      <c r="EC68" s="7"/>
      <c r="ED68" s="7"/>
      <c r="EE68" s="7"/>
      <c r="EF68" s="6"/>
      <c r="EG68" s="7"/>
      <c r="EH68" s="7"/>
      <c r="EI68" s="7"/>
      <c r="EJ68" s="7"/>
      <c r="EK68" s="7"/>
      <c r="EL68" s="7"/>
      <c r="EM68" s="7"/>
      <c r="EN68" s="7"/>
      <c r="EO68" s="7"/>
      <c r="EP68" s="6"/>
      <c r="EQ68" s="7"/>
      <c r="ER68" s="7"/>
      <c r="ES68" s="7"/>
      <c r="ET68" s="7"/>
      <c r="EU68" s="7"/>
      <c r="EV68" s="7"/>
      <c r="EW68" s="7"/>
      <c r="EX68" s="7"/>
      <c r="EY68" s="7"/>
      <c r="EZ68" s="6"/>
      <c r="FA68" s="7"/>
      <c r="FB68" s="7"/>
      <c r="FC68" s="7"/>
      <c r="FD68" s="7"/>
      <c r="FE68" s="7"/>
      <c r="FF68" s="7"/>
      <c r="FG68" s="7"/>
      <c r="FH68" s="7"/>
      <c r="FI68" s="7"/>
      <c r="FJ68" s="6"/>
      <c r="FK68" s="7"/>
      <c r="FL68" s="7"/>
      <c r="FM68" s="7"/>
      <c r="FN68" s="7"/>
      <c r="FO68" s="7"/>
      <c r="FP68" s="7"/>
      <c r="FQ68" s="7"/>
      <c r="FR68" s="7"/>
      <c r="FS68" s="7"/>
      <c r="FT68" s="6"/>
      <c r="FU68" s="7"/>
      <c r="FV68" s="7"/>
      <c r="FW68" s="7"/>
      <c r="FX68" s="7"/>
      <c r="FY68" s="7"/>
      <c r="FZ68" s="7"/>
      <c r="GA68" s="7"/>
      <c r="GB68" s="7"/>
      <c r="GC68" s="7"/>
      <c r="GD68" s="6"/>
      <c r="GE68" s="7"/>
      <c r="GF68" s="7"/>
      <c r="GG68" s="7"/>
      <c r="GH68" s="7"/>
      <c r="GI68" s="7"/>
      <c r="GJ68" s="7"/>
      <c r="GK68" s="7"/>
      <c r="GL68" s="7"/>
      <c r="GM68" s="7"/>
      <c r="GN68" s="6"/>
      <c r="GO68" s="7"/>
      <c r="GP68" s="7"/>
      <c r="GQ68" s="7"/>
      <c r="GR68" s="7"/>
      <c r="GS68" s="7"/>
      <c r="GT68" s="7"/>
      <c r="GU68" s="7"/>
      <c r="GV68" s="5"/>
      <c r="GW68" s="5"/>
      <c r="GX68" s="5"/>
      <c r="GY68" s="5"/>
      <c r="GZ68" s="5"/>
      <c r="HA68" s="5"/>
      <c r="HB68" s="5"/>
      <c r="HC68" s="5"/>
      <c r="HD68" s="5"/>
      <c r="HE68" s="5"/>
      <c r="HF68" s="5"/>
    </row>
    <row r="69" spans="2:214" ht="19.5" thickBot="1" x14ac:dyDescent="0.35">
      <c r="B69" s="232" t="s">
        <v>83</v>
      </c>
      <c r="C69" s="136" t="s">
        <v>9</v>
      </c>
      <c r="D69" s="143" t="e">
        <f>2.05358014445293E-07*D68^2+5.637851296925E-18*D68-3.80251385934116E-15</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214" ht="18.75" customHeight="1" x14ac:dyDescent="0.3">
      <c r="B70" s="233"/>
      <c r="C70" s="136" t="s">
        <v>10</v>
      </c>
      <c r="D70" s="143" t="e">
        <f>1.81255738541494E-07*D68^2 - 2.27682456222E-18*D68 - 1.97758476261356E-15</f>
        <v>#VALUE!</v>
      </c>
      <c r="E70" s="256" t="s">
        <v>99</v>
      </c>
      <c r="F70" s="72"/>
      <c r="G70" s="72"/>
      <c r="H70" s="72"/>
      <c r="I70" s="72"/>
      <c r="J70" s="72"/>
      <c r="K70" s="72"/>
      <c r="L70" s="81"/>
    </row>
    <row r="71" spans="2:214" ht="15.75" customHeight="1" thickBot="1" x14ac:dyDescent="0.3">
      <c r="B71" s="79"/>
      <c r="C71" s="76"/>
      <c r="D71" s="76"/>
      <c r="E71" s="76"/>
      <c r="F71" s="76"/>
      <c r="G71" s="76"/>
      <c r="H71" s="76"/>
      <c r="I71" s="76"/>
      <c r="J71" s="76"/>
      <c r="K71" s="76"/>
      <c r="L71" s="77"/>
    </row>
    <row r="72" spans="2:214" ht="22.5" customHeight="1"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c r="CL72" s="83"/>
      <c r="CM72" s="83"/>
      <c r="CN72" s="83"/>
      <c r="CO72" s="83"/>
      <c r="CP72" s="83"/>
      <c r="CQ72" s="83"/>
      <c r="CR72" s="83"/>
      <c r="CS72" s="83"/>
    </row>
    <row r="73" spans="2:214" ht="1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c r="CL73" s="83"/>
      <c r="CM73" s="83"/>
      <c r="CN73" s="83"/>
      <c r="CO73" s="83"/>
      <c r="CP73" s="83"/>
      <c r="CQ73" s="83"/>
      <c r="CR73" s="83"/>
      <c r="CS73" s="83"/>
    </row>
    <row r="74" spans="2:214" ht="15.75" thickBot="1" x14ac:dyDescent="0.3">
      <c r="N74" s="477"/>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c r="CL74" s="83"/>
      <c r="CM74" s="83"/>
      <c r="CN74" s="83"/>
      <c r="CO74" s="83"/>
      <c r="CP74" s="83"/>
      <c r="CQ74" s="83"/>
      <c r="CR74" s="83"/>
      <c r="CS74" s="83"/>
    </row>
    <row r="75" spans="2:214" ht="15.75" thickBot="1" x14ac:dyDescent="0.3">
      <c r="N75" s="476"/>
      <c r="O75" s="47" t="s">
        <v>185</v>
      </c>
      <c r="P75" s="64">
        <v>1.9E-2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c r="CL75" s="83"/>
      <c r="CM75" s="83"/>
      <c r="CN75" s="83"/>
      <c r="CO75" s="83"/>
      <c r="CP75" s="83"/>
      <c r="CQ75" s="83"/>
      <c r="CR75" s="83"/>
      <c r="CS75" s="83"/>
    </row>
    <row r="76" spans="2:214" ht="16.5" thickBot="1" x14ac:dyDescent="0.3">
      <c r="N76" s="477"/>
      <c r="O76" s="47" t="s">
        <v>195</v>
      </c>
      <c r="P76" s="64"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c r="AL76" s="313"/>
      <c r="AM76" s="313"/>
      <c r="AN76" s="485"/>
      <c r="AO76" s="313"/>
      <c r="CL76" s="83"/>
      <c r="CM76" s="83"/>
      <c r="CN76" s="83"/>
      <c r="CO76" s="83"/>
      <c r="CP76" s="83"/>
      <c r="CQ76" s="83"/>
      <c r="CR76" s="83"/>
      <c r="CS76" s="83"/>
    </row>
    <row r="77" spans="2:214" ht="16.5" thickBot="1" x14ac:dyDescent="0.3">
      <c r="N77" s="48"/>
      <c r="O77" s="47"/>
      <c r="P77" s="47"/>
      <c r="Q77" s="47"/>
      <c r="R77" s="47"/>
      <c r="S77" s="47"/>
      <c r="T77" s="47"/>
      <c r="U77" s="47"/>
      <c r="V77" s="47"/>
      <c r="W77" s="278"/>
      <c r="Y77" s="48"/>
      <c r="Z77" s="47"/>
      <c r="AA77" s="47"/>
      <c r="AB77" s="47"/>
      <c r="AC77" s="47"/>
      <c r="AD77" s="47"/>
      <c r="AE77" s="47"/>
      <c r="AF77" s="47"/>
      <c r="AG77" s="47"/>
      <c r="AH77" s="47"/>
      <c r="AI77" s="47"/>
      <c r="AJ77" s="278"/>
      <c r="AK77" s="83"/>
      <c r="AL77" s="313"/>
      <c r="AM77" s="485"/>
      <c r="AN77" s="485"/>
      <c r="AO77" s="485"/>
      <c r="CL77" s="83"/>
      <c r="CM77" s="83"/>
      <c r="CN77" s="83"/>
      <c r="CO77" s="83"/>
      <c r="CP77" s="83"/>
      <c r="CQ77" s="83"/>
      <c r="CR77" s="83"/>
      <c r="CS77" s="83"/>
    </row>
    <row r="78" spans="2:214" ht="16.5" thickBot="1" x14ac:dyDescent="0.3">
      <c r="N78" s="48"/>
      <c r="O78" s="492" t="s">
        <v>183</v>
      </c>
      <c r="P78" s="153" t="e">
        <f>P75*P76</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c r="AL78" s="486"/>
      <c r="AM78" s="485"/>
      <c r="AN78" s="487"/>
      <c r="AO78" s="485"/>
      <c r="CL78" s="83"/>
      <c r="CM78" s="83"/>
      <c r="CN78" s="83"/>
      <c r="CO78" s="83"/>
      <c r="CP78" s="83"/>
      <c r="CQ78" s="83"/>
      <c r="CR78" s="83"/>
      <c r="CS78" s="83"/>
    </row>
    <row r="79" spans="2:214" ht="15.75"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c r="AL79" s="313"/>
      <c r="AM79" s="485"/>
      <c r="AN79" s="485"/>
      <c r="AO79" s="485"/>
      <c r="CL79" s="83"/>
      <c r="CM79" s="83"/>
      <c r="CN79" s="83"/>
      <c r="CO79" s="83"/>
      <c r="CP79" s="83"/>
      <c r="CQ79" s="83"/>
      <c r="CR79" s="83"/>
      <c r="CS79" s="83"/>
    </row>
    <row r="80" spans="2:214" x14ac:dyDescent="0.25">
      <c r="N80" s="48"/>
      <c r="O80" s="480"/>
      <c r="P80" s="47"/>
      <c r="Q80" s="47"/>
      <c r="R80" s="47"/>
      <c r="S80" s="47"/>
      <c r="T80" s="47"/>
      <c r="U80" s="47"/>
      <c r="V80" s="47"/>
      <c r="W80" s="278"/>
      <c r="Y80" s="48"/>
      <c r="Z80" s="47"/>
      <c r="AA80" s="47"/>
      <c r="AB80" s="47"/>
      <c r="AC80" s="47"/>
      <c r="AD80" s="47"/>
      <c r="AE80" s="47"/>
      <c r="AF80" s="47"/>
      <c r="AG80" s="47"/>
      <c r="AH80" s="47"/>
      <c r="AI80" s="47"/>
      <c r="AJ80" s="278"/>
      <c r="CL80" s="83"/>
      <c r="CM80" s="83"/>
      <c r="CN80" s="83"/>
      <c r="CO80" s="83"/>
      <c r="CP80" s="83"/>
      <c r="CQ80" s="83"/>
      <c r="CR80" s="83"/>
      <c r="CS80" s="83"/>
    </row>
    <row r="81" spans="14:98"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c r="CL81" s="83"/>
      <c r="CM81" s="83"/>
      <c r="CN81" s="83"/>
      <c r="CO81" s="83"/>
      <c r="CP81" s="83"/>
      <c r="CQ81" s="83"/>
      <c r="CR81" s="83"/>
      <c r="CS81" s="83"/>
    </row>
    <row r="82" spans="14:98" ht="15.75" thickBot="1" x14ac:dyDescent="0.3">
      <c r="N82" s="48"/>
      <c r="O82" s="47" t="s">
        <v>185</v>
      </c>
      <c r="P82" s="64">
        <v>8.9999999999999998E-4</v>
      </c>
      <c r="Q82" s="47" t="s">
        <v>190</v>
      </c>
      <c r="R82" s="64"/>
      <c r="S82" s="47"/>
      <c r="T82" s="47"/>
      <c r="U82" s="47"/>
      <c r="V82" s="47"/>
      <c r="W82" s="278"/>
      <c r="Y82" s="48"/>
      <c r="Z82" s="47"/>
      <c r="AA82" s="47"/>
      <c r="AB82" s="47"/>
      <c r="AC82" s="47"/>
      <c r="AD82" s="47"/>
      <c r="AE82" s="47"/>
      <c r="AF82" s="47"/>
      <c r="AG82" s="47"/>
      <c r="AH82" s="47"/>
      <c r="AI82" s="47"/>
      <c r="AJ82" s="278"/>
      <c r="CL82" s="83"/>
      <c r="CM82" s="83"/>
      <c r="CN82" s="83"/>
      <c r="CO82" s="83"/>
      <c r="CP82" s="83"/>
      <c r="CQ82" s="83"/>
      <c r="CR82" s="83"/>
      <c r="CS82" s="83"/>
    </row>
    <row r="83" spans="14:98" ht="15.75" thickBot="1" x14ac:dyDescent="0.3">
      <c r="N83" s="48"/>
      <c r="O83" s="47" t="s">
        <v>197</v>
      </c>
      <c r="P83" s="64" t="e">
        <f>(D3*D4)</f>
        <v>#VALUE!</v>
      </c>
      <c r="Q83" s="47" t="s">
        <v>198</v>
      </c>
      <c r="R83" s="64"/>
      <c r="S83" s="47"/>
      <c r="T83" s="47"/>
      <c r="U83" s="47"/>
      <c r="V83" s="47"/>
      <c r="W83" s="278"/>
      <c r="Y83" s="48"/>
      <c r="Z83" s="47"/>
      <c r="AA83" s="47"/>
      <c r="AB83" s="47"/>
      <c r="AC83" s="47"/>
      <c r="AD83" s="47"/>
      <c r="AE83" s="47"/>
      <c r="AF83" s="47"/>
      <c r="AG83" s="47"/>
      <c r="AH83" s="47"/>
      <c r="AI83" s="47"/>
      <c r="AJ83" s="278"/>
      <c r="CL83" s="83"/>
      <c r="CM83" s="83"/>
      <c r="CN83" s="83"/>
      <c r="CO83" s="83"/>
      <c r="CP83" s="83"/>
      <c r="CQ83" s="83"/>
      <c r="CR83" s="83"/>
      <c r="CS83" s="83"/>
      <c r="CT83" s="83"/>
    </row>
    <row r="84" spans="14:98"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c r="BZ84" s="83"/>
      <c r="CA84" s="83"/>
      <c r="CJ84" s="83"/>
      <c r="CK84" s="83"/>
      <c r="CL84" s="83"/>
      <c r="CM84" s="83"/>
      <c r="CN84" s="83"/>
      <c r="CO84" s="83"/>
      <c r="CP84" s="83"/>
      <c r="CQ84" s="83"/>
      <c r="CR84" s="83"/>
      <c r="CS84" s="83"/>
      <c r="CT84" s="83"/>
    </row>
    <row r="85" spans="14:98" ht="16.5" thickBot="1" x14ac:dyDescent="0.3">
      <c r="N85" s="48"/>
      <c r="O85" s="493" t="s">
        <v>192</v>
      </c>
      <c r="P85" s="153" t="e">
        <f>P82*P83</f>
        <v>#VALUE!</v>
      </c>
      <c r="Q85" s="47" t="s">
        <v>184</v>
      </c>
      <c r="S85" s="47"/>
      <c r="T85" s="47"/>
      <c r="U85" s="47"/>
      <c r="V85" s="47"/>
      <c r="W85" s="278"/>
      <c r="Y85" s="48"/>
      <c r="Z85" s="47"/>
      <c r="AA85" s="47"/>
      <c r="AB85" s="47"/>
      <c r="AC85" s="47"/>
      <c r="AD85" s="47"/>
      <c r="AE85" s="47"/>
      <c r="AF85" s="47"/>
      <c r="AG85" s="47"/>
      <c r="AH85" s="47"/>
      <c r="AI85" s="47"/>
      <c r="AJ85" s="278"/>
      <c r="AM85" s="488"/>
      <c r="AN85" s="488"/>
      <c r="BG85" s="83"/>
      <c r="BZ85" s="83"/>
      <c r="CA85" s="83"/>
      <c r="CJ85" s="83"/>
      <c r="CK85" s="83"/>
      <c r="CL85" s="83"/>
      <c r="CM85" s="83"/>
      <c r="CN85" s="83"/>
      <c r="CO85" s="83"/>
      <c r="CP85" s="83"/>
      <c r="CQ85" s="83"/>
      <c r="CR85" s="83"/>
      <c r="CS85" s="83"/>
      <c r="CT85" s="83"/>
    </row>
    <row r="86" spans="14:98" ht="15.75"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488"/>
      <c r="AN86" s="488"/>
      <c r="BG86" s="83"/>
      <c r="BZ86" s="83"/>
      <c r="CA86" s="83"/>
      <c r="CJ86" s="83"/>
      <c r="CK86" s="83"/>
      <c r="CL86" s="83"/>
      <c r="CM86" s="83"/>
      <c r="CN86" s="83"/>
      <c r="CO86" s="83"/>
      <c r="CP86" s="83"/>
      <c r="CQ86" s="83"/>
      <c r="CR86" s="83"/>
      <c r="CS86" s="83"/>
      <c r="CT86" s="83"/>
    </row>
    <row r="87" spans="14:98" x14ac:dyDescent="0.25">
      <c r="N87" s="48"/>
      <c r="O87" s="480"/>
      <c r="P87" s="479"/>
      <c r="Q87" s="47"/>
      <c r="R87" s="47"/>
      <c r="S87" s="47"/>
      <c r="T87" s="47"/>
      <c r="U87" s="47"/>
      <c r="V87" s="47"/>
      <c r="W87" s="278"/>
      <c r="Y87" s="48"/>
      <c r="Z87" s="47"/>
      <c r="AA87" s="47"/>
      <c r="AB87" s="47"/>
      <c r="AC87" s="47"/>
      <c r="AD87" s="47"/>
      <c r="AE87" s="47"/>
      <c r="AF87" s="47"/>
      <c r="AG87" s="47"/>
      <c r="AH87" s="47"/>
      <c r="AI87" s="47"/>
      <c r="AJ87" s="278"/>
      <c r="BG87" s="83"/>
      <c r="BZ87" s="83"/>
      <c r="CA87" s="83"/>
      <c r="CJ87" s="83"/>
      <c r="CK87" s="83"/>
      <c r="CL87" s="83"/>
      <c r="CM87" s="83"/>
      <c r="CN87" s="83"/>
      <c r="CO87" s="83"/>
      <c r="CP87" s="83"/>
      <c r="CQ87" s="83"/>
      <c r="CR87" s="83"/>
      <c r="CS87" s="83"/>
      <c r="CT87" s="83"/>
    </row>
    <row r="88" spans="14:98"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c r="AQ88" s="83"/>
      <c r="BG88" s="83"/>
      <c r="BZ88" s="83"/>
      <c r="CA88" s="83"/>
      <c r="CJ88" s="83"/>
      <c r="CK88" s="83"/>
      <c r="CL88" s="83"/>
      <c r="CM88" s="83"/>
      <c r="CN88" s="83"/>
      <c r="CO88" s="83"/>
      <c r="CP88" s="83"/>
      <c r="CQ88" s="83"/>
      <c r="CR88" s="83"/>
      <c r="CS88" s="83"/>
      <c r="CT88" s="83"/>
    </row>
    <row r="89" spans="14:98" x14ac:dyDescent="0.25">
      <c r="O89" s="481"/>
      <c r="P89" s="482"/>
      <c r="AC89" s="175"/>
      <c r="AD89" s="175"/>
      <c r="AE89" s="175"/>
      <c r="AF89" s="175"/>
      <c r="AG89" s="175"/>
      <c r="AH89" s="175"/>
      <c r="AI89" s="175"/>
      <c r="AJ89" s="175"/>
      <c r="AK89" s="175"/>
      <c r="AQ89" s="83"/>
      <c r="BG89" s="83"/>
      <c r="BZ89" s="83"/>
      <c r="CA89" s="83"/>
      <c r="CJ89" s="83"/>
      <c r="CK89" s="83"/>
      <c r="CL89" s="83"/>
      <c r="CM89" s="83"/>
      <c r="CN89" s="83"/>
      <c r="CO89" s="83"/>
      <c r="CP89" s="83"/>
      <c r="CQ89" s="83"/>
      <c r="CR89" s="83"/>
      <c r="CS89" s="83"/>
      <c r="CT89" s="83"/>
    </row>
    <row r="90" spans="14:98" x14ac:dyDescent="0.25">
      <c r="O90" s="481"/>
      <c r="P90" s="482"/>
      <c r="AC90" s="175"/>
      <c r="AD90" s="175"/>
      <c r="AE90" s="175"/>
      <c r="AF90" s="175"/>
      <c r="AG90" s="175"/>
      <c r="AH90" s="175"/>
      <c r="AI90" s="175"/>
      <c r="AJ90" s="175"/>
      <c r="AK90" s="175"/>
      <c r="AQ90" s="83"/>
      <c r="BG90" s="83"/>
      <c r="BZ90" s="83"/>
      <c r="CA90" s="83"/>
      <c r="CJ90" s="83"/>
      <c r="CK90" s="83"/>
      <c r="CL90" s="83"/>
      <c r="CM90" s="83"/>
      <c r="CN90" s="83"/>
      <c r="CO90" s="83"/>
      <c r="CP90" s="83"/>
      <c r="CQ90" s="83"/>
      <c r="CR90" s="83"/>
      <c r="CS90" s="83"/>
      <c r="CT90" s="83"/>
    </row>
    <row r="91" spans="14:98" x14ac:dyDescent="0.25">
      <c r="O91" s="481"/>
      <c r="P91" s="482"/>
      <c r="AC91" s="175"/>
      <c r="AD91" s="175"/>
      <c r="AE91" s="175"/>
      <c r="AF91" s="175"/>
      <c r="AG91" s="175"/>
      <c r="AH91" s="175"/>
      <c r="AI91" s="175"/>
      <c r="AJ91" s="175"/>
      <c r="AK91" s="175"/>
      <c r="AQ91" s="83"/>
      <c r="BG91" s="83"/>
    </row>
    <row r="92" spans="14:98" x14ac:dyDescent="0.25">
      <c r="O92" s="481"/>
      <c r="P92" s="482"/>
      <c r="AC92" s="175"/>
      <c r="AD92" s="175"/>
      <c r="AE92" s="175"/>
      <c r="AF92" s="175"/>
      <c r="AG92" s="175"/>
      <c r="AH92" s="175"/>
      <c r="AI92" s="175"/>
      <c r="AJ92" s="175"/>
      <c r="AK92" s="175"/>
      <c r="AQ92" s="83"/>
    </row>
    <row r="93" spans="14:98" x14ac:dyDescent="0.25">
      <c r="O93" s="481"/>
      <c r="P93" s="482"/>
      <c r="AC93" s="175"/>
      <c r="AD93" s="175"/>
      <c r="AE93" s="175"/>
      <c r="AF93" s="175"/>
      <c r="AG93" s="175"/>
      <c r="AH93" s="175"/>
      <c r="AI93" s="175"/>
      <c r="AJ93" s="175"/>
      <c r="AK93" s="175"/>
      <c r="AQ93" s="83"/>
    </row>
    <row r="94" spans="14:98" x14ac:dyDescent="0.25">
      <c r="O94" s="481"/>
      <c r="P94" s="482"/>
      <c r="AC94" s="175"/>
      <c r="AD94" s="175"/>
      <c r="AE94" s="175"/>
      <c r="AF94" s="175"/>
      <c r="AG94" s="175"/>
      <c r="AH94" s="175"/>
      <c r="AI94" s="175"/>
      <c r="AJ94" s="175"/>
      <c r="AK94" s="175"/>
      <c r="AQ94" s="83"/>
    </row>
    <row r="95" spans="14:98" x14ac:dyDescent="0.25">
      <c r="P95" s="482"/>
    </row>
    <row r="97" spans="14:41" ht="25.5" customHeight="1" x14ac:dyDescent="0.25"/>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3" x14ac:dyDescent="0.25">
      <c r="C146" s="179"/>
    </row>
    <row r="147" spans="3:3" x14ac:dyDescent="0.25">
      <c r="C147" s="179"/>
    </row>
    <row r="278" spans="24:25" x14ac:dyDescent="0.25">
      <c r="X278" s="146"/>
      <c r="Y278" s="145"/>
    </row>
  </sheetData>
  <sheetProtection selectLockedCells="1" selectUnlockedCells="1"/>
  <mergeCells count="6">
    <mergeCell ref="N45:N46"/>
    <mergeCell ref="D16:W16"/>
    <mergeCell ref="AT16:IX16"/>
    <mergeCell ref="AU18:AV20"/>
    <mergeCell ref="BH18:IG19"/>
    <mergeCell ref="IQ19:IW19"/>
  </mergeCells>
  <conditionalFormatting sqref="Q47:AJ66">
    <cfRule type="colorScale" priority="4">
      <colorScale>
        <cfvo type="min"/>
        <cfvo type="percentile" val="50"/>
        <cfvo type="max"/>
        <color rgb="FF63BE7B"/>
        <color rgb="FFFFEB84"/>
        <color rgb="FFF8696B"/>
      </colorScale>
    </cfRule>
  </conditionalFormatting>
  <conditionalFormatting sqref="Q89:AJ94 X75:X88">
    <cfRule type="colorScale" priority="3">
      <colorScale>
        <cfvo type="min"/>
        <cfvo type="percentile" val="50"/>
        <cfvo type="max"/>
        <color rgb="FF63BE7B"/>
        <color rgb="FFFFEB84"/>
        <color rgb="FFF8696B"/>
      </colorScale>
    </cfRule>
  </conditionalFormatting>
  <conditionalFormatting sqref="Q103:AJ122">
    <cfRule type="colorScale" priority="2">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X278"/>
  <sheetViews>
    <sheetView zoomScale="70" zoomScaleNormal="70" workbookViewId="0">
      <selection activeCell="D28" sqref="D28"/>
    </sheetView>
  </sheetViews>
  <sheetFormatPr defaultRowHeight="15" x14ac:dyDescent="0.25"/>
  <cols>
    <col min="1" max="1" width="12.85546875" customWidth="1"/>
    <col min="2" max="2" width="21" customWidth="1"/>
    <col min="3" max="3" width="19.7109375" customWidth="1"/>
    <col min="4" max="4" width="14.5703125" customWidth="1"/>
    <col min="5" max="5" width="19.42578125" customWidth="1"/>
    <col min="6" max="13" width="15" customWidth="1"/>
    <col min="14" max="14" width="22.7109375" customWidth="1"/>
    <col min="15" max="15" width="18.85546875" customWidth="1"/>
    <col min="16" max="16" width="11.85546875" customWidth="1"/>
    <col min="17" max="17" width="9.85546875" customWidth="1"/>
    <col min="18" max="18" width="10" customWidth="1"/>
    <col min="19" max="19" width="13.42578125" customWidth="1"/>
    <col min="20" max="20" width="10.28515625" customWidth="1"/>
    <col min="21" max="21" width="15.140625" customWidth="1"/>
    <col min="22" max="22" width="12" customWidth="1"/>
    <col min="23" max="23" width="12.42578125" customWidth="1"/>
    <col min="24" max="24" width="17.28515625" customWidth="1"/>
    <col min="25" max="25" width="16.42578125" customWidth="1"/>
    <col min="26" max="26" width="11.7109375" customWidth="1"/>
    <col min="28" max="31" width="9.140625" customWidth="1"/>
    <col min="32" max="32" width="8.7109375" customWidth="1"/>
    <col min="33" max="35" width="9.140625" customWidth="1"/>
    <col min="38" max="38" width="9.140625" customWidth="1"/>
    <col min="39" max="39" width="14.85546875" customWidth="1"/>
    <col min="40"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7" width="0" hidden="1" customWidth="1"/>
    <col min="108" max="109" width="9.140625" hidden="1" customWidth="1"/>
    <col min="110" max="111" width="9.140625" customWidth="1"/>
    <col min="112" max="115" width="9.140625" hidden="1" customWidth="1"/>
    <col min="116" max="116" width="0" hidden="1" customWidth="1"/>
    <col min="117" max="117" width="12.140625"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59" width="9.140625" hidden="1" customWidth="1"/>
    <col min="160" max="161" width="9.140625" customWidth="1"/>
    <col min="162" max="169" width="9.140625" hidden="1" customWidth="1"/>
    <col min="170" max="171" width="9.140625" customWidth="1"/>
    <col min="172" max="175" width="9.140625" hidden="1" customWidth="1"/>
    <col min="176" max="177" width="0" hidden="1" customWidth="1"/>
    <col min="178" max="179" width="9.140625" hidden="1" customWidth="1"/>
    <col min="180" max="181" width="9.140625" customWidth="1"/>
    <col min="182" max="185" width="9.140625" hidden="1" customWidth="1"/>
    <col min="186" max="187" width="0" hidden="1" customWidth="1"/>
    <col min="188" max="189" width="9.140625" hidden="1" customWidth="1"/>
    <col min="190" max="191" width="9.140625" customWidth="1"/>
    <col min="192" max="195" width="9.140625" hidden="1" customWidth="1"/>
    <col min="196" max="197" width="0" hidden="1" customWidth="1"/>
    <col min="198"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9.5703125" customWidth="1"/>
    <col min="211" max="211" width="7.5703125" customWidth="1"/>
    <col min="212" max="212" width="22.5703125" hidden="1" customWidth="1"/>
    <col min="213" max="213" width="28" hidden="1" customWidth="1"/>
    <col min="214" max="216" width="9.140625" hidden="1" customWidth="1"/>
    <col min="217" max="217" width="20.28515625" hidden="1" customWidth="1"/>
    <col min="218" max="218" width="36" hidden="1" customWidth="1"/>
    <col min="219" max="219" width="35.42578125" hidden="1" customWidth="1"/>
    <col min="220" max="220" width="7" customWidth="1"/>
    <col min="221" max="221" width="10.42578125" customWidth="1"/>
    <col min="222" max="224" width="0" hidden="1" customWidth="1"/>
    <col min="225" max="225" width="18.28515625" hidden="1" customWidth="1"/>
    <col min="226" max="229" width="0" hidden="1" customWidth="1"/>
    <col min="232" max="239" width="0" hidden="1" customWidth="1"/>
    <col min="242" max="249" width="0" hidden="1" customWidth="1"/>
  </cols>
  <sheetData>
    <row r="1" spans="2:258" ht="21.75" thickBot="1" x14ac:dyDescent="0.4">
      <c r="B1" s="315" t="s">
        <v>39</v>
      </c>
      <c r="C1" s="381" t="s">
        <v>53</v>
      </c>
      <c r="D1" s="387"/>
      <c r="E1" s="387"/>
      <c r="F1" s="388"/>
    </row>
    <row r="2" spans="2:258" ht="21" x14ac:dyDescent="0.35">
      <c r="B2" s="382" t="s">
        <v>40</v>
      </c>
      <c r="C2" s="314"/>
      <c r="D2" s="314" t="s">
        <v>73</v>
      </c>
      <c r="E2" s="314"/>
      <c r="F2" s="331"/>
      <c r="H2" s="403" t="s">
        <v>277</v>
      </c>
      <c r="I2" s="387"/>
      <c r="J2" s="388"/>
      <c r="N2" s="315" t="s">
        <v>64</v>
      </c>
      <c r="O2" s="316"/>
      <c r="P2" s="316"/>
      <c r="Q2" s="316"/>
      <c r="R2" s="316"/>
      <c r="S2" s="316"/>
      <c r="T2" s="316"/>
      <c r="U2" s="316"/>
      <c r="V2" s="316"/>
      <c r="W2" s="324"/>
    </row>
    <row r="3" spans="2:258" ht="18.75" x14ac:dyDescent="0.3">
      <c r="B3" s="382" t="s">
        <v>41</v>
      </c>
      <c r="C3" s="314" t="str">
        <f>IF('DATA ENTRY'!B9="mm",'DATA ENTRY'!B10/25.4,'DATA ENTRY'!B10)</f>
        <v>ENTER WIDTH</v>
      </c>
      <c r="D3" s="287" t="e">
        <f>IF('DATA ENTRY'!B12="ACTUAL",'JE443'!C3,'JE443'!C3-0.5)</f>
        <v>#VALUE!</v>
      </c>
      <c r="E3" s="314"/>
      <c r="F3" s="331"/>
      <c r="H3" s="330" t="s">
        <v>278</v>
      </c>
      <c r="J3" s="331" t="e">
        <f>D3*D4/144</f>
        <v>#VALUE!</v>
      </c>
      <c r="N3" s="48"/>
      <c r="O3" s="47"/>
      <c r="P3" s="47"/>
      <c r="Q3" s="47"/>
      <c r="R3" s="47"/>
      <c r="S3" s="47"/>
      <c r="T3" s="47"/>
      <c r="U3" s="47"/>
      <c r="V3" s="47"/>
      <c r="W3" s="278"/>
    </row>
    <row r="4" spans="2:258" ht="18.75" x14ac:dyDescent="0.3">
      <c r="B4" s="382" t="s">
        <v>42</v>
      </c>
      <c r="C4" s="314" t="str">
        <f>IF('DATA ENTRY'!B9="mm",'DATA ENTRY'!B11/25.4,'DATA ENTRY'!B11)</f>
        <v>ENTER HEIGHT</v>
      </c>
      <c r="D4" s="287" t="e">
        <f>IF('DATA ENTRY'!B12="ACTUAL",'JE443'!C4,'JE443'!C4-0.5)</f>
        <v>#VALUE!</v>
      </c>
      <c r="E4" s="314"/>
      <c r="F4" s="331"/>
      <c r="H4" s="330" t="s">
        <v>279</v>
      </c>
      <c r="I4" s="314"/>
      <c r="J4" s="331" t="e">
        <f>C5/J3</f>
        <v>#VALUE!</v>
      </c>
      <c r="N4" s="330"/>
      <c r="O4" s="314" t="str">
        <f>C1&amp;"_MODEL"</f>
        <v>JE443_MODEL</v>
      </c>
      <c r="P4" s="314" t="s">
        <v>133</v>
      </c>
      <c r="Q4" s="314"/>
      <c r="R4" s="314"/>
      <c r="S4" s="314"/>
      <c r="T4" s="314"/>
      <c r="U4" s="314"/>
      <c r="V4" s="314" t="s">
        <v>116</v>
      </c>
      <c r="W4" s="331"/>
    </row>
    <row r="5" spans="2:258" ht="18.75" x14ac:dyDescent="0.3">
      <c r="B5" s="382" t="s">
        <v>43</v>
      </c>
      <c r="C5" s="509" t="str">
        <f>IF('DATA ENTRY'!B9="mm",'DATA ENTRY'!B13*2.1188799727597,'DATA ENTRY'!B13)</f>
        <v>ENTER AIR VOLUME</v>
      </c>
      <c r="D5" s="314"/>
      <c r="E5" s="314"/>
      <c r="F5" s="331"/>
      <c r="H5" s="330"/>
      <c r="I5" s="314"/>
      <c r="J5" s="331"/>
      <c r="N5" s="330" t="s">
        <v>93</v>
      </c>
      <c r="O5" s="314" t="str">
        <f>C1&amp;"_FA"</f>
        <v>JE443_FA</v>
      </c>
      <c r="P5" s="332" t="e">
        <f>D64</f>
        <v>#VALUE!</v>
      </c>
      <c r="Q5" s="314" t="s">
        <v>45</v>
      </c>
      <c r="R5" s="314"/>
      <c r="S5" s="314"/>
      <c r="T5" s="314"/>
      <c r="U5" s="314"/>
      <c r="V5" s="314" t="str">
        <f>C1&amp;"_W"</f>
        <v>JE443_W</v>
      </c>
      <c r="W5" s="335" t="e">
        <f>D3</f>
        <v>#VALUE!</v>
      </c>
    </row>
    <row r="6" spans="2:258" ht="18.75" x14ac:dyDescent="0.3">
      <c r="B6" s="382" t="s">
        <v>44</v>
      </c>
      <c r="C6" s="383" t="str">
        <f>'DATA ENTRY'!B14</f>
        <v>SELECT AIR DIRECTION</v>
      </c>
      <c r="D6" s="314"/>
      <c r="E6" s="314"/>
      <c r="F6" s="331"/>
      <c r="H6" s="330"/>
      <c r="I6" s="314"/>
      <c r="J6" s="331"/>
      <c r="N6" s="330" t="s">
        <v>70</v>
      </c>
      <c r="O6" s="314" t="str">
        <f>C1&amp;"_FA%"</f>
        <v>JE443_FA%</v>
      </c>
      <c r="P6" s="333" t="e">
        <f>D66</f>
        <v>#VALUE!</v>
      </c>
      <c r="Q6" s="314" t="s">
        <v>16</v>
      </c>
      <c r="R6" s="314"/>
      <c r="S6" s="314"/>
      <c r="T6" s="314"/>
      <c r="U6" s="314"/>
      <c r="V6" s="314" t="str">
        <f>C1&amp;"_H"</f>
        <v>JE443_H</v>
      </c>
      <c r="W6" s="335" t="e">
        <f>D4</f>
        <v>#VALUE!</v>
      </c>
    </row>
    <row r="7" spans="2:258" ht="19.5" thickBot="1" x14ac:dyDescent="0.35">
      <c r="B7" s="330"/>
      <c r="C7" s="314"/>
      <c r="D7" s="314"/>
      <c r="E7" s="314"/>
      <c r="F7" s="331"/>
      <c r="H7" s="543"/>
      <c r="I7" s="544"/>
      <c r="J7" s="545"/>
      <c r="N7" s="330" t="s">
        <v>96</v>
      </c>
      <c r="O7" s="314" t="str">
        <f>C1&amp;"_VEL"</f>
        <v>JE443_VEL</v>
      </c>
      <c r="P7" s="333" t="e">
        <f>D68</f>
        <v>#VALUE!</v>
      </c>
      <c r="Q7" s="314" t="s">
        <v>0</v>
      </c>
      <c r="R7" s="314"/>
      <c r="S7" s="314"/>
      <c r="T7" s="314"/>
      <c r="U7" s="314"/>
      <c r="V7" s="314" t="str">
        <f>C1&amp;"_SW"</f>
        <v>JE443_SW</v>
      </c>
      <c r="W7" s="335" t="e">
        <f>C8</f>
        <v>#VALUE!</v>
      </c>
    </row>
    <row r="8" spans="2:258" ht="18.75" x14ac:dyDescent="0.3">
      <c r="B8" s="382" t="s">
        <v>74</v>
      </c>
      <c r="C8" s="314" t="e">
        <f>CEILING(D3/120,1)</f>
        <v>#VALUE!</v>
      </c>
      <c r="D8" s="314"/>
      <c r="E8" s="314" t="s">
        <v>75</v>
      </c>
      <c r="F8" s="331" t="e">
        <f>CEILING(IF(C9&lt;=72,D4/120,D4/72),1)</f>
        <v>#VALUE!</v>
      </c>
      <c r="N8" s="330" t="s">
        <v>94</v>
      </c>
      <c r="O8" s="314" t="str">
        <f>C1&amp;"_Intake"</f>
        <v>JE443_Intake</v>
      </c>
      <c r="P8" s="334" t="e">
        <f>D69</f>
        <v>#VALUE!</v>
      </c>
      <c r="Q8" s="314" t="s">
        <v>99</v>
      </c>
      <c r="R8" s="314"/>
      <c r="S8" s="314"/>
      <c r="T8" s="314"/>
      <c r="U8" s="314"/>
      <c r="V8" s="314" t="str">
        <f>C1&amp;"_SH"</f>
        <v>JE443_SH</v>
      </c>
      <c r="W8" s="335" t="e">
        <f>F8</f>
        <v>#VALUE!</v>
      </c>
    </row>
    <row r="9" spans="2:258" ht="18.75" x14ac:dyDescent="0.3">
      <c r="B9" s="382" t="s">
        <v>72</v>
      </c>
      <c r="C9" s="314" t="e">
        <f>D3/C8</f>
        <v>#VALUE!</v>
      </c>
      <c r="D9" s="314"/>
      <c r="E9" s="314" t="s">
        <v>63</v>
      </c>
      <c r="F9" s="390" t="e">
        <f>D4/F8</f>
        <v>#VALUE!</v>
      </c>
      <c r="N9" s="330" t="s">
        <v>95</v>
      </c>
      <c r="O9" s="314" t="str">
        <f>C1&amp;"_Exhaust"</f>
        <v>JE443_Exhaust</v>
      </c>
      <c r="P9" s="334" t="e">
        <f>D70</f>
        <v>#VALUE!</v>
      </c>
      <c r="Q9" s="314" t="s">
        <v>99</v>
      </c>
      <c r="R9" s="314"/>
      <c r="S9" s="314"/>
      <c r="T9" s="314"/>
      <c r="U9" s="314"/>
      <c r="V9" s="314"/>
      <c r="W9" s="331"/>
    </row>
    <row r="10" spans="2:258" ht="18.75" x14ac:dyDescent="0.3">
      <c r="B10" s="330"/>
      <c r="C10" s="314"/>
      <c r="D10" s="314"/>
      <c r="E10" s="314"/>
      <c r="F10" s="331"/>
      <c r="N10" s="330" t="s">
        <v>100</v>
      </c>
      <c r="O10" s="314" t="str">
        <f>C1&amp;"_SEC"</f>
        <v>JE443_SEC</v>
      </c>
      <c r="P10" s="314" t="e">
        <f>C11</f>
        <v>#VALUE!</v>
      </c>
      <c r="Q10" s="314"/>
      <c r="R10" s="314"/>
      <c r="S10" s="314"/>
      <c r="T10" s="314"/>
      <c r="U10" s="314"/>
      <c r="V10" s="314"/>
      <c r="W10" s="331"/>
    </row>
    <row r="11" spans="2:258" ht="18.75" x14ac:dyDescent="0.3">
      <c r="B11" s="382" t="s">
        <v>76</v>
      </c>
      <c r="C11" s="314" t="e">
        <f>C8*F8</f>
        <v>#VALUE!</v>
      </c>
      <c r="D11" s="314"/>
      <c r="E11" s="383" t="s">
        <v>164</v>
      </c>
      <c r="F11" s="384">
        <v>9</v>
      </c>
      <c r="N11" s="330" t="s">
        <v>97</v>
      </c>
      <c r="O11" s="314" t="str">
        <f>C1&amp;"_SECW"</f>
        <v>JE443_SECW</v>
      </c>
      <c r="P11" s="500" t="e">
        <f>AB79</f>
        <v>#VALUE!</v>
      </c>
      <c r="Q11" s="314" t="s">
        <v>86</v>
      </c>
      <c r="R11" s="314"/>
      <c r="S11" s="314"/>
      <c r="T11" s="314"/>
      <c r="U11" s="314"/>
      <c r="V11" s="314"/>
      <c r="W11" s="331"/>
    </row>
    <row r="12" spans="2:258" ht="18.75" x14ac:dyDescent="0.3">
      <c r="B12" s="48"/>
      <c r="C12" s="47"/>
      <c r="D12" s="47"/>
      <c r="E12" s="383" t="s">
        <v>165</v>
      </c>
      <c r="F12" s="384">
        <v>10.5</v>
      </c>
      <c r="N12" s="280" t="s">
        <v>98</v>
      </c>
      <c r="O12" s="282" t="str">
        <f>C1&amp;"_TW"</f>
        <v>JE443_TW</v>
      </c>
      <c r="P12" s="364" t="e">
        <f>AB78</f>
        <v>#VALUE!</v>
      </c>
      <c r="Q12" s="282" t="s">
        <v>86</v>
      </c>
      <c r="R12" s="47"/>
      <c r="S12" s="47"/>
      <c r="T12" s="47"/>
      <c r="U12" s="47"/>
      <c r="V12" s="47"/>
      <c r="W12" s="278"/>
    </row>
    <row r="13" spans="2:258" ht="18.75" x14ac:dyDescent="0.3">
      <c r="B13" s="48"/>
      <c r="C13" s="47"/>
      <c r="D13" s="47"/>
      <c r="E13" s="383"/>
      <c r="F13" s="384"/>
      <c r="N13" s="280" t="s">
        <v>280</v>
      </c>
      <c r="O13" s="282" t="str">
        <f>$C$1&amp;"_FACEAREA"</f>
        <v>JE443_FACEAREA</v>
      </c>
      <c r="P13" s="364" t="e">
        <f>J3</f>
        <v>#VALUE!</v>
      </c>
      <c r="Q13" s="282" t="s">
        <v>45</v>
      </c>
      <c r="R13" s="47"/>
      <c r="S13" s="47"/>
      <c r="T13" s="47"/>
      <c r="U13" s="47"/>
      <c r="V13" s="47"/>
      <c r="W13" s="278"/>
    </row>
    <row r="14" spans="2:258" ht="19.5" thickBot="1" x14ac:dyDescent="0.35">
      <c r="B14" s="48"/>
      <c r="C14" s="47"/>
      <c r="D14" s="47"/>
      <c r="E14" s="383"/>
      <c r="F14" s="384"/>
      <c r="N14" s="281" t="s">
        <v>277</v>
      </c>
      <c r="O14" s="395" t="str">
        <f>$C$1&amp;"_FACEVEL"</f>
        <v>JE443_FACEVEL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4"/>
      <c r="W16" s="885"/>
      <c r="X16" s="94"/>
      <c r="Y16" s="95"/>
      <c r="AT16" s="886" t="s">
        <v>53</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customHeight="1" thickBot="1" x14ac:dyDescent="0.3">
      <c r="B17" s="66"/>
      <c r="C17" s="68"/>
      <c r="D17" s="68">
        <f>F11</f>
        <v>9</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5">
        <v>1</v>
      </c>
      <c r="D18" s="344">
        <v>2</v>
      </c>
      <c r="E18" s="345">
        <v>3</v>
      </c>
      <c r="F18" s="345">
        <v>4</v>
      </c>
      <c r="G18" s="345">
        <v>5</v>
      </c>
      <c r="H18" s="345">
        <v>6</v>
      </c>
      <c r="I18" s="345">
        <v>7</v>
      </c>
      <c r="J18" s="345">
        <v>8</v>
      </c>
      <c r="K18" s="345">
        <v>9</v>
      </c>
      <c r="L18" s="345">
        <v>10</v>
      </c>
      <c r="M18" s="345">
        <v>11</v>
      </c>
      <c r="N18" s="345">
        <v>12</v>
      </c>
      <c r="O18" s="345">
        <v>13</v>
      </c>
      <c r="P18" s="345">
        <v>14</v>
      </c>
      <c r="Q18" s="345">
        <v>15</v>
      </c>
      <c r="R18" s="345">
        <v>16</v>
      </c>
      <c r="S18" s="345">
        <v>17</v>
      </c>
      <c r="T18" s="345">
        <v>18</v>
      </c>
      <c r="U18" s="345">
        <v>19</v>
      </c>
      <c r="V18" s="345">
        <v>20</v>
      </c>
      <c r="W18" s="346">
        <v>21</v>
      </c>
      <c r="X18" s="64"/>
      <c r="Y18" s="65"/>
      <c r="AT18" s="4"/>
      <c r="AU18" s="889" t="s">
        <v>17</v>
      </c>
      <c r="AV18" s="890"/>
      <c r="AW18" s="209"/>
      <c r="AX18" s="209"/>
      <c r="AY18" s="209"/>
      <c r="AZ18" s="209"/>
      <c r="BA18" s="209"/>
      <c r="BB18" s="209"/>
      <c r="BC18" s="209"/>
      <c r="BD18" s="209"/>
      <c r="BE18" s="209"/>
      <c r="BF18" s="209"/>
      <c r="BG18" s="209"/>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10.5</v>
      </c>
      <c r="C19" s="227">
        <v>2</v>
      </c>
      <c r="D19" s="99">
        <f t="shared" ref="D19:D38" si="1">AX22/((D$17*B19)/144)</f>
        <v>0.15638624338624338</v>
      </c>
      <c r="E19" s="100">
        <f t="shared" ref="E19:E38" si="2">BH22/((E$17*B19)/144)</f>
        <v>0.18126587301587299</v>
      </c>
      <c r="F19" s="100">
        <f t="shared" ref="F19:F38" si="3">BR22/((F$17*$B19)/144)</f>
        <v>0.20614550264550266</v>
      </c>
      <c r="G19" s="100">
        <f t="shared" ref="G19:G38" si="4">CB22/((G$17*$B19)/144)</f>
        <v>0.21858531746031742</v>
      </c>
      <c r="H19" s="100">
        <f t="shared" ref="H19:H38" si="5">CL22/((H$17*$B19)/144)</f>
        <v>0.22604920634920633</v>
      </c>
      <c r="I19" s="100">
        <f t="shared" ref="I19:I38" si="6">CV22/((I$17*$B19)/144)</f>
        <v>0.2310251322751323</v>
      </c>
      <c r="J19" s="100">
        <f t="shared" ref="J19:J38" si="7">DF22/((J$17*$B19)/144)</f>
        <v>0.23457936507936508</v>
      </c>
      <c r="K19" s="100">
        <f t="shared" ref="K19:K38" si="8">DP22/((K$17*$B19)/144)</f>
        <v>0.23724503968253965</v>
      </c>
      <c r="L19" s="100">
        <f t="shared" ref="L19:L38" si="9">DZ22/((L$17*$B19)/144)</f>
        <v>0.23457936507936508</v>
      </c>
      <c r="M19" s="100">
        <f t="shared" ref="M19:M38" si="10">EJ22/((M$17*$B19)/144)</f>
        <v>0.23671190476190479</v>
      </c>
      <c r="N19" s="100">
        <f t="shared" ref="N19:N38" si="11">ET22/((N$17*$B19)/144)</f>
        <v>0.23845670995670995</v>
      </c>
      <c r="O19" s="100">
        <f t="shared" ref="O19:O38" si="12">FD22/((O$17*$B19)/144)</f>
        <v>0.23946643518518518</v>
      </c>
      <c r="P19" s="100">
        <f t="shared" ref="P19:P30" si="13">FN22/((P$17*$B19)/144)</f>
        <v>0.24073092185592185</v>
      </c>
      <c r="Q19" s="100">
        <f t="shared" ref="Q19:Q30" si="14">FX22/((Q$17*$B19)/144)</f>
        <v>0.24181476757369613</v>
      </c>
      <c r="R19" s="100">
        <f t="shared" ref="R19:R30" si="15">GH22/((R$17*$B19)/144)</f>
        <v>0.24275410052910051</v>
      </c>
      <c r="S19" s="100">
        <f t="shared" ref="S19:S30" si="16">GR22/((S$17*$B19)/144)</f>
        <v>0.24357601686507935</v>
      </c>
      <c r="T19" s="100">
        <f t="shared" ref="T19:T30" si="17">HB22/((T$17*$B19)/144)</f>
        <v>0.24430123716153124</v>
      </c>
      <c r="U19" s="100">
        <f t="shared" ref="U19:U30" si="18">HL22/((U$17*$B19)/144)</f>
        <v>0.24020690035273365</v>
      </c>
      <c r="V19" s="100">
        <f t="shared" ref="V19:V30" si="19">HV22/((V$17*$B19)/144)</f>
        <v>0.24103310359231409</v>
      </c>
      <c r="W19" s="100">
        <f t="shared" ref="W19:W30" si="20">IF22/((W$17*$B19)/144)</f>
        <v>0.24177668650793649</v>
      </c>
      <c r="X19" s="96"/>
      <c r="Y19" s="97"/>
      <c r="Z19" s="83"/>
      <c r="AA19" s="83"/>
      <c r="AT19" s="4"/>
      <c r="AU19" s="891"/>
      <c r="AV19" s="892"/>
      <c r="AW19" s="210"/>
      <c r="AX19" s="210"/>
      <c r="AY19" s="210"/>
      <c r="AZ19" s="210"/>
      <c r="BA19" s="210"/>
      <c r="BB19" s="210"/>
      <c r="BC19" s="210"/>
      <c r="BD19" s="210"/>
      <c r="BE19" s="210"/>
      <c r="BF19" s="210"/>
      <c r="BG19" s="210"/>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6">
        <v>3</v>
      </c>
      <c r="D20" s="98">
        <f t="shared" si="1"/>
        <v>0.21938888888888888</v>
      </c>
      <c r="E20" s="96">
        <f t="shared" si="2"/>
        <v>0.25429166666666664</v>
      </c>
      <c r="F20" s="96">
        <f t="shared" si="3"/>
        <v>0.28919444444444442</v>
      </c>
      <c r="G20" s="96">
        <f t="shared" si="4"/>
        <v>0.30664583333333328</v>
      </c>
      <c r="H20" s="96">
        <f t="shared" si="5"/>
        <v>0.3171166666666666</v>
      </c>
      <c r="I20" s="96">
        <f t="shared" si="6"/>
        <v>0.3240972222222222</v>
      </c>
      <c r="J20" s="96">
        <f t="shared" si="7"/>
        <v>0.32908333333333334</v>
      </c>
      <c r="K20" s="96">
        <f t="shared" si="8"/>
        <v>0.33282291666666663</v>
      </c>
      <c r="L20" s="96">
        <f t="shared" si="9"/>
        <v>0.32908333333333334</v>
      </c>
      <c r="M20" s="96">
        <f t="shared" si="10"/>
        <v>0.33207500000000001</v>
      </c>
      <c r="N20" s="96">
        <f t="shared" si="11"/>
        <v>0.3345227272727273</v>
      </c>
      <c r="O20" s="96">
        <f t="shared" si="12"/>
        <v>0.33593923611111109</v>
      </c>
      <c r="P20" s="96">
        <f t="shared" si="13"/>
        <v>0.33771314102564098</v>
      </c>
      <c r="Q20" s="96">
        <f t="shared" si="14"/>
        <v>0.33923363095238096</v>
      </c>
      <c r="R20" s="96">
        <f t="shared" si="15"/>
        <v>0.34055138888888886</v>
      </c>
      <c r="S20" s="96">
        <f t="shared" si="16"/>
        <v>0.34170442708333332</v>
      </c>
      <c r="T20" s="96">
        <f t="shared" si="17"/>
        <v>0.34272181372549015</v>
      </c>
      <c r="U20" s="96">
        <f t="shared" si="18"/>
        <v>0.33697800925925925</v>
      </c>
      <c r="V20" s="96">
        <f t="shared" si="19"/>
        <v>0.33813706140350874</v>
      </c>
      <c r="W20" s="96">
        <f t="shared" si="20"/>
        <v>0.33918020833333334</v>
      </c>
      <c r="X20" s="96"/>
      <c r="Y20" s="65"/>
      <c r="AA20" s="83"/>
      <c r="AT20" s="4"/>
      <c r="AU20" s="893"/>
      <c r="AV20" s="894"/>
      <c r="AW20" s="10"/>
      <c r="AX20" s="10">
        <v>9</v>
      </c>
      <c r="AY20" s="12" t="str">
        <f>"("&amp;ROUND(AX20*25.4/50,0)*50&amp;")"</f>
        <v>(250)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1"/>
        <v>0.27177469135802468</v>
      </c>
      <c r="E21" s="96">
        <f t="shared" si="2"/>
        <v>0.31501157407407404</v>
      </c>
      <c r="F21" s="96">
        <f t="shared" si="3"/>
        <v>0.3582484567901234</v>
      </c>
      <c r="G21" s="96">
        <f t="shared" si="4"/>
        <v>0.37986689814814811</v>
      </c>
      <c r="H21" s="96">
        <f t="shared" si="5"/>
        <v>0.39283796296296292</v>
      </c>
      <c r="I21" s="96">
        <f t="shared" si="6"/>
        <v>0.40148533950617282</v>
      </c>
      <c r="J21" s="96">
        <f t="shared" si="7"/>
        <v>0.40766203703703702</v>
      </c>
      <c r="K21" s="96">
        <f t="shared" si="8"/>
        <v>0.41229456018518512</v>
      </c>
      <c r="L21" s="96">
        <f t="shared" si="9"/>
        <v>0.40766203703703702</v>
      </c>
      <c r="M21" s="96">
        <f t="shared" si="10"/>
        <v>0.41136805555555545</v>
      </c>
      <c r="N21" s="96">
        <f t="shared" si="11"/>
        <v>0.41440025252525248</v>
      </c>
      <c r="O21" s="96">
        <f t="shared" si="12"/>
        <v>0.41615499614197526</v>
      </c>
      <c r="P21" s="96">
        <f t="shared" si="13"/>
        <v>0.41835247507122503</v>
      </c>
      <c r="Q21" s="96">
        <f t="shared" si="14"/>
        <v>0.42023602843915336</v>
      </c>
      <c r="R21" s="96">
        <f t="shared" si="15"/>
        <v>0.42186844135802465</v>
      </c>
      <c r="S21" s="96">
        <f t="shared" si="16"/>
        <v>0.42329680266203695</v>
      </c>
      <c r="T21" s="96">
        <f t="shared" si="17"/>
        <v>0.42455712145969493</v>
      </c>
      <c r="U21" s="96">
        <f t="shared" si="18"/>
        <v>0.41744180812757192</v>
      </c>
      <c r="V21" s="96">
        <f t="shared" si="19"/>
        <v>0.41887761939571144</v>
      </c>
      <c r="W21" s="96">
        <f t="shared" si="20"/>
        <v>0.42016984953703695</v>
      </c>
      <c r="X21" s="96"/>
      <c r="Y21" s="65"/>
      <c r="AA21" s="83"/>
      <c r="AT21" s="4"/>
      <c r="AU21" s="10"/>
      <c r="AV21" s="17"/>
      <c r="AW21" s="18"/>
      <c r="AX21" s="18"/>
      <c r="AY21" s="18">
        <v>0</v>
      </c>
      <c r="AZ21" s="12">
        <f t="shared" ref="AZ21:BG21" si="21">AY21+1</f>
        <v>1</v>
      </c>
      <c r="BA21" s="12">
        <f t="shared" si="21"/>
        <v>2</v>
      </c>
      <c r="BB21" s="12">
        <f t="shared" si="21"/>
        <v>3</v>
      </c>
      <c r="BC21" s="12">
        <f t="shared" si="21"/>
        <v>4</v>
      </c>
      <c r="BD21" s="12">
        <f t="shared" si="21"/>
        <v>5</v>
      </c>
      <c r="BE21" s="12">
        <f t="shared" si="21"/>
        <v>6</v>
      </c>
      <c r="BF21" s="12">
        <f t="shared" si="21"/>
        <v>7</v>
      </c>
      <c r="BG21" s="12">
        <f t="shared" si="21"/>
        <v>8</v>
      </c>
      <c r="BH21" s="11">
        <v>6</v>
      </c>
      <c r="BI21" s="12">
        <f>BH21+1</f>
        <v>7</v>
      </c>
      <c r="BJ21" s="12">
        <f t="shared" ref="BJ21:DU21" si="22">BI21+1</f>
        <v>8</v>
      </c>
      <c r="BK21" s="12">
        <f t="shared" si="22"/>
        <v>9</v>
      </c>
      <c r="BL21" s="12">
        <f t="shared" si="22"/>
        <v>10</v>
      </c>
      <c r="BM21" s="12">
        <f t="shared" si="22"/>
        <v>11</v>
      </c>
      <c r="BN21" s="12">
        <f t="shared" si="22"/>
        <v>12</v>
      </c>
      <c r="BO21" s="12">
        <f t="shared" si="22"/>
        <v>13</v>
      </c>
      <c r="BP21" s="12">
        <f t="shared" si="22"/>
        <v>14</v>
      </c>
      <c r="BQ21" s="12">
        <f t="shared" si="22"/>
        <v>15</v>
      </c>
      <c r="BR21" s="12">
        <f>BQ21+1</f>
        <v>16</v>
      </c>
      <c r="BS21" s="12">
        <f t="shared" si="22"/>
        <v>17</v>
      </c>
      <c r="BT21" s="12">
        <f t="shared" si="22"/>
        <v>18</v>
      </c>
      <c r="BU21" s="12">
        <f t="shared" si="22"/>
        <v>19</v>
      </c>
      <c r="BV21" s="12">
        <f t="shared" si="22"/>
        <v>20</v>
      </c>
      <c r="BW21" s="12">
        <f t="shared" si="22"/>
        <v>21</v>
      </c>
      <c r="BX21" s="12">
        <f t="shared" si="22"/>
        <v>22</v>
      </c>
      <c r="BY21" s="12">
        <f t="shared" si="22"/>
        <v>23</v>
      </c>
      <c r="BZ21" s="12">
        <f t="shared" si="22"/>
        <v>24</v>
      </c>
      <c r="CA21" s="12">
        <f t="shared" si="22"/>
        <v>25</v>
      </c>
      <c r="CB21" s="12">
        <f t="shared" si="22"/>
        <v>26</v>
      </c>
      <c r="CC21" s="12">
        <f t="shared" si="22"/>
        <v>27</v>
      </c>
      <c r="CD21" s="12">
        <f t="shared" si="22"/>
        <v>28</v>
      </c>
      <c r="CE21" s="12">
        <f t="shared" si="22"/>
        <v>29</v>
      </c>
      <c r="CF21" s="12">
        <f t="shared" si="22"/>
        <v>30</v>
      </c>
      <c r="CG21" s="12">
        <f t="shared" si="22"/>
        <v>31</v>
      </c>
      <c r="CH21" s="12">
        <f t="shared" si="22"/>
        <v>32</v>
      </c>
      <c r="CI21" s="12">
        <f t="shared" si="22"/>
        <v>33</v>
      </c>
      <c r="CJ21" s="12">
        <f t="shared" si="22"/>
        <v>34</v>
      </c>
      <c r="CK21" s="12">
        <f t="shared" si="22"/>
        <v>35</v>
      </c>
      <c r="CL21" s="12">
        <f t="shared" si="22"/>
        <v>36</v>
      </c>
      <c r="CM21" s="12">
        <f t="shared" si="22"/>
        <v>37</v>
      </c>
      <c r="CN21" s="12">
        <f t="shared" si="22"/>
        <v>38</v>
      </c>
      <c r="CO21" s="12">
        <f t="shared" si="22"/>
        <v>39</v>
      </c>
      <c r="CP21" s="12">
        <f t="shared" si="22"/>
        <v>40</v>
      </c>
      <c r="CQ21" s="12">
        <f t="shared" si="22"/>
        <v>41</v>
      </c>
      <c r="CR21" s="12">
        <f t="shared" si="22"/>
        <v>42</v>
      </c>
      <c r="CS21" s="12">
        <f t="shared" si="22"/>
        <v>43</v>
      </c>
      <c r="CT21" s="12">
        <f t="shared" si="22"/>
        <v>44</v>
      </c>
      <c r="CU21" s="12">
        <f t="shared" si="22"/>
        <v>45</v>
      </c>
      <c r="CV21" s="12">
        <f t="shared" si="22"/>
        <v>46</v>
      </c>
      <c r="CW21" s="12">
        <f t="shared" si="22"/>
        <v>47</v>
      </c>
      <c r="CX21" s="12">
        <f t="shared" si="22"/>
        <v>48</v>
      </c>
      <c r="CY21" s="12">
        <f t="shared" si="22"/>
        <v>49</v>
      </c>
      <c r="CZ21" s="12">
        <f t="shared" si="22"/>
        <v>50</v>
      </c>
      <c r="DA21" s="12">
        <f t="shared" si="22"/>
        <v>51</v>
      </c>
      <c r="DB21" s="12">
        <f t="shared" si="22"/>
        <v>52</v>
      </c>
      <c r="DC21" s="12">
        <f t="shared" si="22"/>
        <v>53</v>
      </c>
      <c r="DD21" s="12">
        <f t="shared" si="22"/>
        <v>54</v>
      </c>
      <c r="DE21" s="12">
        <f t="shared" si="22"/>
        <v>55</v>
      </c>
      <c r="DF21" s="12">
        <f t="shared" si="22"/>
        <v>56</v>
      </c>
      <c r="DG21" s="12">
        <f t="shared" si="22"/>
        <v>57</v>
      </c>
      <c r="DH21" s="12">
        <f t="shared" si="22"/>
        <v>58</v>
      </c>
      <c r="DI21" s="12">
        <f t="shared" si="22"/>
        <v>59</v>
      </c>
      <c r="DJ21" s="12">
        <f t="shared" si="22"/>
        <v>60</v>
      </c>
      <c r="DK21" s="12">
        <f t="shared" si="22"/>
        <v>61</v>
      </c>
      <c r="DL21" s="12">
        <f t="shared" si="22"/>
        <v>62</v>
      </c>
      <c r="DM21" s="12">
        <f t="shared" si="22"/>
        <v>63</v>
      </c>
      <c r="DN21" s="12">
        <f t="shared" si="22"/>
        <v>64</v>
      </c>
      <c r="DO21" s="12">
        <f t="shared" si="22"/>
        <v>65</v>
      </c>
      <c r="DP21" s="12">
        <f t="shared" si="22"/>
        <v>66</v>
      </c>
      <c r="DQ21" s="12">
        <f t="shared" si="22"/>
        <v>67</v>
      </c>
      <c r="DR21" s="12">
        <f t="shared" si="22"/>
        <v>68</v>
      </c>
      <c r="DS21" s="12">
        <f t="shared" si="22"/>
        <v>69</v>
      </c>
      <c r="DT21" s="12">
        <f t="shared" si="22"/>
        <v>70</v>
      </c>
      <c r="DU21" s="12">
        <f t="shared" si="22"/>
        <v>71</v>
      </c>
      <c r="DV21" s="12">
        <f t="shared" ref="DV21:GG21" si="23">DU21+1</f>
        <v>72</v>
      </c>
      <c r="DW21" s="12">
        <f t="shared" si="23"/>
        <v>73</v>
      </c>
      <c r="DX21" s="12">
        <f t="shared" si="23"/>
        <v>74</v>
      </c>
      <c r="DY21" s="12">
        <f t="shared" si="23"/>
        <v>75</v>
      </c>
      <c r="DZ21" s="12">
        <f t="shared" si="23"/>
        <v>76</v>
      </c>
      <c r="EA21" s="12">
        <f t="shared" si="23"/>
        <v>77</v>
      </c>
      <c r="EB21" s="12">
        <f t="shared" si="23"/>
        <v>78</v>
      </c>
      <c r="EC21" s="12">
        <f t="shared" si="23"/>
        <v>79</v>
      </c>
      <c r="ED21" s="12">
        <f t="shared" si="23"/>
        <v>80</v>
      </c>
      <c r="EE21" s="12">
        <f t="shared" si="23"/>
        <v>81</v>
      </c>
      <c r="EF21" s="12">
        <f t="shared" si="23"/>
        <v>82</v>
      </c>
      <c r="EG21" s="12">
        <f t="shared" si="23"/>
        <v>83</v>
      </c>
      <c r="EH21" s="12">
        <f t="shared" si="23"/>
        <v>84</v>
      </c>
      <c r="EI21" s="12">
        <f t="shared" si="23"/>
        <v>85</v>
      </c>
      <c r="EJ21" s="12">
        <f t="shared" si="23"/>
        <v>86</v>
      </c>
      <c r="EK21" s="12">
        <f t="shared" si="23"/>
        <v>87</v>
      </c>
      <c r="EL21" s="12">
        <f t="shared" si="23"/>
        <v>88</v>
      </c>
      <c r="EM21" s="12">
        <f t="shared" si="23"/>
        <v>89</v>
      </c>
      <c r="EN21" s="12">
        <f t="shared" si="23"/>
        <v>90</v>
      </c>
      <c r="EO21" s="12">
        <f t="shared" si="23"/>
        <v>91</v>
      </c>
      <c r="EP21" s="12">
        <f t="shared" si="23"/>
        <v>92</v>
      </c>
      <c r="EQ21" s="12">
        <f t="shared" si="23"/>
        <v>93</v>
      </c>
      <c r="ER21" s="12">
        <f t="shared" si="23"/>
        <v>94</v>
      </c>
      <c r="ES21" s="12">
        <f t="shared" si="23"/>
        <v>95</v>
      </c>
      <c r="ET21" s="12">
        <f t="shared" si="23"/>
        <v>96</v>
      </c>
      <c r="EU21" s="12">
        <f t="shared" si="23"/>
        <v>97</v>
      </c>
      <c r="EV21" s="12">
        <f t="shared" si="23"/>
        <v>98</v>
      </c>
      <c r="EW21" s="12">
        <f t="shared" si="23"/>
        <v>99</v>
      </c>
      <c r="EX21" s="12">
        <f t="shared" si="23"/>
        <v>100</v>
      </c>
      <c r="EY21" s="12">
        <f t="shared" si="23"/>
        <v>101</v>
      </c>
      <c r="EZ21" s="12">
        <f t="shared" si="23"/>
        <v>102</v>
      </c>
      <c r="FA21" s="12">
        <f t="shared" si="23"/>
        <v>103</v>
      </c>
      <c r="FB21" s="12">
        <f t="shared" si="23"/>
        <v>104</v>
      </c>
      <c r="FC21" s="12">
        <f t="shared" si="23"/>
        <v>105</v>
      </c>
      <c r="FD21" s="12">
        <f t="shared" si="23"/>
        <v>106</v>
      </c>
      <c r="FE21" s="12">
        <f t="shared" si="23"/>
        <v>107</v>
      </c>
      <c r="FF21" s="12">
        <f t="shared" si="23"/>
        <v>108</v>
      </c>
      <c r="FG21" s="12">
        <f t="shared" si="23"/>
        <v>109</v>
      </c>
      <c r="FH21" s="12">
        <f t="shared" si="23"/>
        <v>110</v>
      </c>
      <c r="FI21" s="12">
        <f t="shared" si="23"/>
        <v>111</v>
      </c>
      <c r="FJ21" s="12">
        <f t="shared" si="23"/>
        <v>112</v>
      </c>
      <c r="FK21" s="12">
        <f t="shared" si="23"/>
        <v>113</v>
      </c>
      <c r="FL21" s="12">
        <f t="shared" si="23"/>
        <v>114</v>
      </c>
      <c r="FM21" s="12">
        <f t="shared" si="23"/>
        <v>115</v>
      </c>
      <c r="FN21" s="12">
        <f t="shared" si="23"/>
        <v>116</v>
      </c>
      <c r="FO21" s="12">
        <f t="shared" si="23"/>
        <v>117</v>
      </c>
      <c r="FP21" s="12">
        <f t="shared" si="23"/>
        <v>118</v>
      </c>
      <c r="FQ21" s="12">
        <f t="shared" si="23"/>
        <v>119</v>
      </c>
      <c r="FR21" s="12">
        <f t="shared" si="23"/>
        <v>120</v>
      </c>
      <c r="FS21" s="12">
        <f t="shared" si="23"/>
        <v>121</v>
      </c>
      <c r="FT21" s="12">
        <f t="shared" si="23"/>
        <v>122</v>
      </c>
      <c r="FU21" s="12">
        <f t="shared" si="23"/>
        <v>123</v>
      </c>
      <c r="FV21" s="12">
        <f t="shared" si="23"/>
        <v>124</v>
      </c>
      <c r="FW21" s="12">
        <f t="shared" si="23"/>
        <v>125</v>
      </c>
      <c r="FX21" s="12">
        <f t="shared" si="23"/>
        <v>126</v>
      </c>
      <c r="FY21" s="12">
        <f t="shared" si="23"/>
        <v>127</v>
      </c>
      <c r="FZ21" s="12">
        <f t="shared" si="23"/>
        <v>128</v>
      </c>
      <c r="GA21" s="12">
        <f t="shared" si="23"/>
        <v>129</v>
      </c>
      <c r="GB21" s="12">
        <f t="shared" si="23"/>
        <v>130</v>
      </c>
      <c r="GC21" s="12">
        <f t="shared" si="23"/>
        <v>131</v>
      </c>
      <c r="GD21" s="12">
        <f t="shared" si="23"/>
        <v>132</v>
      </c>
      <c r="GE21" s="12">
        <f t="shared" si="23"/>
        <v>133</v>
      </c>
      <c r="GF21" s="12">
        <f t="shared" si="23"/>
        <v>134</v>
      </c>
      <c r="GG21" s="12">
        <f t="shared" si="23"/>
        <v>135</v>
      </c>
      <c r="GH21" s="12">
        <f t="shared" ref="GH21:IO21" si="24">GG21+1</f>
        <v>136</v>
      </c>
      <c r="GI21" s="12">
        <f t="shared" si="24"/>
        <v>137</v>
      </c>
      <c r="GJ21" s="12">
        <f t="shared" si="24"/>
        <v>138</v>
      </c>
      <c r="GK21" s="12">
        <f t="shared" si="24"/>
        <v>139</v>
      </c>
      <c r="GL21" s="12">
        <f t="shared" si="24"/>
        <v>140</v>
      </c>
      <c r="GM21" s="12">
        <f t="shared" si="24"/>
        <v>141</v>
      </c>
      <c r="GN21" s="12">
        <f t="shared" si="24"/>
        <v>142</v>
      </c>
      <c r="GO21" s="12">
        <f t="shared" si="24"/>
        <v>143</v>
      </c>
      <c r="GP21" s="12">
        <f t="shared" si="24"/>
        <v>144</v>
      </c>
      <c r="GQ21" s="12">
        <f t="shared" si="24"/>
        <v>145</v>
      </c>
      <c r="GR21" s="12">
        <f t="shared" si="24"/>
        <v>146</v>
      </c>
      <c r="GS21" s="12">
        <f t="shared" si="24"/>
        <v>147</v>
      </c>
      <c r="GT21" s="12">
        <f t="shared" si="24"/>
        <v>148</v>
      </c>
      <c r="GU21" s="12">
        <f t="shared" si="24"/>
        <v>149</v>
      </c>
      <c r="GV21" s="12">
        <f t="shared" si="24"/>
        <v>150</v>
      </c>
      <c r="GW21" s="12">
        <f t="shared" si="24"/>
        <v>151</v>
      </c>
      <c r="GX21" s="12">
        <f t="shared" si="24"/>
        <v>152</v>
      </c>
      <c r="GY21" s="12">
        <f t="shared" si="24"/>
        <v>153</v>
      </c>
      <c r="GZ21" s="12">
        <f t="shared" si="24"/>
        <v>154</v>
      </c>
      <c r="HA21" s="12">
        <f t="shared" si="24"/>
        <v>155</v>
      </c>
      <c r="HB21" s="12">
        <f t="shared" si="24"/>
        <v>156</v>
      </c>
      <c r="HC21" s="12">
        <f t="shared" si="24"/>
        <v>157</v>
      </c>
      <c r="HD21" s="12">
        <f t="shared" si="24"/>
        <v>158</v>
      </c>
      <c r="HE21" s="12">
        <f t="shared" si="24"/>
        <v>159</v>
      </c>
      <c r="HF21" s="12">
        <f t="shared" si="24"/>
        <v>160</v>
      </c>
      <c r="HG21" s="12">
        <f t="shared" si="24"/>
        <v>161</v>
      </c>
      <c r="HH21" s="12">
        <f t="shared" si="24"/>
        <v>162</v>
      </c>
      <c r="HI21" s="12">
        <f t="shared" si="24"/>
        <v>163</v>
      </c>
      <c r="HJ21" s="12">
        <f t="shared" si="24"/>
        <v>164</v>
      </c>
      <c r="HK21" s="12">
        <f t="shared" si="24"/>
        <v>165</v>
      </c>
      <c r="HL21" s="12">
        <f t="shared" si="24"/>
        <v>166</v>
      </c>
      <c r="HM21" s="12">
        <f t="shared" si="24"/>
        <v>167</v>
      </c>
      <c r="HN21" s="12">
        <f t="shared" si="24"/>
        <v>168</v>
      </c>
      <c r="HO21" s="12">
        <f t="shared" si="24"/>
        <v>169</v>
      </c>
      <c r="HP21" s="12">
        <f t="shared" si="24"/>
        <v>170</v>
      </c>
      <c r="HQ21" s="12">
        <f t="shared" si="24"/>
        <v>171</v>
      </c>
      <c r="HR21" s="12">
        <f t="shared" si="24"/>
        <v>172</v>
      </c>
      <c r="HS21" s="12">
        <f t="shared" si="24"/>
        <v>173</v>
      </c>
      <c r="HT21" s="12">
        <f t="shared" si="24"/>
        <v>174</v>
      </c>
      <c r="HU21" s="12">
        <f t="shared" si="24"/>
        <v>175</v>
      </c>
      <c r="HV21" s="12">
        <f t="shared" si="24"/>
        <v>176</v>
      </c>
      <c r="HW21" s="12">
        <f t="shared" si="24"/>
        <v>177</v>
      </c>
      <c r="HX21" s="12">
        <f t="shared" si="24"/>
        <v>178</v>
      </c>
      <c r="HY21" s="12">
        <f t="shared" si="24"/>
        <v>179</v>
      </c>
      <c r="HZ21" s="12">
        <f t="shared" si="24"/>
        <v>180</v>
      </c>
      <c r="IA21" s="12">
        <f t="shared" si="24"/>
        <v>181</v>
      </c>
      <c r="IB21" s="12">
        <f t="shared" si="24"/>
        <v>182</v>
      </c>
      <c r="IC21" s="12">
        <f t="shared" si="24"/>
        <v>183</v>
      </c>
      <c r="ID21" s="12">
        <f t="shared" si="24"/>
        <v>184</v>
      </c>
      <c r="IE21" s="12">
        <f t="shared" si="24"/>
        <v>185</v>
      </c>
      <c r="IF21" s="12">
        <f t="shared" si="24"/>
        <v>186</v>
      </c>
      <c r="IG21" s="12">
        <f t="shared" si="24"/>
        <v>187</v>
      </c>
      <c r="IH21" s="12">
        <f t="shared" si="24"/>
        <v>188</v>
      </c>
      <c r="II21" s="12">
        <f t="shared" si="24"/>
        <v>189</v>
      </c>
      <c r="IJ21" s="12">
        <f t="shared" si="24"/>
        <v>190</v>
      </c>
      <c r="IK21" s="12">
        <f t="shared" si="24"/>
        <v>191</v>
      </c>
      <c r="IL21" s="12">
        <f t="shared" si="24"/>
        <v>192</v>
      </c>
      <c r="IM21" s="12">
        <f t="shared" si="24"/>
        <v>193</v>
      </c>
      <c r="IN21" s="12">
        <f t="shared" si="24"/>
        <v>194</v>
      </c>
      <c r="IO21" s="12">
        <f t="shared" si="24"/>
        <v>195</v>
      </c>
      <c r="IP21" s="15"/>
      <c r="IQ21" s="16"/>
      <c r="IR21" s="16"/>
      <c r="IS21" s="16"/>
      <c r="IT21" s="16"/>
      <c r="IU21" s="16"/>
      <c r="IV21" s="16"/>
      <c r="IW21" s="16"/>
      <c r="IX21" s="8"/>
    </row>
    <row r="22" spans="2:258" ht="15.75" thickBot="1" x14ac:dyDescent="0.3">
      <c r="B22" s="103">
        <f t="shared" ref="B22:B38" si="25">B21+6</f>
        <v>24</v>
      </c>
      <c r="C22" s="226">
        <v>5</v>
      </c>
      <c r="D22" s="98">
        <f t="shared" si="1"/>
        <v>0.27013657407407404</v>
      </c>
      <c r="E22" s="96">
        <f t="shared" si="2"/>
        <v>0.31311284722222221</v>
      </c>
      <c r="F22" s="96">
        <f t="shared" si="3"/>
        <v>0.35608912037037038</v>
      </c>
      <c r="G22" s="96">
        <f t="shared" si="4"/>
        <v>0.37757725694444444</v>
      </c>
      <c r="H22" s="96">
        <f t="shared" si="5"/>
        <v>0.39047013888888893</v>
      </c>
      <c r="I22" s="96">
        <f t="shared" si="6"/>
        <v>0.3990653935185185</v>
      </c>
      <c r="J22" s="96">
        <f t="shared" si="7"/>
        <v>0.40520486111111115</v>
      </c>
      <c r="K22" s="96">
        <f t="shared" si="8"/>
        <v>0.40980946180555555</v>
      </c>
      <c r="L22" s="96">
        <f t="shared" si="9"/>
        <v>0.40520486111111109</v>
      </c>
      <c r="M22" s="96">
        <f t="shared" si="10"/>
        <v>0.40888854166666666</v>
      </c>
      <c r="N22" s="96">
        <f t="shared" si="11"/>
        <v>0.41190246212121212</v>
      </c>
      <c r="O22" s="96">
        <f t="shared" si="12"/>
        <v>0.41364662905092597</v>
      </c>
      <c r="P22" s="96">
        <f t="shared" si="13"/>
        <v>0.41583086271367525</v>
      </c>
      <c r="Q22" s="96">
        <f t="shared" si="14"/>
        <v>0.41770306299603177</v>
      </c>
      <c r="R22" s="96">
        <f t="shared" si="15"/>
        <v>0.41932563657407407</v>
      </c>
      <c r="S22" s="96">
        <f t="shared" si="16"/>
        <v>0.42074538845486109</v>
      </c>
      <c r="T22" s="96">
        <f t="shared" si="17"/>
        <v>0.42199811070261439</v>
      </c>
      <c r="U22" s="96">
        <f t="shared" si="18"/>
        <v>0.41492568479938269</v>
      </c>
      <c r="V22" s="96">
        <f t="shared" si="19"/>
        <v>0.41635284173976606</v>
      </c>
      <c r="W22" s="96">
        <f t="shared" si="20"/>
        <v>0.41763728298611114</v>
      </c>
      <c r="X22" s="96"/>
      <c r="Y22" s="65"/>
      <c r="AA22" s="83"/>
      <c r="AT22" s="4"/>
      <c r="AU22" s="216">
        <f>F12</f>
        <v>10.5</v>
      </c>
      <c r="AV22" s="12" t="str">
        <f>"("&amp;ROUND(AU22*25.4/50,0)*50&amp;")"</f>
        <v>(250)</v>
      </c>
      <c r="AW22" s="217">
        <v>7</v>
      </c>
      <c r="AX22" s="20">
        <f>($IR22+(($IQ22-1)*$IS22)+$IT22)*BG22/144</f>
        <v>0.10262847222222221</v>
      </c>
      <c r="AY22" s="21" t="str">
        <f t="shared" ref="AY22" si="26">"("&amp;FIXED(AX22*0.092903,2)&amp;")"</f>
        <v>(0.01)</v>
      </c>
      <c r="AZ22" s="22">
        <v>2</v>
      </c>
      <c r="BA22" s="22">
        <f t="shared" ref="BA22:BA41" si="27">$IU$23*AZ22</f>
        <v>3.5</v>
      </c>
      <c r="BB22" s="22">
        <v>0</v>
      </c>
      <c r="BC22" s="22">
        <f t="shared" ref="BC22:BC41" si="28">$IW$23*BB22</f>
        <v>0</v>
      </c>
      <c r="BD22" s="22">
        <v>0</v>
      </c>
      <c r="BE22" s="22">
        <f t="shared" ref="BE22:BE41" si="29">$IV$23*BD22</f>
        <v>0</v>
      </c>
      <c r="BF22" s="22">
        <f t="shared" ref="BF22" si="30">BA22+BC22+BE22</f>
        <v>3.5</v>
      </c>
      <c r="BG22" s="23">
        <f t="shared" ref="BG22:BG41" si="31">AX$20-BA22-BC22-BE22</f>
        <v>5.5</v>
      </c>
      <c r="BH22" s="20">
        <f>($IR22+(($IQ22-1)*$IS22)+$IT22)*BQ22/144</f>
        <v>0.15860763888888887</v>
      </c>
      <c r="BI22" s="21" t="str">
        <f t="shared" ref="BI22" si="32">"("&amp;FIXED(BH22*0.092903,2)&amp;")"</f>
        <v>(0.01)</v>
      </c>
      <c r="BJ22" s="22">
        <v>2</v>
      </c>
      <c r="BK22" s="22">
        <f t="shared" ref="BK22:BK41" si="33">$IU$23*BJ22</f>
        <v>3.5</v>
      </c>
      <c r="BL22" s="22">
        <v>0</v>
      </c>
      <c r="BM22" s="22">
        <f t="shared" ref="BM22:BM41" si="34">$IW$23*BL22</f>
        <v>0</v>
      </c>
      <c r="BN22" s="22">
        <v>0</v>
      </c>
      <c r="BO22" s="22">
        <f t="shared" ref="BO22:BO41" si="35">$IV$23*BN22</f>
        <v>0</v>
      </c>
      <c r="BP22" s="22">
        <f t="shared" ref="BP22" si="36">BK22+BM22+BO22</f>
        <v>3.5</v>
      </c>
      <c r="BQ22" s="23">
        <f t="shared" ref="BQ22:BQ41" si="37">BH$20-BK22-BM22-BO22</f>
        <v>8.5</v>
      </c>
      <c r="BR22" s="20">
        <f>($IR22+(($IQ22-1)*$IS22)+$IT22)*CA22/144</f>
        <v>0.27056597222222223</v>
      </c>
      <c r="BS22" s="21" t="str">
        <f t="shared" ref="BS22:BS41" si="38">"("&amp;ROUND(BR22*0.092903,2)&amp;")"</f>
        <v>(0.03)</v>
      </c>
      <c r="BT22" s="22">
        <v>2</v>
      </c>
      <c r="BU22" s="22">
        <f t="shared" ref="BU22:BU41" si="39">$IU$23*BT22</f>
        <v>3.5</v>
      </c>
      <c r="BV22" s="22">
        <v>0</v>
      </c>
      <c r="BW22" s="22">
        <f t="shared" ref="BW22:BW41" si="40">$IW$23*BV22</f>
        <v>0</v>
      </c>
      <c r="BX22" s="22">
        <v>0</v>
      </c>
      <c r="BY22" s="22">
        <f t="shared" ref="BY22:BY41" si="41">$IV$23*BX22</f>
        <v>0</v>
      </c>
      <c r="BZ22" s="22">
        <f t="shared" ref="BZ22" si="42">BU22+BW22+BY22</f>
        <v>3.5</v>
      </c>
      <c r="CA22" s="23">
        <f t="shared" ref="CA22:CA41" si="43">BR$20-BU22-BW22-BY22</f>
        <v>14.5</v>
      </c>
      <c r="CB22" s="20">
        <f>($IR22+(($IQ22-1)*$IS22)+$IT22)*CK22/144</f>
        <v>0.3825243055555555</v>
      </c>
      <c r="CC22" s="21" t="str">
        <f t="shared" ref="CC22:CC41" si="44">"("&amp;ROUND(CB22*0.092903,2)&amp;")"</f>
        <v>(0.04)</v>
      </c>
      <c r="CD22" s="22">
        <v>2</v>
      </c>
      <c r="CE22" s="22">
        <f t="shared" ref="CE22:CE41" si="45">$IU$23*CD22</f>
        <v>3.5</v>
      </c>
      <c r="CF22" s="22">
        <v>0</v>
      </c>
      <c r="CG22" s="22">
        <f t="shared" ref="CG22:CG41" si="46">$IW$23*CF22</f>
        <v>0</v>
      </c>
      <c r="CH22" s="22">
        <v>0</v>
      </c>
      <c r="CI22" s="22">
        <f t="shared" ref="CI22:CI41" si="47">$IV$23*CH22</f>
        <v>0</v>
      </c>
      <c r="CJ22" s="22">
        <f t="shared" ref="CJ22" si="48">CE22+CG22+CI22</f>
        <v>3.5</v>
      </c>
      <c r="CK22" s="23">
        <f t="shared" ref="CK22:CK41" si="49">CB$20-CE22-CG22-CI22</f>
        <v>20.5</v>
      </c>
      <c r="CL22" s="20">
        <f>($IR22+(($IQ22-1)*$IS22)+$IT22)*CU22/144</f>
        <v>0.49448263888888888</v>
      </c>
      <c r="CM22" s="21" t="str">
        <f t="shared" ref="CM22:CM41" si="50">"("&amp;ROUND(CL22*0.092903,2)&amp;")"</f>
        <v>(0.05)</v>
      </c>
      <c r="CN22" s="22">
        <v>2</v>
      </c>
      <c r="CO22" s="22">
        <f t="shared" ref="CO22:CO41" si="51">$IU$23*CN22</f>
        <v>3.5</v>
      </c>
      <c r="CP22" s="22">
        <v>0</v>
      </c>
      <c r="CQ22" s="22">
        <f t="shared" ref="CQ22:CQ41" si="52">$IW$23*CP22</f>
        <v>0</v>
      </c>
      <c r="CR22" s="22">
        <v>0</v>
      </c>
      <c r="CS22" s="22">
        <f t="shared" ref="CS22:CS41" si="53">$IV$23*CR22</f>
        <v>0</v>
      </c>
      <c r="CT22" s="22">
        <f t="shared" ref="CT22" si="54">CO22+CQ22+CS22</f>
        <v>3.5</v>
      </c>
      <c r="CU22" s="23">
        <f t="shared" ref="CU22:CU41" si="55">CL$20-CO22-CQ22-CS22</f>
        <v>26.5</v>
      </c>
      <c r="CV22" s="20">
        <f>($IR22+(($IQ22-1)*$IS22)+$IT22)*DE22/144</f>
        <v>0.60644097222222226</v>
      </c>
      <c r="CW22" s="21" t="str">
        <f t="shared" ref="CW22:CW41" si="56">"("&amp;ROUND(CV22*0.092903,2)&amp;")"</f>
        <v>(0.06)</v>
      </c>
      <c r="CX22" s="22">
        <v>2</v>
      </c>
      <c r="CY22" s="22">
        <f t="shared" ref="CY22:CY41" si="57">$IU$23*CX22</f>
        <v>3.5</v>
      </c>
      <c r="CZ22" s="22">
        <v>0</v>
      </c>
      <c r="DA22" s="22">
        <f t="shared" ref="DA22:DA41" si="58">$IW$23*CZ22</f>
        <v>0</v>
      </c>
      <c r="DB22" s="22">
        <v>0</v>
      </c>
      <c r="DC22" s="22">
        <f t="shared" ref="DC22:DC41" si="59">$IV$23*DB22</f>
        <v>0</v>
      </c>
      <c r="DD22" s="22">
        <f t="shared" ref="DD22" si="60">CY22+DA22+DC22</f>
        <v>3.5</v>
      </c>
      <c r="DE22" s="23">
        <f t="shared" ref="DE22:DE41" si="61">CV$20-CY22-DA22-DC22</f>
        <v>32.5</v>
      </c>
      <c r="DF22" s="20">
        <f>($IR22+(($IQ22-1)*$IS22)+$IT22)*DO22/144</f>
        <v>0.71839930555555553</v>
      </c>
      <c r="DG22" s="21" t="str">
        <f t="shared" ref="DG22:DG41" si="62">"("&amp;ROUND(DF22*0.092903,2)&amp;")"</f>
        <v>(0.07)</v>
      </c>
      <c r="DH22" s="22">
        <v>2</v>
      </c>
      <c r="DI22" s="22">
        <f t="shared" ref="DI22:DI41" si="63">$IU$23*DH22</f>
        <v>3.5</v>
      </c>
      <c r="DJ22" s="22">
        <v>0</v>
      </c>
      <c r="DK22" s="22">
        <f t="shared" ref="DK22:DK41" si="64">$IW$23*DJ22</f>
        <v>0</v>
      </c>
      <c r="DL22" s="22">
        <v>0</v>
      </c>
      <c r="DM22" s="22">
        <f t="shared" ref="DM22:DM41" si="65">$IV$23*DL22</f>
        <v>0</v>
      </c>
      <c r="DN22" s="22">
        <f t="shared" ref="DN22" si="66">DI22+DK22+DM22</f>
        <v>3.5</v>
      </c>
      <c r="DO22" s="23">
        <f t="shared" ref="DO22:DO41" si="67">DF$20-DI22-DK22-DM22</f>
        <v>38.5</v>
      </c>
      <c r="DP22" s="20">
        <f>($IR22+(($IQ22-1)*$IS22)+$IT22)*DY22/144</f>
        <v>0.8303576388888888</v>
      </c>
      <c r="DQ22" s="21" t="str">
        <f t="shared" ref="DQ22:DQ41" si="68">"("&amp;ROUND(DP22*0.092903,2)&amp;")"</f>
        <v>(0.08)</v>
      </c>
      <c r="DR22" s="22">
        <v>2</v>
      </c>
      <c r="DS22" s="22">
        <f t="shared" ref="DS22:DS41" si="69">$IU$23*DR22</f>
        <v>3.5</v>
      </c>
      <c r="DT22" s="22">
        <v>0</v>
      </c>
      <c r="DU22" s="22">
        <f t="shared" ref="DU22:DU41" si="70">$IW$23*DT22</f>
        <v>0</v>
      </c>
      <c r="DV22" s="22">
        <v>0</v>
      </c>
      <c r="DW22" s="22">
        <f t="shared" ref="DW22:DW41" si="71">$IV$23*DV22</f>
        <v>0</v>
      </c>
      <c r="DX22" s="22">
        <f t="shared" ref="DX22" si="72">DS22+DU22+DW22</f>
        <v>3.5</v>
      </c>
      <c r="DY22" s="194">
        <f t="shared" ref="DY22:DY41" si="73">DP$20-DS22-DU22-DW22</f>
        <v>44.5</v>
      </c>
      <c r="DZ22" s="193">
        <f>($IR22+(($IQ22-1)*$IS22)+$IT22)*EI22/144</f>
        <v>0.92365624999999996</v>
      </c>
      <c r="EA22" s="29" t="str">
        <f t="shared" ref="EA22" si="74">"("&amp;FIXED(DZ22*0.092903,2)&amp;")"</f>
        <v>(0.09)</v>
      </c>
      <c r="EB22" s="30">
        <v>2</v>
      </c>
      <c r="EC22" s="30">
        <f t="shared" ref="EC22:EC41" si="75">$IU$23*EB22</f>
        <v>3.5</v>
      </c>
      <c r="ED22" s="30">
        <v>0</v>
      </c>
      <c r="EE22" s="30">
        <f t="shared" ref="EE22:EE41" si="76">$IW$23*ED22</f>
        <v>0</v>
      </c>
      <c r="EF22" s="30">
        <v>1</v>
      </c>
      <c r="EG22" s="30">
        <f t="shared" ref="EG22:EG41" si="77">$IV$23*EF22</f>
        <v>1</v>
      </c>
      <c r="EH22" s="30">
        <f t="shared" ref="EH22" si="78">EC22+EE22+EG22</f>
        <v>4.5</v>
      </c>
      <c r="EI22" s="194">
        <f t="shared" ref="EI22:EI41" si="79">DZ$20-EC22-EE22-EG22</f>
        <v>49.5</v>
      </c>
      <c r="EJ22" s="20">
        <f>($IR22+(($IQ22-1)*$IS22)+$IT22)*ES22/144</f>
        <v>1.0356145833333334</v>
      </c>
      <c r="EK22" s="21" t="str">
        <f t="shared" ref="EK22" si="80">"("&amp;FIXED(EJ22*0.092903,2)&amp;")"</f>
        <v>(0.10)</v>
      </c>
      <c r="EL22" s="22">
        <v>2</v>
      </c>
      <c r="EM22" s="22">
        <f t="shared" ref="EM22:EM41" si="81">$IU$23*EL22</f>
        <v>3.5</v>
      </c>
      <c r="EN22" s="22">
        <v>0</v>
      </c>
      <c r="EO22" s="22">
        <f t="shared" ref="EO22:EO41" si="82">$IW$23*EN22</f>
        <v>0</v>
      </c>
      <c r="EP22" s="22">
        <v>1</v>
      </c>
      <c r="EQ22" s="22">
        <f t="shared" ref="EQ22:EQ41" si="83">$IV$23*EP22</f>
        <v>1</v>
      </c>
      <c r="ER22" s="22">
        <f t="shared" ref="ER22" si="84">EM22+EO22+EQ22</f>
        <v>4.5</v>
      </c>
      <c r="ES22" s="23">
        <f t="shared" ref="ES22:ES41" si="85">EJ$20-EM22-EO22-EQ22</f>
        <v>55.5</v>
      </c>
      <c r="ET22" s="20">
        <f>($IR22+(($IQ22-1)*$IS22)+$IT22)*FC22/144</f>
        <v>1.1475729166666666</v>
      </c>
      <c r="EU22" s="21" t="str">
        <f t="shared" ref="EU22" si="86">"("&amp;FIXED(ET22*0.092903,2)&amp;")"</f>
        <v>(0.11)</v>
      </c>
      <c r="EV22" s="22">
        <v>2</v>
      </c>
      <c r="EW22" s="22">
        <f t="shared" ref="EW22:EW41" si="87">$IU$23*EV22</f>
        <v>3.5</v>
      </c>
      <c r="EX22" s="22">
        <v>0</v>
      </c>
      <c r="EY22" s="22">
        <f t="shared" ref="EY22:EY41" si="88">$IW$23*EX22</f>
        <v>0</v>
      </c>
      <c r="EZ22" s="22">
        <v>1</v>
      </c>
      <c r="FA22" s="22">
        <f t="shared" ref="FA22:FA41" si="89">$IV$23*EZ22</f>
        <v>1</v>
      </c>
      <c r="FB22" s="22">
        <f t="shared" ref="FB22" si="90">EW22+EY22+FA22</f>
        <v>4.5</v>
      </c>
      <c r="FC22" s="23">
        <f t="shared" ref="FC22:FC41" si="91">ET$20-EW22-EY22-FA22</f>
        <v>61.5</v>
      </c>
      <c r="FD22" s="20">
        <f>($IR22+(($IQ22-1)*$IS22)+$IT22)*FM22/144</f>
        <v>1.2571987847222221</v>
      </c>
      <c r="FE22" s="21" t="str">
        <f t="shared" ref="FE22" si="92">"("&amp;FIXED(FD22*0.092903,2)&amp;")"</f>
        <v>(0.12)</v>
      </c>
      <c r="FF22" s="22">
        <v>2</v>
      </c>
      <c r="FG22" s="22">
        <f t="shared" ref="FG22:FG41" si="93">$IU$23*FF22</f>
        <v>3.5</v>
      </c>
      <c r="FH22" s="22">
        <v>1</v>
      </c>
      <c r="FI22" s="22">
        <f t="shared" ref="FI22:FI41" si="94">$IW$23*FH22</f>
        <v>1.125</v>
      </c>
      <c r="FJ22" s="22">
        <v>0</v>
      </c>
      <c r="FK22" s="22">
        <f t="shared" ref="FK22:FK41" si="95">$IV$23*FJ22</f>
        <v>0</v>
      </c>
      <c r="FL22" s="22">
        <f t="shared" ref="FL22" si="96">FG22+FI22+FK22</f>
        <v>4.625</v>
      </c>
      <c r="FM22" s="23">
        <f t="shared" ref="FM22:FM41" si="97">FD$20-FG22-FI22-FK22</f>
        <v>67.375</v>
      </c>
      <c r="FN22" s="20">
        <f>($IR22+(($IQ22-1)*$IS22)+$IT22)*FW22/144</f>
        <v>1.3691571180555555</v>
      </c>
      <c r="FO22" s="21" t="str">
        <f t="shared" ref="FO22" si="98">"("&amp;FIXED(FN22*0.092903,2)&amp;")"</f>
        <v>(0.13)</v>
      </c>
      <c r="FP22" s="22">
        <v>2</v>
      </c>
      <c r="FQ22" s="22">
        <f t="shared" ref="FQ22:FQ33" si="99">$IU$23*FP22</f>
        <v>3.5</v>
      </c>
      <c r="FR22" s="22">
        <v>1</v>
      </c>
      <c r="FS22" s="22">
        <f t="shared" ref="FS22:FS33" si="100">$IW$23*FR22</f>
        <v>1.125</v>
      </c>
      <c r="FT22" s="22">
        <v>0</v>
      </c>
      <c r="FU22" s="22">
        <f t="shared" ref="FU22:FU33" si="101">$IV$23*FT22</f>
        <v>0</v>
      </c>
      <c r="FV22" s="22">
        <f t="shared" ref="FV22" si="102">FQ22+FS22+FU22</f>
        <v>4.625</v>
      </c>
      <c r="FW22" s="23">
        <f t="shared" ref="FW22:FW33" si="103">FN$20-FQ22-FS22-FU22</f>
        <v>73.375</v>
      </c>
      <c r="FX22" s="20">
        <f>($IR22+(($IQ22-1)*$IS22)+$IT22)*GG22/144</f>
        <v>1.4811154513888889</v>
      </c>
      <c r="FY22" s="21" t="str">
        <f t="shared" ref="FY22" si="104">"("&amp;FIXED(FX22*0.092903,2)&amp;")"</f>
        <v>(0.14)</v>
      </c>
      <c r="FZ22" s="22">
        <v>2</v>
      </c>
      <c r="GA22" s="22">
        <f t="shared" ref="GA22:GA33" si="105">$IU$23*FZ22</f>
        <v>3.5</v>
      </c>
      <c r="GB22" s="22">
        <v>1</v>
      </c>
      <c r="GC22" s="22">
        <f t="shared" ref="GC22:GC33" si="106">$IW$23*GB22</f>
        <v>1.125</v>
      </c>
      <c r="GD22" s="22">
        <v>0</v>
      </c>
      <c r="GE22" s="22">
        <f t="shared" ref="GE22:GE33" si="107">$IV$23*GD22</f>
        <v>0</v>
      </c>
      <c r="GF22" s="22">
        <f t="shared" ref="GF22" si="108">GA22+GC22+GE22</f>
        <v>4.625</v>
      </c>
      <c r="GG22" s="23">
        <f t="shared" ref="GG22:GG33" si="109">FX$20-GA22-GC22-GE22</f>
        <v>79.375</v>
      </c>
      <c r="GH22" s="20">
        <f>($IR22+(($IQ22-1)*$IS22)+$IT22)*GQ22/144</f>
        <v>1.5930737847222221</v>
      </c>
      <c r="GI22" s="21" t="str">
        <f t="shared" ref="GI22" si="110">"("&amp;FIXED(GH22*0.092903,2)&amp;")"</f>
        <v>(0.15)</v>
      </c>
      <c r="GJ22" s="22">
        <v>2</v>
      </c>
      <c r="GK22" s="22">
        <f t="shared" ref="GK22:GK33" si="111">$IU$23*GJ22</f>
        <v>3.5</v>
      </c>
      <c r="GL22" s="22">
        <v>1</v>
      </c>
      <c r="GM22" s="22">
        <f t="shared" ref="GM22:GM33" si="112">$IW$23*GL22</f>
        <v>1.125</v>
      </c>
      <c r="GN22" s="22">
        <v>0</v>
      </c>
      <c r="GO22" s="22">
        <f t="shared" ref="GO22:GO33" si="113">$IV$23*GN22</f>
        <v>0</v>
      </c>
      <c r="GP22" s="22">
        <f t="shared" ref="GP22" si="114">GK22+GM22+GO22</f>
        <v>4.625</v>
      </c>
      <c r="GQ22" s="23">
        <f t="shared" ref="GQ22:GQ33" si="115">GH$20-GK22-GM22-GO22</f>
        <v>85.375</v>
      </c>
      <c r="GR22" s="20">
        <f>($IR22+(($IQ22-1)*$IS22)+$IT22)*HA22/144</f>
        <v>1.7050321180555554</v>
      </c>
      <c r="GS22" s="21" t="str">
        <f t="shared" ref="GS22" si="116">"("&amp;FIXED(GR22*0.092903,2)&amp;")"</f>
        <v>(0.16)</v>
      </c>
      <c r="GT22" s="22">
        <v>2</v>
      </c>
      <c r="GU22" s="22">
        <f t="shared" ref="GU22:GU33" si="117">$IU$23*GT22</f>
        <v>3.5</v>
      </c>
      <c r="GV22" s="22">
        <v>1</v>
      </c>
      <c r="GW22" s="22">
        <f t="shared" ref="GW22:GW33" si="118">$IW$23*GV22</f>
        <v>1.125</v>
      </c>
      <c r="GX22" s="22">
        <v>0</v>
      </c>
      <c r="GY22" s="22">
        <f t="shared" ref="GY22:GY33" si="119">$IV$23*GX22</f>
        <v>0</v>
      </c>
      <c r="GZ22" s="22">
        <f t="shared" ref="GZ22" si="120">GU22+GW22+GY22</f>
        <v>4.625</v>
      </c>
      <c r="HA22" s="23">
        <f t="shared" ref="HA22:HA33" si="121">GR$20-GU22-GW22-GY22</f>
        <v>91.375</v>
      </c>
      <c r="HB22" s="20">
        <f>($IR22+(($IQ22-1)*$IS22)+$IT22)*HK22/144</f>
        <v>1.8169904513888886</v>
      </c>
      <c r="HC22" s="21" t="str">
        <f t="shared" ref="HC22" si="122">"("&amp;FIXED(HB22*0.092903,2)&amp;")"</f>
        <v>(0.17)</v>
      </c>
      <c r="HD22" s="22">
        <v>2</v>
      </c>
      <c r="HE22" s="22">
        <f t="shared" ref="HE22:HE33" si="123">$IU$23*HD22</f>
        <v>3.5</v>
      </c>
      <c r="HF22" s="22">
        <v>1</v>
      </c>
      <c r="HG22" s="22">
        <f t="shared" ref="HG22:HG33" si="124">$IW$23*HF22</f>
        <v>1.125</v>
      </c>
      <c r="HH22" s="22">
        <v>0</v>
      </c>
      <c r="HI22" s="22">
        <f t="shared" ref="HI22:HI33" si="125">$IV$23*HH22</f>
        <v>0</v>
      </c>
      <c r="HJ22" s="22">
        <f t="shared" ref="HJ22" si="126">HE22+HG22+HI22</f>
        <v>4.625</v>
      </c>
      <c r="HK22" s="23">
        <f t="shared" ref="HK22:HK33" si="127">HB$20-HE22-HG22-HI22</f>
        <v>97.375</v>
      </c>
      <c r="HL22" s="20">
        <f>($IR22+(($IQ22-1)*$IS22)+$IT22)*HU22/144</f>
        <v>1.8916293402777775</v>
      </c>
      <c r="HM22" s="21" t="str">
        <f t="shared" ref="HM22" si="128">"("&amp;FIXED(HL22*0.092903,2)&amp;")"</f>
        <v>(0.18)</v>
      </c>
      <c r="HN22" s="22">
        <v>2</v>
      </c>
      <c r="HO22" s="22">
        <f t="shared" ref="HO22:HO33" si="129">$IU$23*HN22</f>
        <v>3.5</v>
      </c>
      <c r="HP22" s="22">
        <v>1</v>
      </c>
      <c r="HQ22" s="22">
        <f t="shared" ref="HQ22:HQ33" si="130">$IW$23*HP22</f>
        <v>1.125</v>
      </c>
      <c r="HR22" s="22">
        <v>2</v>
      </c>
      <c r="HS22" s="22">
        <f t="shared" ref="HS22:HS33" si="131">$IV$23*HR22</f>
        <v>2</v>
      </c>
      <c r="HT22" s="22">
        <f t="shared" ref="HT22" si="132">HO22+HQ22+HS22</f>
        <v>6.625</v>
      </c>
      <c r="HU22" s="23">
        <f t="shared" ref="HU22:HU33" si="133">HL$20-HO22-HQ22-HS22</f>
        <v>101.375</v>
      </c>
      <c r="HV22" s="20">
        <f>($IR22+(($IQ22-1)*$IS22)+$IT22)*IE22/144</f>
        <v>2.0035876736111109</v>
      </c>
      <c r="HW22" s="21" t="str">
        <f t="shared" ref="HW22" si="134">"("&amp;FIXED(HV22*0.092903,2)&amp;")"</f>
        <v>(0.19)</v>
      </c>
      <c r="HX22" s="22">
        <v>2</v>
      </c>
      <c r="HY22" s="22">
        <f t="shared" ref="HY22:HY33" si="135">$IU$23*HX22</f>
        <v>3.5</v>
      </c>
      <c r="HZ22" s="22">
        <v>1</v>
      </c>
      <c r="IA22" s="22">
        <f t="shared" ref="IA22:IA33" si="136">$IW$23*HZ22</f>
        <v>1.125</v>
      </c>
      <c r="IB22" s="22">
        <v>2</v>
      </c>
      <c r="IC22" s="22">
        <f t="shared" ref="IC22:IC33" si="137">$IV$23*IB22</f>
        <v>2</v>
      </c>
      <c r="ID22" s="22">
        <f t="shared" ref="ID22" si="138">HY22+IA22+IC22</f>
        <v>6.625</v>
      </c>
      <c r="IE22" s="23">
        <f t="shared" ref="IE22:IE33" si="139">HV$20-HY22-IA22-IC22</f>
        <v>107.375</v>
      </c>
      <c r="IF22" s="20">
        <f>($IR22+(($IQ22-1)*$IS22)+$IT22)*IO22/144</f>
        <v>2.1155460069444443</v>
      </c>
      <c r="IG22" s="21" t="str">
        <f t="shared" ref="IG22" si="140">"("&amp;FIXED(IF22*0.092903,2)&amp;")"</f>
        <v>(0.20)</v>
      </c>
      <c r="IH22" s="22">
        <v>2</v>
      </c>
      <c r="II22" s="22">
        <f t="shared" ref="II22:II33" si="141">$IU$23*IH22</f>
        <v>3.5</v>
      </c>
      <c r="IJ22" s="22">
        <v>1</v>
      </c>
      <c r="IK22" s="22">
        <f t="shared" ref="IK22:IK33" si="142">$IW$23*IJ22</f>
        <v>1.125</v>
      </c>
      <c r="IL22" s="22">
        <v>2</v>
      </c>
      <c r="IM22" s="22">
        <f t="shared" ref="IM22:IM33" si="143">$IV$23*IL22</f>
        <v>2</v>
      </c>
      <c r="IN22" s="22">
        <f t="shared" ref="IN22" si="144">II22+IK22+IM22</f>
        <v>6.625</v>
      </c>
      <c r="IO22" s="23">
        <f t="shared" ref="IO22:IO33" si="145">IF$20-II22-IK22-IM22</f>
        <v>113.375</v>
      </c>
      <c r="IP22" s="15"/>
      <c r="IQ22" s="25">
        <v>1</v>
      </c>
      <c r="IR22" s="26">
        <v>2.5</v>
      </c>
      <c r="IS22" s="26">
        <v>2.8780000000000001</v>
      </c>
      <c r="IT22" s="26">
        <v>0.187</v>
      </c>
      <c r="IU22" s="26">
        <v>1.75</v>
      </c>
      <c r="IV22" s="26">
        <v>1</v>
      </c>
      <c r="IW22" s="26">
        <v>1.125</v>
      </c>
      <c r="IX22" s="8"/>
    </row>
    <row r="23" spans="2:258" ht="15.75" thickBot="1" x14ac:dyDescent="0.3">
      <c r="B23" s="103">
        <f t="shared" si="25"/>
        <v>30</v>
      </c>
      <c r="C23" s="221">
        <v>6</v>
      </c>
      <c r="D23" s="98">
        <f t="shared" si="1"/>
        <v>0.286712962962963</v>
      </c>
      <c r="E23" s="96">
        <f t="shared" si="2"/>
        <v>0.33232638888888888</v>
      </c>
      <c r="F23" s="96">
        <f t="shared" si="3"/>
        <v>0.37793981481481487</v>
      </c>
      <c r="G23" s="96">
        <f t="shared" si="4"/>
        <v>0.40074652777777786</v>
      </c>
      <c r="H23" s="96">
        <f t="shared" si="5"/>
        <v>0.41443055555555558</v>
      </c>
      <c r="I23" s="96">
        <f t="shared" si="6"/>
        <v>0.4235532407407408</v>
      </c>
      <c r="J23" s="96">
        <f t="shared" si="7"/>
        <v>0.43006944444444445</v>
      </c>
      <c r="K23" s="96">
        <f t="shared" si="8"/>
        <v>0.4349565972222223</v>
      </c>
      <c r="L23" s="96">
        <f t="shared" si="9"/>
        <v>0.4300694444444445</v>
      </c>
      <c r="M23" s="96">
        <f t="shared" si="10"/>
        <v>0.43397916666666669</v>
      </c>
      <c r="N23" s="96">
        <f t="shared" si="11"/>
        <v>0.43717803030303032</v>
      </c>
      <c r="O23" s="96">
        <f t="shared" si="12"/>
        <v>0.43902922453703702</v>
      </c>
      <c r="P23" s="96">
        <f t="shared" si="13"/>
        <v>0.44134748931623941</v>
      </c>
      <c r="Q23" s="96">
        <f t="shared" si="14"/>
        <v>0.44333457341269844</v>
      </c>
      <c r="R23" s="96">
        <f t="shared" si="15"/>
        <v>0.44505671296296301</v>
      </c>
      <c r="S23" s="96">
        <f t="shared" si="16"/>
        <v>0.44656358506944444</v>
      </c>
      <c r="T23" s="96">
        <f t="shared" si="17"/>
        <v>0.44789317810457524</v>
      </c>
      <c r="U23" s="96">
        <f t="shared" si="18"/>
        <v>0.44038676697530865</v>
      </c>
      <c r="V23" s="96">
        <f t="shared" si="19"/>
        <v>0.44190149853801175</v>
      </c>
      <c r="W23" s="96">
        <f t="shared" si="20"/>
        <v>0.44326475694444445</v>
      </c>
      <c r="X23" s="96"/>
      <c r="Y23" s="65"/>
      <c r="AA23" s="83"/>
      <c r="AT23" s="235"/>
      <c r="AU23" s="27">
        <v>12</v>
      </c>
      <c r="AV23" s="28" t="str">
        <f>"("&amp;ROUND(AU23*25.4/50,0)*50&amp;")"</f>
        <v>(300)</v>
      </c>
      <c r="AW23" s="236">
        <v>8</v>
      </c>
      <c r="AX23" s="193">
        <f>($IR23+(($IQ23-1)*$IS23)+$IT23)*BG23/144</f>
        <v>0.16454166666666667</v>
      </c>
      <c r="AY23" s="29" t="str">
        <f>"("&amp;FIXED(AX23*0.092903,2)&amp;")"</f>
        <v>(0.02)</v>
      </c>
      <c r="AZ23" s="30">
        <v>2</v>
      </c>
      <c r="BA23" s="30">
        <f t="shared" si="27"/>
        <v>3.5</v>
      </c>
      <c r="BB23" s="30">
        <v>0</v>
      </c>
      <c r="BC23" s="30">
        <f t="shared" si="28"/>
        <v>0</v>
      </c>
      <c r="BD23" s="30">
        <v>0</v>
      </c>
      <c r="BE23" s="30">
        <f t="shared" si="29"/>
        <v>0</v>
      </c>
      <c r="BF23" s="30">
        <f>BA23+BC23+BE23</f>
        <v>3.5</v>
      </c>
      <c r="BG23" s="194">
        <f t="shared" si="31"/>
        <v>5.5</v>
      </c>
      <c r="BH23" s="373">
        <f>($IR23+(($IQ23-1)*$IS23)+$IT23)*BQ23/144</f>
        <v>0.25429166666666664</v>
      </c>
      <c r="BI23" s="374" t="str">
        <f>"("&amp;FIXED(BH23*0.092903,2)&amp;")"</f>
        <v>(0.02)</v>
      </c>
      <c r="BJ23" s="375">
        <v>2</v>
      </c>
      <c r="BK23" s="375">
        <f t="shared" si="33"/>
        <v>3.5</v>
      </c>
      <c r="BL23" s="375">
        <v>0</v>
      </c>
      <c r="BM23" s="375">
        <f t="shared" si="34"/>
        <v>0</v>
      </c>
      <c r="BN23" s="375">
        <v>0</v>
      </c>
      <c r="BO23" s="375">
        <f t="shared" si="35"/>
        <v>0</v>
      </c>
      <c r="BP23" s="375">
        <f>BK23+BM23+BO23</f>
        <v>3.5</v>
      </c>
      <c r="BQ23" s="376">
        <f t="shared" si="37"/>
        <v>8.5</v>
      </c>
      <c r="BR23" s="373">
        <f>($IR23+(($IQ23-1)*$IS23)+$IT23)*CA23/144</f>
        <v>0.43379166666666663</v>
      </c>
      <c r="BS23" s="374" t="str">
        <f t="shared" si="38"/>
        <v>(0.04)</v>
      </c>
      <c r="BT23" s="375">
        <v>2</v>
      </c>
      <c r="BU23" s="375">
        <f t="shared" si="39"/>
        <v>3.5</v>
      </c>
      <c r="BV23" s="375">
        <v>0</v>
      </c>
      <c r="BW23" s="375">
        <f t="shared" si="40"/>
        <v>0</v>
      </c>
      <c r="BX23" s="375">
        <v>0</v>
      </c>
      <c r="BY23" s="375">
        <f t="shared" si="41"/>
        <v>0</v>
      </c>
      <c r="BZ23" s="375">
        <f>BU23+BW23+BY23</f>
        <v>3.5</v>
      </c>
      <c r="CA23" s="376">
        <f t="shared" si="43"/>
        <v>14.5</v>
      </c>
      <c r="CB23" s="373">
        <f>($IR23+(($IQ23-1)*$IS23)+$IT23)*CK23/144</f>
        <v>0.61329166666666657</v>
      </c>
      <c r="CC23" s="374" t="str">
        <f t="shared" si="44"/>
        <v>(0.06)</v>
      </c>
      <c r="CD23" s="375">
        <v>2</v>
      </c>
      <c r="CE23" s="375">
        <f t="shared" si="45"/>
        <v>3.5</v>
      </c>
      <c r="CF23" s="375">
        <v>0</v>
      </c>
      <c r="CG23" s="375">
        <f t="shared" si="46"/>
        <v>0</v>
      </c>
      <c r="CH23" s="375">
        <v>0</v>
      </c>
      <c r="CI23" s="375">
        <f t="shared" si="47"/>
        <v>0</v>
      </c>
      <c r="CJ23" s="375">
        <f>CE23+CG23+CI23</f>
        <v>3.5</v>
      </c>
      <c r="CK23" s="376">
        <f t="shared" si="49"/>
        <v>20.5</v>
      </c>
      <c r="CL23" s="373">
        <f>($IR23+(($IQ23-1)*$IS23)+$IT23)*CU23/144</f>
        <v>0.79279166666666656</v>
      </c>
      <c r="CM23" s="374" t="str">
        <f t="shared" si="50"/>
        <v>(0.07)</v>
      </c>
      <c r="CN23" s="375">
        <v>2</v>
      </c>
      <c r="CO23" s="375">
        <f t="shared" si="51"/>
        <v>3.5</v>
      </c>
      <c r="CP23" s="375">
        <v>0</v>
      </c>
      <c r="CQ23" s="375">
        <f t="shared" si="52"/>
        <v>0</v>
      </c>
      <c r="CR23" s="375">
        <v>0</v>
      </c>
      <c r="CS23" s="375">
        <f t="shared" si="53"/>
        <v>0</v>
      </c>
      <c r="CT23" s="375">
        <f>CO23+CQ23+CS23</f>
        <v>3.5</v>
      </c>
      <c r="CU23" s="376">
        <f t="shared" si="55"/>
        <v>26.5</v>
      </c>
      <c r="CV23" s="373">
        <f>($IR23+(($IQ23-1)*$IS23)+$IT23)*DE23/144</f>
        <v>0.97229166666666655</v>
      </c>
      <c r="CW23" s="374" t="str">
        <f t="shared" si="56"/>
        <v>(0.09)</v>
      </c>
      <c r="CX23" s="375">
        <v>2</v>
      </c>
      <c r="CY23" s="375">
        <f t="shared" si="57"/>
        <v>3.5</v>
      </c>
      <c r="CZ23" s="375">
        <v>0</v>
      </c>
      <c r="DA23" s="375">
        <f t="shared" si="58"/>
        <v>0</v>
      </c>
      <c r="DB23" s="375">
        <v>0</v>
      </c>
      <c r="DC23" s="375">
        <f t="shared" si="59"/>
        <v>0</v>
      </c>
      <c r="DD23" s="375">
        <f>CY23+DA23+DC23</f>
        <v>3.5</v>
      </c>
      <c r="DE23" s="376">
        <f t="shared" si="61"/>
        <v>32.5</v>
      </c>
      <c r="DF23" s="373">
        <f>($IR23+(($IQ23-1)*$IS23)+$IT23)*DO23/144</f>
        <v>1.1517916666666668</v>
      </c>
      <c r="DG23" s="374" t="str">
        <f t="shared" si="62"/>
        <v>(0.11)</v>
      </c>
      <c r="DH23" s="375">
        <v>2</v>
      </c>
      <c r="DI23" s="375">
        <f t="shared" si="63"/>
        <v>3.5</v>
      </c>
      <c r="DJ23" s="375">
        <v>0</v>
      </c>
      <c r="DK23" s="375">
        <f t="shared" si="64"/>
        <v>0</v>
      </c>
      <c r="DL23" s="375">
        <v>0</v>
      </c>
      <c r="DM23" s="375">
        <f t="shared" si="65"/>
        <v>0</v>
      </c>
      <c r="DN23" s="375">
        <f>DI23+DK23+DM23</f>
        <v>3.5</v>
      </c>
      <c r="DO23" s="376">
        <f t="shared" si="67"/>
        <v>38.5</v>
      </c>
      <c r="DP23" s="373">
        <f>($IR23+(($IQ23-1)*$IS23)+$IT23)*DY23/144</f>
        <v>1.3312916666666665</v>
      </c>
      <c r="DQ23" s="374" t="str">
        <f t="shared" si="68"/>
        <v>(0.12)</v>
      </c>
      <c r="DR23" s="375">
        <v>2</v>
      </c>
      <c r="DS23" s="375">
        <f t="shared" si="69"/>
        <v>3.5</v>
      </c>
      <c r="DT23" s="375">
        <v>0</v>
      </c>
      <c r="DU23" s="375">
        <f t="shared" si="70"/>
        <v>0</v>
      </c>
      <c r="DV23" s="375">
        <v>0</v>
      </c>
      <c r="DW23" s="375">
        <f t="shared" si="71"/>
        <v>0</v>
      </c>
      <c r="DX23" s="375">
        <f>DS23+DU23+DW23</f>
        <v>3.5</v>
      </c>
      <c r="DY23" s="376">
        <f t="shared" si="73"/>
        <v>44.5</v>
      </c>
      <c r="DZ23" s="373">
        <f>($IR23+(($IQ23-1)*$IS23)+$IT23)*EI23/144</f>
        <v>1.4808749999999999</v>
      </c>
      <c r="EA23" s="374" t="str">
        <f>"("&amp;FIXED(DZ23*0.092903,2)&amp;")"</f>
        <v>(0.14)</v>
      </c>
      <c r="EB23" s="375">
        <v>2</v>
      </c>
      <c r="EC23" s="375">
        <f t="shared" si="75"/>
        <v>3.5</v>
      </c>
      <c r="ED23" s="375">
        <v>0</v>
      </c>
      <c r="EE23" s="375">
        <f t="shared" si="76"/>
        <v>0</v>
      </c>
      <c r="EF23" s="375">
        <v>1</v>
      </c>
      <c r="EG23" s="375">
        <f t="shared" si="77"/>
        <v>1</v>
      </c>
      <c r="EH23" s="375">
        <f>EC23+EE23+EG23</f>
        <v>4.5</v>
      </c>
      <c r="EI23" s="376">
        <f t="shared" si="79"/>
        <v>49.5</v>
      </c>
      <c r="EJ23" s="373">
        <f>($IR23+(($IQ23-1)*$IS23)+$IT23)*ES23/144</f>
        <v>1.6603749999999999</v>
      </c>
      <c r="EK23" s="374" t="str">
        <f>"("&amp;FIXED(EJ23*0.092903,2)&amp;")"</f>
        <v>(0.15)</v>
      </c>
      <c r="EL23" s="375">
        <v>2</v>
      </c>
      <c r="EM23" s="375">
        <f t="shared" si="81"/>
        <v>3.5</v>
      </c>
      <c r="EN23" s="375">
        <v>0</v>
      </c>
      <c r="EO23" s="375">
        <f t="shared" si="82"/>
        <v>0</v>
      </c>
      <c r="EP23" s="375">
        <v>1</v>
      </c>
      <c r="EQ23" s="375">
        <f t="shared" si="83"/>
        <v>1</v>
      </c>
      <c r="ER23" s="375">
        <f>EM23+EO23+EQ23</f>
        <v>4.5</v>
      </c>
      <c r="ES23" s="376">
        <f t="shared" si="85"/>
        <v>55.5</v>
      </c>
      <c r="ET23" s="373">
        <f>($IR23+(($IQ23-1)*$IS23)+$IT23)*FC23/144</f>
        <v>1.8398750000000001</v>
      </c>
      <c r="EU23" s="374" t="str">
        <f>"("&amp;FIXED(ET23*0.092903,2)&amp;")"</f>
        <v>(0.17)</v>
      </c>
      <c r="EV23" s="375">
        <v>2</v>
      </c>
      <c r="EW23" s="375">
        <f t="shared" si="87"/>
        <v>3.5</v>
      </c>
      <c r="EX23" s="375">
        <v>0</v>
      </c>
      <c r="EY23" s="375">
        <f t="shared" si="88"/>
        <v>0</v>
      </c>
      <c r="EZ23" s="375">
        <v>1</v>
      </c>
      <c r="FA23" s="375">
        <f t="shared" si="89"/>
        <v>1</v>
      </c>
      <c r="FB23" s="375">
        <f>EW23+EY23+FA23</f>
        <v>4.5</v>
      </c>
      <c r="FC23" s="376">
        <f t="shared" si="91"/>
        <v>61.5</v>
      </c>
      <c r="FD23" s="373">
        <f>($IR23+(($IQ23-1)*$IS23)+$IT23)*FM23/144</f>
        <v>2.0156354166666666</v>
      </c>
      <c r="FE23" s="374" t="str">
        <f>"("&amp;FIXED(FD23*0.092903,2)&amp;")"</f>
        <v>(0.19)</v>
      </c>
      <c r="FF23" s="375">
        <v>2</v>
      </c>
      <c r="FG23" s="375">
        <f t="shared" si="93"/>
        <v>3.5</v>
      </c>
      <c r="FH23" s="375">
        <v>1</v>
      </c>
      <c r="FI23" s="375">
        <f t="shared" si="94"/>
        <v>1.125</v>
      </c>
      <c r="FJ23" s="375">
        <v>0</v>
      </c>
      <c r="FK23" s="375">
        <f t="shared" si="95"/>
        <v>0</v>
      </c>
      <c r="FL23" s="375">
        <f>FG23+FI23+FK23</f>
        <v>4.625</v>
      </c>
      <c r="FM23" s="376">
        <f t="shared" si="97"/>
        <v>67.375</v>
      </c>
      <c r="FN23" s="373">
        <f>($IR23+(($IQ23-1)*$IS23)+$IT23)*FW23/144</f>
        <v>2.1951354166666666</v>
      </c>
      <c r="FO23" s="374" t="str">
        <f>"("&amp;FIXED(FN23*0.092903,2)&amp;")"</f>
        <v>(0.20)</v>
      </c>
      <c r="FP23" s="375">
        <v>2</v>
      </c>
      <c r="FQ23" s="375">
        <f t="shared" si="99"/>
        <v>3.5</v>
      </c>
      <c r="FR23" s="375">
        <v>1</v>
      </c>
      <c r="FS23" s="375">
        <f t="shared" si="100"/>
        <v>1.125</v>
      </c>
      <c r="FT23" s="375">
        <v>0</v>
      </c>
      <c r="FU23" s="375">
        <f t="shared" si="101"/>
        <v>0</v>
      </c>
      <c r="FV23" s="375">
        <f>FQ23+FS23+FU23</f>
        <v>4.625</v>
      </c>
      <c r="FW23" s="376">
        <f t="shared" si="103"/>
        <v>73.375</v>
      </c>
      <c r="FX23" s="373">
        <f>($IR23+(($IQ23-1)*$IS23)+$IT23)*GG23/144</f>
        <v>2.3746354166666666</v>
      </c>
      <c r="FY23" s="374" t="str">
        <f>"("&amp;FIXED(FX23*0.092903,2)&amp;")"</f>
        <v>(0.22)</v>
      </c>
      <c r="FZ23" s="375">
        <v>2</v>
      </c>
      <c r="GA23" s="375">
        <f t="shared" si="105"/>
        <v>3.5</v>
      </c>
      <c r="GB23" s="375">
        <v>1</v>
      </c>
      <c r="GC23" s="375">
        <f t="shared" si="106"/>
        <v>1.125</v>
      </c>
      <c r="GD23" s="375">
        <v>0</v>
      </c>
      <c r="GE23" s="375">
        <f t="shared" si="107"/>
        <v>0</v>
      </c>
      <c r="GF23" s="375">
        <f>GA23+GC23+GE23</f>
        <v>4.625</v>
      </c>
      <c r="GG23" s="376">
        <f t="shared" si="109"/>
        <v>79.375</v>
      </c>
      <c r="GH23" s="373">
        <f>($IR23+(($IQ23-1)*$IS23)+$IT23)*GQ23/144</f>
        <v>2.5541354166666665</v>
      </c>
      <c r="GI23" s="374" t="str">
        <f>"("&amp;FIXED(GH23*0.092903,2)&amp;")"</f>
        <v>(0.24)</v>
      </c>
      <c r="GJ23" s="375">
        <v>2</v>
      </c>
      <c r="GK23" s="375">
        <f t="shared" si="111"/>
        <v>3.5</v>
      </c>
      <c r="GL23" s="375">
        <v>1</v>
      </c>
      <c r="GM23" s="375">
        <f t="shared" si="112"/>
        <v>1.125</v>
      </c>
      <c r="GN23" s="375">
        <v>0</v>
      </c>
      <c r="GO23" s="375">
        <f t="shared" si="113"/>
        <v>0</v>
      </c>
      <c r="GP23" s="375">
        <f>GK23+GM23+GO23</f>
        <v>4.625</v>
      </c>
      <c r="GQ23" s="376">
        <f t="shared" si="115"/>
        <v>85.375</v>
      </c>
      <c r="GR23" s="373">
        <f>($IR23+(($IQ23-1)*$IS23)+$IT23)*HA23/144</f>
        <v>2.7336354166666665</v>
      </c>
      <c r="GS23" s="374" t="str">
        <f>"("&amp;FIXED(GR23*0.092903,2)&amp;")"</f>
        <v>(0.25)</v>
      </c>
      <c r="GT23" s="375">
        <v>2</v>
      </c>
      <c r="GU23" s="375">
        <f t="shared" si="117"/>
        <v>3.5</v>
      </c>
      <c r="GV23" s="375">
        <v>1</v>
      </c>
      <c r="GW23" s="375">
        <f t="shared" si="118"/>
        <v>1.125</v>
      </c>
      <c r="GX23" s="375">
        <v>0</v>
      </c>
      <c r="GY23" s="375">
        <f t="shared" si="119"/>
        <v>0</v>
      </c>
      <c r="GZ23" s="375">
        <f>GU23+GW23+GY23</f>
        <v>4.625</v>
      </c>
      <c r="HA23" s="376">
        <f t="shared" si="121"/>
        <v>91.375</v>
      </c>
      <c r="HB23" s="373">
        <f>($IR23+(($IQ23-1)*$IS23)+$IT23)*HK23/144</f>
        <v>2.9131354166666665</v>
      </c>
      <c r="HC23" s="374" t="str">
        <f>"("&amp;FIXED(HB23*0.092903,2)&amp;")"</f>
        <v>(0.27)</v>
      </c>
      <c r="HD23" s="375">
        <v>2</v>
      </c>
      <c r="HE23" s="375">
        <f t="shared" si="123"/>
        <v>3.5</v>
      </c>
      <c r="HF23" s="375">
        <v>1</v>
      </c>
      <c r="HG23" s="375">
        <f t="shared" si="124"/>
        <v>1.125</v>
      </c>
      <c r="HH23" s="375">
        <v>0</v>
      </c>
      <c r="HI23" s="375">
        <f t="shared" si="125"/>
        <v>0</v>
      </c>
      <c r="HJ23" s="375">
        <f>HE23+HG23+HI23</f>
        <v>4.625</v>
      </c>
      <c r="HK23" s="376">
        <f t="shared" si="127"/>
        <v>97.375</v>
      </c>
      <c r="HL23" s="373">
        <f>($IR23+(($IQ23-1)*$IS23)+$IT23)*HU23/144</f>
        <v>3.0328020833333333</v>
      </c>
      <c r="HM23" s="374" t="str">
        <f>"("&amp;FIXED(HL23*0.092903,2)&amp;")"</f>
        <v>(0.28)</v>
      </c>
      <c r="HN23" s="375">
        <v>2</v>
      </c>
      <c r="HO23" s="375">
        <f t="shared" si="129"/>
        <v>3.5</v>
      </c>
      <c r="HP23" s="375">
        <v>1</v>
      </c>
      <c r="HQ23" s="375">
        <f t="shared" si="130"/>
        <v>1.125</v>
      </c>
      <c r="HR23" s="375">
        <v>2</v>
      </c>
      <c r="HS23" s="375">
        <f t="shared" si="131"/>
        <v>2</v>
      </c>
      <c r="HT23" s="375">
        <f>HO23+HQ23+HS23</f>
        <v>6.625</v>
      </c>
      <c r="HU23" s="376">
        <f t="shared" si="133"/>
        <v>101.375</v>
      </c>
      <c r="HV23" s="373">
        <f>($IR23+(($IQ23-1)*$IS23)+$IT23)*IE23/144</f>
        <v>3.2123020833333329</v>
      </c>
      <c r="HW23" s="374" t="str">
        <f>"("&amp;FIXED(HV23*0.092903,2)&amp;")"</f>
        <v>(0.30)</v>
      </c>
      <c r="HX23" s="375">
        <v>2</v>
      </c>
      <c r="HY23" s="375">
        <f t="shared" si="135"/>
        <v>3.5</v>
      </c>
      <c r="HZ23" s="375">
        <v>1</v>
      </c>
      <c r="IA23" s="375">
        <f t="shared" si="136"/>
        <v>1.125</v>
      </c>
      <c r="IB23" s="375">
        <v>2</v>
      </c>
      <c r="IC23" s="375">
        <f t="shared" si="137"/>
        <v>2</v>
      </c>
      <c r="ID23" s="375">
        <f>HY23+IA23+IC23</f>
        <v>6.625</v>
      </c>
      <c r="IE23" s="376">
        <f t="shared" si="139"/>
        <v>107.375</v>
      </c>
      <c r="IF23" s="373">
        <f>($IR23+(($IQ23-1)*$IS23)+$IT23)*IO23/144</f>
        <v>3.3918020833333333</v>
      </c>
      <c r="IG23" s="374" t="str">
        <f>"("&amp;FIXED(IF23*0.092903,2)&amp;")"</f>
        <v>(0.32)</v>
      </c>
      <c r="IH23" s="22">
        <v>2</v>
      </c>
      <c r="II23" s="22">
        <f t="shared" si="141"/>
        <v>3.5</v>
      </c>
      <c r="IJ23" s="22">
        <v>1</v>
      </c>
      <c r="IK23" s="22">
        <f t="shared" si="142"/>
        <v>1.125</v>
      </c>
      <c r="IL23" s="22">
        <v>2</v>
      </c>
      <c r="IM23" s="22">
        <f t="shared" si="143"/>
        <v>2</v>
      </c>
      <c r="IN23" s="22">
        <f>II23+IK23+IM23</f>
        <v>6.625</v>
      </c>
      <c r="IO23" s="23">
        <f t="shared" si="145"/>
        <v>113.375</v>
      </c>
      <c r="IP23" s="24"/>
      <c r="IQ23" s="25">
        <f t="shared" ref="IQ23:IQ41" si="146">ROUNDDOWN(($AU23-5)/5,0)</f>
        <v>1</v>
      </c>
      <c r="IR23" s="26">
        <v>2.5</v>
      </c>
      <c r="IS23" s="26">
        <v>2.8780000000000001</v>
      </c>
      <c r="IT23" s="26">
        <v>1.8080000000000001</v>
      </c>
      <c r="IU23" s="26">
        <v>1.75</v>
      </c>
      <c r="IV23" s="26">
        <v>1</v>
      </c>
      <c r="IW23" s="26">
        <v>1.125</v>
      </c>
      <c r="IX23" s="8"/>
    </row>
    <row r="24" spans="2:258" ht="15.75" thickBot="1" x14ac:dyDescent="0.3">
      <c r="B24" s="103">
        <f t="shared" si="25"/>
        <v>36</v>
      </c>
      <c r="C24" s="226">
        <v>7</v>
      </c>
      <c r="D24" s="98">
        <f t="shared" si="1"/>
        <v>0.30171913580246917</v>
      </c>
      <c r="E24" s="96">
        <f t="shared" si="2"/>
        <v>0.34971990740740738</v>
      </c>
      <c r="F24" s="96">
        <f t="shared" si="3"/>
        <v>0.3977206790123457</v>
      </c>
      <c r="G24" s="96">
        <f t="shared" si="4"/>
        <v>0.42172106481481486</v>
      </c>
      <c r="H24" s="96">
        <f t="shared" si="5"/>
        <v>0.43612129629629631</v>
      </c>
      <c r="I24" s="96">
        <f t="shared" si="6"/>
        <v>0.44572145061728397</v>
      </c>
      <c r="J24" s="96">
        <f t="shared" si="7"/>
        <v>0.45257870370370368</v>
      </c>
      <c r="K24" s="96">
        <f t="shared" si="8"/>
        <v>0.45772164351851852</v>
      </c>
      <c r="L24" s="96">
        <f t="shared" si="9"/>
        <v>0.45257870370370373</v>
      </c>
      <c r="M24" s="96">
        <f t="shared" si="10"/>
        <v>0.45669305555555556</v>
      </c>
      <c r="N24" s="96">
        <f t="shared" si="11"/>
        <v>0.46005934343434346</v>
      </c>
      <c r="O24" s="96">
        <f t="shared" si="12"/>
        <v>0.46200742669753087</v>
      </c>
      <c r="P24" s="96">
        <f t="shared" si="13"/>
        <v>0.46444702635327634</v>
      </c>
      <c r="Q24" s="96">
        <f t="shared" si="14"/>
        <v>0.46653811177248677</v>
      </c>
      <c r="R24" s="96">
        <f t="shared" si="15"/>
        <v>0.46835038580246913</v>
      </c>
      <c r="S24" s="96">
        <f t="shared" si="16"/>
        <v>0.46993612557870373</v>
      </c>
      <c r="T24" s="96">
        <f t="shared" si="17"/>
        <v>0.47133530773420479</v>
      </c>
      <c r="U24" s="96">
        <f t="shared" si="18"/>
        <v>0.46343602109053494</v>
      </c>
      <c r="V24" s="96">
        <f t="shared" si="19"/>
        <v>0.46503003167641321</v>
      </c>
      <c r="W24" s="96">
        <f t="shared" si="20"/>
        <v>0.46646464120370368</v>
      </c>
      <c r="X24" s="96"/>
      <c r="Y24" s="65"/>
      <c r="AA24" s="83"/>
      <c r="AT24" s="235"/>
      <c r="AU24" s="27">
        <f>AU23+6</f>
        <v>18</v>
      </c>
      <c r="AV24" s="28" t="str">
        <f t="shared" ref="AV24:AV41" si="147">"("&amp;ROUND(AU24*25.4/50,0)*50&amp;")"</f>
        <v>(450)</v>
      </c>
      <c r="AW24" s="236">
        <f>AW23+1</f>
        <v>9</v>
      </c>
      <c r="AX24" s="193">
        <f>($IR24+(($IQ24-1)*$IS24)+$IT24)*BG24/144</f>
        <v>0.30574652777777778</v>
      </c>
      <c r="AY24" s="29" t="str">
        <f t="shared" ref="AY24:AY30" si="148">"("&amp;FIXED(AX24*0.092903,2)&amp;")"</f>
        <v>(0.03)</v>
      </c>
      <c r="AZ24" s="30">
        <v>2</v>
      </c>
      <c r="BA24" s="30">
        <f t="shared" si="27"/>
        <v>3.5</v>
      </c>
      <c r="BB24" s="30">
        <v>0</v>
      </c>
      <c r="BC24" s="30">
        <f t="shared" si="28"/>
        <v>0</v>
      </c>
      <c r="BD24" s="30">
        <v>0</v>
      </c>
      <c r="BE24" s="30">
        <f t="shared" si="29"/>
        <v>0</v>
      </c>
      <c r="BF24" s="30">
        <f t="shared" ref="BF24:BF41" si="149">BA24+BC24+BE24</f>
        <v>3.5</v>
      </c>
      <c r="BG24" s="194">
        <f t="shared" si="31"/>
        <v>5.5</v>
      </c>
      <c r="BH24" s="373">
        <f>($IR24+(($IQ24-1)*$IS24)+$IT24)*BQ24/144</f>
        <v>0.47251736111111103</v>
      </c>
      <c r="BI24" s="374" t="str">
        <f t="shared" ref="BI24:BI40" si="150">"("&amp;FIXED(BH24*0.092903,2)&amp;")"</f>
        <v>(0.04)</v>
      </c>
      <c r="BJ24" s="375">
        <v>2</v>
      </c>
      <c r="BK24" s="375">
        <f t="shared" si="33"/>
        <v>3.5</v>
      </c>
      <c r="BL24" s="375">
        <v>0</v>
      </c>
      <c r="BM24" s="375">
        <f t="shared" si="34"/>
        <v>0</v>
      </c>
      <c r="BN24" s="375">
        <v>0</v>
      </c>
      <c r="BO24" s="375">
        <f t="shared" si="35"/>
        <v>0</v>
      </c>
      <c r="BP24" s="375">
        <f t="shared" ref="BP24:BP41" si="151">BK24+BM24+BO24</f>
        <v>3.5</v>
      </c>
      <c r="BQ24" s="376">
        <f t="shared" si="37"/>
        <v>8.5</v>
      </c>
      <c r="BR24" s="373">
        <f>($IR24+(($IQ24-1)*$IS24)+$IT24)*CA24/144</f>
        <v>0.80605902777777771</v>
      </c>
      <c r="BS24" s="374" t="str">
        <f t="shared" si="38"/>
        <v>(0.07)</v>
      </c>
      <c r="BT24" s="375">
        <v>2</v>
      </c>
      <c r="BU24" s="375">
        <f t="shared" si="39"/>
        <v>3.5</v>
      </c>
      <c r="BV24" s="375">
        <v>0</v>
      </c>
      <c r="BW24" s="375">
        <f t="shared" si="40"/>
        <v>0</v>
      </c>
      <c r="BX24" s="375">
        <v>0</v>
      </c>
      <c r="BY24" s="375">
        <f t="shared" si="41"/>
        <v>0</v>
      </c>
      <c r="BZ24" s="375">
        <f t="shared" ref="BZ24:BZ41" si="152">BU24+BW24+BY24</f>
        <v>3.5</v>
      </c>
      <c r="CA24" s="376">
        <f t="shared" si="43"/>
        <v>14.5</v>
      </c>
      <c r="CB24" s="373">
        <f>($IR24+(($IQ24-1)*$IS24)+$IT24)*CK24/144</f>
        <v>1.1396006944444443</v>
      </c>
      <c r="CC24" s="374" t="str">
        <f t="shared" si="44"/>
        <v>(0.11)</v>
      </c>
      <c r="CD24" s="375">
        <v>2</v>
      </c>
      <c r="CE24" s="375">
        <f t="shared" si="45"/>
        <v>3.5</v>
      </c>
      <c r="CF24" s="375">
        <v>0</v>
      </c>
      <c r="CG24" s="375">
        <f t="shared" si="46"/>
        <v>0</v>
      </c>
      <c r="CH24" s="375">
        <v>0</v>
      </c>
      <c r="CI24" s="375">
        <f t="shared" si="47"/>
        <v>0</v>
      </c>
      <c r="CJ24" s="375">
        <f t="shared" ref="CJ24:CJ41" si="153">CE24+CG24+CI24</f>
        <v>3.5</v>
      </c>
      <c r="CK24" s="376">
        <f t="shared" si="49"/>
        <v>20.5</v>
      </c>
      <c r="CL24" s="373">
        <f>($IR24+(($IQ24-1)*$IS24)+$IT24)*CU24/144</f>
        <v>1.473142361111111</v>
      </c>
      <c r="CM24" s="374" t="str">
        <f t="shared" si="50"/>
        <v>(0.14)</v>
      </c>
      <c r="CN24" s="375">
        <v>2</v>
      </c>
      <c r="CO24" s="375">
        <f t="shared" si="51"/>
        <v>3.5</v>
      </c>
      <c r="CP24" s="375">
        <v>0</v>
      </c>
      <c r="CQ24" s="375">
        <f t="shared" si="52"/>
        <v>0</v>
      </c>
      <c r="CR24" s="375">
        <v>0</v>
      </c>
      <c r="CS24" s="375">
        <f t="shared" si="53"/>
        <v>0</v>
      </c>
      <c r="CT24" s="375">
        <f t="shared" ref="CT24:CT41" si="154">CO24+CQ24+CS24</f>
        <v>3.5</v>
      </c>
      <c r="CU24" s="376">
        <f t="shared" si="55"/>
        <v>26.5</v>
      </c>
      <c r="CV24" s="373">
        <f>($IR24+(($IQ24-1)*$IS24)+$IT24)*DE24/144</f>
        <v>1.8066840277777776</v>
      </c>
      <c r="CW24" s="374" t="str">
        <f t="shared" si="56"/>
        <v>(0.17)</v>
      </c>
      <c r="CX24" s="375">
        <v>2</v>
      </c>
      <c r="CY24" s="375">
        <f t="shared" si="57"/>
        <v>3.5</v>
      </c>
      <c r="CZ24" s="375">
        <v>0</v>
      </c>
      <c r="DA24" s="375">
        <f t="shared" si="58"/>
        <v>0</v>
      </c>
      <c r="DB24" s="375">
        <v>0</v>
      </c>
      <c r="DC24" s="375">
        <f t="shared" si="59"/>
        <v>0</v>
      </c>
      <c r="DD24" s="375">
        <f t="shared" ref="DD24:DD41" si="155">CY24+DA24+DC24</f>
        <v>3.5</v>
      </c>
      <c r="DE24" s="376">
        <f t="shared" si="61"/>
        <v>32.5</v>
      </c>
      <c r="DF24" s="373">
        <f>($IR24+(($IQ24-1)*$IS24)+$IT24)*DO24/144</f>
        <v>2.1402256944444442</v>
      </c>
      <c r="DG24" s="374" t="str">
        <f t="shared" si="62"/>
        <v>(0.2)</v>
      </c>
      <c r="DH24" s="375">
        <v>2</v>
      </c>
      <c r="DI24" s="375">
        <f t="shared" si="63"/>
        <v>3.5</v>
      </c>
      <c r="DJ24" s="375">
        <v>0</v>
      </c>
      <c r="DK24" s="375">
        <f t="shared" si="64"/>
        <v>0</v>
      </c>
      <c r="DL24" s="375">
        <v>0</v>
      </c>
      <c r="DM24" s="375">
        <f t="shared" si="65"/>
        <v>0</v>
      </c>
      <c r="DN24" s="375">
        <f t="shared" ref="DN24:DN41" si="156">DI24+DK24+DM24</f>
        <v>3.5</v>
      </c>
      <c r="DO24" s="376">
        <f t="shared" si="67"/>
        <v>38.5</v>
      </c>
      <c r="DP24" s="373">
        <f>($IR24+(($IQ24-1)*$IS24)+$IT24)*DY24/144</f>
        <v>2.4737673611111108</v>
      </c>
      <c r="DQ24" s="374" t="str">
        <f t="shared" si="68"/>
        <v>(0.23)</v>
      </c>
      <c r="DR24" s="375">
        <v>2</v>
      </c>
      <c r="DS24" s="375">
        <f t="shared" si="69"/>
        <v>3.5</v>
      </c>
      <c r="DT24" s="375">
        <v>0</v>
      </c>
      <c r="DU24" s="375">
        <f t="shared" si="70"/>
        <v>0</v>
      </c>
      <c r="DV24" s="375">
        <v>0</v>
      </c>
      <c r="DW24" s="375">
        <f t="shared" si="71"/>
        <v>0</v>
      </c>
      <c r="DX24" s="375">
        <f t="shared" ref="DX24:DX41" si="157">DS24+DU24+DW24</f>
        <v>3.5</v>
      </c>
      <c r="DY24" s="376">
        <f t="shared" si="73"/>
        <v>44.5</v>
      </c>
      <c r="DZ24" s="373">
        <f>($IR24+(($IQ24-1)*$IS24)+$IT24)*EI24/144</f>
        <v>2.7517187499999998</v>
      </c>
      <c r="EA24" s="374" t="str">
        <f t="shared" ref="EA24:EA40" si="158">"("&amp;FIXED(DZ24*0.092903,2)&amp;")"</f>
        <v>(0.26)</v>
      </c>
      <c r="EB24" s="375">
        <v>2</v>
      </c>
      <c r="EC24" s="375">
        <f t="shared" si="75"/>
        <v>3.5</v>
      </c>
      <c r="ED24" s="375">
        <v>0</v>
      </c>
      <c r="EE24" s="375">
        <f t="shared" si="76"/>
        <v>0</v>
      </c>
      <c r="EF24" s="375">
        <v>1</v>
      </c>
      <c r="EG24" s="375">
        <f t="shared" si="77"/>
        <v>1</v>
      </c>
      <c r="EH24" s="375">
        <f t="shared" ref="EH24:EH41" si="159">EC24+EE24+EG24</f>
        <v>4.5</v>
      </c>
      <c r="EI24" s="376">
        <f t="shared" si="79"/>
        <v>49.5</v>
      </c>
      <c r="EJ24" s="373">
        <f>($IR24+(($IQ24-1)*$IS24)+$IT24)*ES24/144</f>
        <v>3.085260416666666</v>
      </c>
      <c r="EK24" s="374" t="str">
        <f t="shared" ref="EK24:EK30" si="160">"("&amp;FIXED(EJ24*0.092903,2)&amp;")"</f>
        <v>(0.29)</v>
      </c>
      <c r="EL24" s="375">
        <v>2</v>
      </c>
      <c r="EM24" s="375">
        <f t="shared" si="81"/>
        <v>3.5</v>
      </c>
      <c r="EN24" s="375">
        <v>0</v>
      </c>
      <c r="EO24" s="375">
        <f t="shared" si="82"/>
        <v>0</v>
      </c>
      <c r="EP24" s="375">
        <v>1</v>
      </c>
      <c r="EQ24" s="375">
        <f t="shared" si="83"/>
        <v>1</v>
      </c>
      <c r="ER24" s="375">
        <f t="shared" ref="ER24:ER41" si="161">EM24+EO24+EQ24</f>
        <v>4.5</v>
      </c>
      <c r="ES24" s="376">
        <f t="shared" si="85"/>
        <v>55.5</v>
      </c>
      <c r="ET24" s="373">
        <f>($IR24+(($IQ24-1)*$IS24)+$IT24)*FC24/144</f>
        <v>3.418802083333333</v>
      </c>
      <c r="EU24" s="374" t="str">
        <f t="shared" ref="EU24:EU30" si="162">"("&amp;FIXED(ET24*0.092903,2)&amp;")"</f>
        <v>(0.32)</v>
      </c>
      <c r="EV24" s="375">
        <v>2</v>
      </c>
      <c r="EW24" s="375">
        <f t="shared" si="87"/>
        <v>3.5</v>
      </c>
      <c r="EX24" s="375">
        <v>0</v>
      </c>
      <c r="EY24" s="375">
        <f t="shared" si="88"/>
        <v>0</v>
      </c>
      <c r="EZ24" s="375">
        <v>1</v>
      </c>
      <c r="FA24" s="375">
        <f t="shared" si="89"/>
        <v>1</v>
      </c>
      <c r="FB24" s="375">
        <f t="shared" ref="FB24:FB41" si="163">EW24+EY24+FA24</f>
        <v>4.5</v>
      </c>
      <c r="FC24" s="376">
        <f t="shared" si="91"/>
        <v>61.5</v>
      </c>
      <c r="FD24" s="373">
        <f>($IR24+(($IQ24-1)*$IS24)+$IT24)*FM24/144</f>
        <v>3.7453949652777774</v>
      </c>
      <c r="FE24" s="374" t="str">
        <f t="shared" ref="FE24:FO40" si="164">"("&amp;FIXED(FD24*0.092903,2)&amp;")"</f>
        <v>(0.35)</v>
      </c>
      <c r="FF24" s="375">
        <v>2</v>
      </c>
      <c r="FG24" s="375">
        <f t="shared" si="93"/>
        <v>3.5</v>
      </c>
      <c r="FH24" s="375">
        <v>1</v>
      </c>
      <c r="FI24" s="375">
        <f t="shared" si="94"/>
        <v>1.125</v>
      </c>
      <c r="FJ24" s="375">
        <v>0</v>
      </c>
      <c r="FK24" s="375">
        <f t="shared" si="95"/>
        <v>0</v>
      </c>
      <c r="FL24" s="375">
        <f t="shared" ref="FL24:FL41" si="165">FG24+FI24+FK24</f>
        <v>4.625</v>
      </c>
      <c r="FM24" s="376">
        <f t="shared" si="97"/>
        <v>67.375</v>
      </c>
      <c r="FN24" s="373">
        <f>($IR24+(($IQ24-1)*$IS24)+$IT24)*FW24/144</f>
        <v>4.078936631944444</v>
      </c>
      <c r="FO24" s="374" t="str">
        <f t="shared" si="164"/>
        <v>(0.38)</v>
      </c>
      <c r="FP24" s="375">
        <v>2</v>
      </c>
      <c r="FQ24" s="375">
        <f t="shared" si="99"/>
        <v>3.5</v>
      </c>
      <c r="FR24" s="375">
        <v>1</v>
      </c>
      <c r="FS24" s="375">
        <f t="shared" si="100"/>
        <v>1.125</v>
      </c>
      <c r="FT24" s="375">
        <v>0</v>
      </c>
      <c r="FU24" s="375">
        <f t="shared" si="101"/>
        <v>0</v>
      </c>
      <c r="FV24" s="375">
        <f t="shared" ref="FV24:FV33" si="166">FQ24+FS24+FU24</f>
        <v>4.625</v>
      </c>
      <c r="FW24" s="376">
        <f t="shared" si="103"/>
        <v>73.375</v>
      </c>
      <c r="FX24" s="373">
        <f>($IR24+(($IQ24-1)*$IS24)+$IT24)*GG24/144</f>
        <v>4.4124782986111102</v>
      </c>
      <c r="FY24" s="374" t="str">
        <f t="shared" ref="FY24:FY30" si="167">"("&amp;FIXED(FX24*0.092903,2)&amp;")"</f>
        <v>(0.41)</v>
      </c>
      <c r="FZ24" s="375">
        <v>2</v>
      </c>
      <c r="GA24" s="375">
        <f t="shared" si="105"/>
        <v>3.5</v>
      </c>
      <c r="GB24" s="375">
        <v>1</v>
      </c>
      <c r="GC24" s="375">
        <f t="shared" si="106"/>
        <v>1.125</v>
      </c>
      <c r="GD24" s="375">
        <v>0</v>
      </c>
      <c r="GE24" s="375">
        <f t="shared" si="107"/>
        <v>0</v>
      </c>
      <c r="GF24" s="375">
        <f t="shared" ref="GF24:GF33" si="168">GA24+GC24+GE24</f>
        <v>4.625</v>
      </c>
      <c r="GG24" s="376">
        <f t="shared" si="109"/>
        <v>79.375</v>
      </c>
      <c r="GH24" s="373">
        <f>($IR24+(($IQ24-1)*$IS24)+$IT24)*GQ24/144</f>
        <v>4.7460199652777773</v>
      </c>
      <c r="GI24" s="374" t="str">
        <f t="shared" ref="GI24:GI30" si="169">"("&amp;FIXED(GH24*0.092903,2)&amp;")"</f>
        <v>(0.44)</v>
      </c>
      <c r="GJ24" s="375">
        <v>2</v>
      </c>
      <c r="GK24" s="375">
        <f t="shared" si="111"/>
        <v>3.5</v>
      </c>
      <c r="GL24" s="375">
        <v>1</v>
      </c>
      <c r="GM24" s="375">
        <f t="shared" si="112"/>
        <v>1.125</v>
      </c>
      <c r="GN24" s="375">
        <v>0</v>
      </c>
      <c r="GO24" s="375">
        <f t="shared" si="113"/>
        <v>0</v>
      </c>
      <c r="GP24" s="375">
        <f t="shared" ref="GP24:GP33" si="170">GK24+GM24+GO24</f>
        <v>4.625</v>
      </c>
      <c r="GQ24" s="376">
        <f t="shared" si="115"/>
        <v>85.375</v>
      </c>
      <c r="GR24" s="373">
        <f>($IR24+(($IQ24-1)*$IS24)+$IT24)*HA24/144</f>
        <v>5.0795616319444434</v>
      </c>
      <c r="GS24" s="374" t="str">
        <f t="shared" ref="GS24:GS30" si="171">"("&amp;FIXED(GR24*0.092903,2)&amp;")"</f>
        <v>(0.47)</v>
      </c>
      <c r="GT24" s="375">
        <v>2</v>
      </c>
      <c r="GU24" s="375">
        <f t="shared" si="117"/>
        <v>3.5</v>
      </c>
      <c r="GV24" s="375">
        <v>1</v>
      </c>
      <c r="GW24" s="375">
        <f t="shared" si="118"/>
        <v>1.125</v>
      </c>
      <c r="GX24" s="375">
        <v>0</v>
      </c>
      <c r="GY24" s="375">
        <f t="shared" si="119"/>
        <v>0</v>
      </c>
      <c r="GZ24" s="375">
        <f t="shared" ref="GZ24:GZ33" si="172">GU24+GW24+GY24</f>
        <v>4.625</v>
      </c>
      <c r="HA24" s="376">
        <f t="shared" si="121"/>
        <v>91.375</v>
      </c>
      <c r="HB24" s="373">
        <f>($IR24+(($IQ24-1)*$IS24)+$IT24)*HK24/144</f>
        <v>5.4131032986111105</v>
      </c>
      <c r="HC24" s="374" t="str">
        <f t="shared" ref="HC24:HC30" si="173">"("&amp;FIXED(HB24*0.092903,2)&amp;")"</f>
        <v>(0.50)</v>
      </c>
      <c r="HD24" s="375">
        <v>2</v>
      </c>
      <c r="HE24" s="375">
        <f t="shared" si="123"/>
        <v>3.5</v>
      </c>
      <c r="HF24" s="375">
        <v>1</v>
      </c>
      <c r="HG24" s="375">
        <f t="shared" si="124"/>
        <v>1.125</v>
      </c>
      <c r="HH24" s="375">
        <v>0</v>
      </c>
      <c r="HI24" s="375">
        <f t="shared" si="125"/>
        <v>0</v>
      </c>
      <c r="HJ24" s="375">
        <f t="shared" ref="HJ24:HJ33" si="174">HE24+HG24+HI24</f>
        <v>4.625</v>
      </c>
      <c r="HK24" s="376">
        <f t="shared" si="127"/>
        <v>97.375</v>
      </c>
      <c r="HL24" s="373">
        <f>($IR24+(($IQ24-1)*$IS24)+$IT24)*HU24/144</f>
        <v>5.6354644097222213</v>
      </c>
      <c r="HM24" s="374" t="str">
        <f t="shared" ref="HM24:HM33" si="175">"("&amp;FIXED(HL24*0.092903,2)&amp;")"</f>
        <v>(0.52)</v>
      </c>
      <c r="HN24" s="375">
        <v>2</v>
      </c>
      <c r="HO24" s="375">
        <f t="shared" si="129"/>
        <v>3.5</v>
      </c>
      <c r="HP24" s="375">
        <v>1</v>
      </c>
      <c r="HQ24" s="375">
        <f t="shared" si="130"/>
        <v>1.125</v>
      </c>
      <c r="HR24" s="375">
        <v>2</v>
      </c>
      <c r="HS24" s="375">
        <f t="shared" si="131"/>
        <v>2</v>
      </c>
      <c r="HT24" s="375">
        <f t="shared" ref="HT24:HT33" si="176">HO24+HQ24+HS24</f>
        <v>6.625</v>
      </c>
      <c r="HU24" s="376">
        <f t="shared" si="133"/>
        <v>101.375</v>
      </c>
      <c r="HV24" s="373">
        <f>($IR24+(($IQ24-1)*$IS24)+$IT24)*IE24/144</f>
        <v>5.9690060763888884</v>
      </c>
      <c r="HW24" s="374" t="str">
        <f t="shared" ref="HW24:HW30" si="177">"("&amp;FIXED(HV24*0.092903,2)&amp;")"</f>
        <v>(0.55)</v>
      </c>
      <c r="HX24" s="375">
        <v>2</v>
      </c>
      <c r="HY24" s="375">
        <f t="shared" si="135"/>
        <v>3.5</v>
      </c>
      <c r="HZ24" s="375">
        <v>1</v>
      </c>
      <c r="IA24" s="375">
        <f t="shared" si="136"/>
        <v>1.125</v>
      </c>
      <c r="IB24" s="375">
        <v>2</v>
      </c>
      <c r="IC24" s="375">
        <f t="shared" si="137"/>
        <v>2</v>
      </c>
      <c r="ID24" s="375">
        <f t="shared" ref="ID24:ID33" si="178">HY24+IA24+IC24</f>
        <v>6.625</v>
      </c>
      <c r="IE24" s="376">
        <f t="shared" si="139"/>
        <v>107.375</v>
      </c>
      <c r="IF24" s="373">
        <f>($IR24+(($IQ24-1)*$IS24)+$IT24)*IO24/144</f>
        <v>6.3025477430555545</v>
      </c>
      <c r="IG24" s="374" t="str">
        <f t="shared" ref="IG24:IG30" si="179">"("&amp;FIXED(IF24*0.092903,2)&amp;")"</f>
        <v>(0.59)</v>
      </c>
      <c r="IH24" s="22">
        <v>2</v>
      </c>
      <c r="II24" s="22">
        <f t="shared" si="141"/>
        <v>3.5</v>
      </c>
      <c r="IJ24" s="22">
        <v>1</v>
      </c>
      <c r="IK24" s="22">
        <f t="shared" si="142"/>
        <v>1.125</v>
      </c>
      <c r="IL24" s="22">
        <v>2</v>
      </c>
      <c r="IM24" s="22">
        <f t="shared" si="143"/>
        <v>2</v>
      </c>
      <c r="IN24" s="22">
        <f t="shared" ref="IN24:IN33" si="180">II24+IK24+IM24</f>
        <v>6.625</v>
      </c>
      <c r="IO24" s="23">
        <f t="shared" si="145"/>
        <v>113.375</v>
      </c>
      <c r="IP24" s="24"/>
      <c r="IQ24" s="25">
        <f t="shared" si="146"/>
        <v>2</v>
      </c>
      <c r="IR24" s="26">
        <v>2.5</v>
      </c>
      <c r="IS24" s="26">
        <v>2.8780000000000001</v>
      </c>
      <c r="IT24" s="26">
        <v>2.6269999999999998</v>
      </c>
      <c r="IU24" s="26">
        <v>1.75</v>
      </c>
      <c r="IV24" s="26">
        <v>1</v>
      </c>
      <c r="IW24" s="26">
        <v>1.125</v>
      </c>
      <c r="IX24" s="8"/>
    </row>
    <row r="25" spans="2:258" ht="15.75" thickBot="1" x14ac:dyDescent="0.3">
      <c r="B25" s="103">
        <f t="shared" si="25"/>
        <v>42</v>
      </c>
      <c r="C25" s="221">
        <v>8</v>
      </c>
      <c r="D25" s="98">
        <f t="shared" si="1"/>
        <v>0.31393650793650796</v>
      </c>
      <c r="E25" s="96">
        <f t="shared" si="2"/>
        <v>0.36388095238095242</v>
      </c>
      <c r="F25" s="96">
        <f t="shared" si="3"/>
        <v>0.41382539682539693</v>
      </c>
      <c r="G25" s="96">
        <f t="shared" si="4"/>
        <v>0.43879761904761905</v>
      </c>
      <c r="H25" s="96">
        <f t="shared" si="5"/>
        <v>0.4537809523809524</v>
      </c>
      <c r="I25" s="96">
        <f t="shared" si="6"/>
        <v>0.46376984126984133</v>
      </c>
      <c r="J25" s="96">
        <f t="shared" si="7"/>
        <v>0.47090476190476194</v>
      </c>
      <c r="K25" s="96">
        <f t="shared" si="8"/>
        <v>0.47625595238095242</v>
      </c>
      <c r="L25" s="96">
        <f t="shared" si="9"/>
        <v>0.47090476190476188</v>
      </c>
      <c r="M25" s="96">
        <f t="shared" si="10"/>
        <v>0.47518571428571438</v>
      </c>
      <c r="N25" s="96">
        <f t="shared" si="11"/>
        <v>0.47868831168831172</v>
      </c>
      <c r="O25" s="96">
        <f t="shared" si="12"/>
        <v>0.48071527777777778</v>
      </c>
      <c r="P25" s="96">
        <f t="shared" si="13"/>
        <v>0.48325366300366301</v>
      </c>
      <c r="Q25" s="96">
        <f t="shared" si="14"/>
        <v>0.48542942176870746</v>
      </c>
      <c r="R25" s="96">
        <f t="shared" si="15"/>
        <v>0.48731507936507934</v>
      </c>
      <c r="S25" s="96">
        <f t="shared" si="16"/>
        <v>0.48896502976190476</v>
      </c>
      <c r="T25" s="96">
        <f t="shared" si="17"/>
        <v>0.49042086834733895</v>
      </c>
      <c r="U25" s="96">
        <f t="shared" si="18"/>
        <v>0.48220171957671953</v>
      </c>
      <c r="V25" s="96">
        <f t="shared" si="19"/>
        <v>0.48386027568922302</v>
      </c>
      <c r="W25" s="96">
        <f t="shared" si="20"/>
        <v>0.48535297619047618</v>
      </c>
      <c r="X25" s="96"/>
      <c r="Y25" s="65"/>
      <c r="AA25" s="83"/>
      <c r="AT25" s="235"/>
      <c r="AU25" s="27">
        <f t="shared" ref="AU25:AU41" si="181">AU24+6</f>
        <v>24</v>
      </c>
      <c r="AV25" s="28" t="str">
        <f t="shared" si="147"/>
        <v>(600)</v>
      </c>
      <c r="AW25" s="236">
        <f t="shared" ref="AW25:AW41" si="182">AW24+1</f>
        <v>10</v>
      </c>
      <c r="AX25" s="193">
        <f>($IR25+(($IQ25-1)*$IS25)+$IT25)*BG25/144</f>
        <v>0.40520486111111109</v>
      </c>
      <c r="AY25" s="29" t="str">
        <f t="shared" si="148"/>
        <v>(0.04)</v>
      </c>
      <c r="AZ25" s="30">
        <v>2</v>
      </c>
      <c r="BA25" s="30">
        <f t="shared" si="27"/>
        <v>3.5</v>
      </c>
      <c r="BB25" s="30">
        <v>0</v>
      </c>
      <c r="BC25" s="30">
        <f t="shared" si="28"/>
        <v>0</v>
      </c>
      <c r="BD25" s="30">
        <v>0</v>
      </c>
      <c r="BE25" s="30">
        <f t="shared" si="29"/>
        <v>0</v>
      </c>
      <c r="BF25" s="30">
        <f t="shared" si="149"/>
        <v>3.5</v>
      </c>
      <c r="BG25" s="194">
        <f t="shared" si="31"/>
        <v>5.5</v>
      </c>
      <c r="BH25" s="373">
        <f>($IR25+(($IQ25-1)*$IS25)+$IT25)*BQ25/144</f>
        <v>0.62622569444444443</v>
      </c>
      <c r="BI25" s="374" t="str">
        <f t="shared" si="150"/>
        <v>(0.06)</v>
      </c>
      <c r="BJ25" s="375">
        <v>2</v>
      </c>
      <c r="BK25" s="375">
        <f t="shared" si="33"/>
        <v>3.5</v>
      </c>
      <c r="BL25" s="375">
        <v>0</v>
      </c>
      <c r="BM25" s="375">
        <f t="shared" si="34"/>
        <v>0</v>
      </c>
      <c r="BN25" s="375">
        <v>0</v>
      </c>
      <c r="BO25" s="375">
        <f t="shared" si="35"/>
        <v>0</v>
      </c>
      <c r="BP25" s="375">
        <f t="shared" si="151"/>
        <v>3.5</v>
      </c>
      <c r="BQ25" s="376">
        <f t="shared" si="37"/>
        <v>8.5</v>
      </c>
      <c r="BR25" s="373">
        <f>($IR25+(($IQ25-1)*$IS25)+$IT25)*CA25/144</f>
        <v>1.0682673611111111</v>
      </c>
      <c r="BS25" s="374" t="str">
        <f t="shared" si="38"/>
        <v>(0.1)</v>
      </c>
      <c r="BT25" s="375">
        <v>2</v>
      </c>
      <c r="BU25" s="375">
        <f t="shared" si="39"/>
        <v>3.5</v>
      </c>
      <c r="BV25" s="375">
        <v>0</v>
      </c>
      <c r="BW25" s="375">
        <f t="shared" si="40"/>
        <v>0</v>
      </c>
      <c r="BX25" s="375">
        <v>0</v>
      </c>
      <c r="BY25" s="375">
        <f t="shared" si="41"/>
        <v>0</v>
      </c>
      <c r="BZ25" s="375">
        <f t="shared" si="152"/>
        <v>3.5</v>
      </c>
      <c r="CA25" s="376">
        <f t="shared" si="43"/>
        <v>14.5</v>
      </c>
      <c r="CB25" s="373">
        <f>($IR25+(($IQ25-1)*$IS25)+$IT25)*CK25/144</f>
        <v>1.5103090277777778</v>
      </c>
      <c r="CC25" s="374" t="str">
        <f t="shared" si="44"/>
        <v>(0.14)</v>
      </c>
      <c r="CD25" s="375">
        <v>2</v>
      </c>
      <c r="CE25" s="375">
        <f t="shared" si="45"/>
        <v>3.5</v>
      </c>
      <c r="CF25" s="375">
        <v>0</v>
      </c>
      <c r="CG25" s="375">
        <f t="shared" si="46"/>
        <v>0</v>
      </c>
      <c r="CH25" s="375">
        <v>0</v>
      </c>
      <c r="CI25" s="375">
        <f t="shared" si="47"/>
        <v>0</v>
      </c>
      <c r="CJ25" s="375">
        <f t="shared" si="153"/>
        <v>3.5</v>
      </c>
      <c r="CK25" s="376">
        <f t="shared" si="49"/>
        <v>20.5</v>
      </c>
      <c r="CL25" s="373">
        <f>($IR25+(($IQ25-1)*$IS25)+$IT25)*CU25/144</f>
        <v>1.9523506944444446</v>
      </c>
      <c r="CM25" s="374" t="str">
        <f t="shared" si="50"/>
        <v>(0.18)</v>
      </c>
      <c r="CN25" s="375">
        <v>2</v>
      </c>
      <c r="CO25" s="375">
        <f t="shared" si="51"/>
        <v>3.5</v>
      </c>
      <c r="CP25" s="375">
        <v>0</v>
      </c>
      <c r="CQ25" s="375">
        <f t="shared" si="52"/>
        <v>0</v>
      </c>
      <c r="CR25" s="375">
        <v>0</v>
      </c>
      <c r="CS25" s="375">
        <f t="shared" si="53"/>
        <v>0</v>
      </c>
      <c r="CT25" s="375">
        <f t="shared" si="154"/>
        <v>3.5</v>
      </c>
      <c r="CU25" s="376">
        <f t="shared" si="55"/>
        <v>26.5</v>
      </c>
      <c r="CV25" s="373">
        <f>($IR25+(($IQ25-1)*$IS25)+$IT25)*DE25/144</f>
        <v>2.3943923611111111</v>
      </c>
      <c r="CW25" s="374" t="str">
        <f t="shared" si="56"/>
        <v>(0.22)</v>
      </c>
      <c r="CX25" s="375">
        <v>2</v>
      </c>
      <c r="CY25" s="375">
        <f t="shared" si="57"/>
        <v>3.5</v>
      </c>
      <c r="CZ25" s="375">
        <v>0</v>
      </c>
      <c r="DA25" s="375">
        <f t="shared" si="58"/>
        <v>0</v>
      </c>
      <c r="DB25" s="375">
        <v>0</v>
      </c>
      <c r="DC25" s="375">
        <f t="shared" si="59"/>
        <v>0</v>
      </c>
      <c r="DD25" s="375">
        <f t="shared" si="155"/>
        <v>3.5</v>
      </c>
      <c r="DE25" s="376">
        <f t="shared" si="61"/>
        <v>32.5</v>
      </c>
      <c r="DF25" s="373">
        <f>($IR25+(($IQ25-1)*$IS25)+$IT25)*DO25/144</f>
        <v>2.836434027777778</v>
      </c>
      <c r="DG25" s="374" t="str">
        <f t="shared" si="62"/>
        <v>(0.26)</v>
      </c>
      <c r="DH25" s="375">
        <v>2</v>
      </c>
      <c r="DI25" s="375">
        <f t="shared" si="63"/>
        <v>3.5</v>
      </c>
      <c r="DJ25" s="375">
        <v>0</v>
      </c>
      <c r="DK25" s="375">
        <f t="shared" si="64"/>
        <v>0</v>
      </c>
      <c r="DL25" s="375">
        <v>0</v>
      </c>
      <c r="DM25" s="375">
        <f t="shared" si="65"/>
        <v>0</v>
      </c>
      <c r="DN25" s="375">
        <f t="shared" si="156"/>
        <v>3.5</v>
      </c>
      <c r="DO25" s="376">
        <f t="shared" si="67"/>
        <v>38.5</v>
      </c>
      <c r="DP25" s="373">
        <f>($IR25+(($IQ25-1)*$IS25)+$IT25)*DY25/144</f>
        <v>3.2784756944444444</v>
      </c>
      <c r="DQ25" s="374" t="str">
        <f t="shared" si="68"/>
        <v>(0.3)</v>
      </c>
      <c r="DR25" s="375">
        <v>2</v>
      </c>
      <c r="DS25" s="375">
        <f t="shared" si="69"/>
        <v>3.5</v>
      </c>
      <c r="DT25" s="375">
        <v>0</v>
      </c>
      <c r="DU25" s="375">
        <f t="shared" si="70"/>
        <v>0</v>
      </c>
      <c r="DV25" s="375">
        <v>0</v>
      </c>
      <c r="DW25" s="375">
        <f t="shared" si="71"/>
        <v>0</v>
      </c>
      <c r="DX25" s="375">
        <f t="shared" si="157"/>
        <v>3.5</v>
      </c>
      <c r="DY25" s="376">
        <f t="shared" si="73"/>
        <v>44.5</v>
      </c>
      <c r="DZ25" s="373">
        <f>($IR25+(($IQ25-1)*$IS25)+$IT25)*EI25/144</f>
        <v>3.6468437499999999</v>
      </c>
      <c r="EA25" s="374" t="str">
        <f t="shared" si="158"/>
        <v>(0.34)</v>
      </c>
      <c r="EB25" s="375">
        <v>2</v>
      </c>
      <c r="EC25" s="375">
        <f t="shared" si="75"/>
        <v>3.5</v>
      </c>
      <c r="ED25" s="375">
        <v>0</v>
      </c>
      <c r="EE25" s="375">
        <f t="shared" si="76"/>
        <v>0</v>
      </c>
      <c r="EF25" s="375">
        <v>1</v>
      </c>
      <c r="EG25" s="375">
        <f t="shared" si="77"/>
        <v>1</v>
      </c>
      <c r="EH25" s="375">
        <f t="shared" si="159"/>
        <v>4.5</v>
      </c>
      <c r="EI25" s="376">
        <f t="shared" si="79"/>
        <v>49.5</v>
      </c>
      <c r="EJ25" s="373">
        <f>($IR25+(($IQ25-1)*$IS25)+$IT25)*ES25/144</f>
        <v>4.0888854166666668</v>
      </c>
      <c r="EK25" s="374" t="str">
        <f t="shared" si="160"/>
        <v>(0.38)</v>
      </c>
      <c r="EL25" s="375">
        <v>2</v>
      </c>
      <c r="EM25" s="375">
        <f t="shared" si="81"/>
        <v>3.5</v>
      </c>
      <c r="EN25" s="375">
        <v>0</v>
      </c>
      <c r="EO25" s="375">
        <f t="shared" si="82"/>
        <v>0</v>
      </c>
      <c r="EP25" s="375">
        <v>1</v>
      </c>
      <c r="EQ25" s="375">
        <f t="shared" si="83"/>
        <v>1</v>
      </c>
      <c r="ER25" s="375">
        <f t="shared" si="161"/>
        <v>4.5</v>
      </c>
      <c r="ES25" s="376">
        <f t="shared" si="85"/>
        <v>55.5</v>
      </c>
      <c r="ET25" s="373">
        <f>($IR25+(($IQ25-1)*$IS25)+$IT25)*FC25/144</f>
        <v>4.5309270833333333</v>
      </c>
      <c r="EU25" s="374" t="str">
        <f t="shared" si="162"/>
        <v>(0.42)</v>
      </c>
      <c r="EV25" s="375">
        <v>2</v>
      </c>
      <c r="EW25" s="375">
        <f t="shared" si="87"/>
        <v>3.5</v>
      </c>
      <c r="EX25" s="375">
        <v>0</v>
      </c>
      <c r="EY25" s="375">
        <f t="shared" si="88"/>
        <v>0</v>
      </c>
      <c r="EZ25" s="375">
        <v>1</v>
      </c>
      <c r="FA25" s="375">
        <f t="shared" si="89"/>
        <v>1</v>
      </c>
      <c r="FB25" s="375">
        <f t="shared" si="163"/>
        <v>4.5</v>
      </c>
      <c r="FC25" s="376">
        <f t="shared" si="91"/>
        <v>61.5</v>
      </c>
      <c r="FD25" s="373">
        <f>($IR25+(($IQ25-1)*$IS25)+$IT25)*FM25/144</f>
        <v>4.9637595486111117</v>
      </c>
      <c r="FE25" s="374" t="str">
        <f t="shared" si="164"/>
        <v>(0.46)</v>
      </c>
      <c r="FF25" s="375">
        <v>2</v>
      </c>
      <c r="FG25" s="375">
        <f t="shared" si="93"/>
        <v>3.5</v>
      </c>
      <c r="FH25" s="375">
        <v>1</v>
      </c>
      <c r="FI25" s="375">
        <f t="shared" si="94"/>
        <v>1.125</v>
      </c>
      <c r="FJ25" s="375">
        <v>0</v>
      </c>
      <c r="FK25" s="375">
        <f t="shared" si="95"/>
        <v>0</v>
      </c>
      <c r="FL25" s="375">
        <f t="shared" si="165"/>
        <v>4.625</v>
      </c>
      <c r="FM25" s="376">
        <f t="shared" si="97"/>
        <v>67.375</v>
      </c>
      <c r="FN25" s="373">
        <f>($IR25+(($IQ25-1)*$IS25)+$IT25)*FW25/144</f>
        <v>5.4058012152777781</v>
      </c>
      <c r="FO25" s="374" t="str">
        <f t="shared" si="164"/>
        <v>(0.50)</v>
      </c>
      <c r="FP25" s="375">
        <v>2</v>
      </c>
      <c r="FQ25" s="375">
        <f t="shared" si="99"/>
        <v>3.5</v>
      </c>
      <c r="FR25" s="375">
        <v>1</v>
      </c>
      <c r="FS25" s="375">
        <f t="shared" si="100"/>
        <v>1.125</v>
      </c>
      <c r="FT25" s="375">
        <v>0</v>
      </c>
      <c r="FU25" s="375">
        <f t="shared" si="101"/>
        <v>0</v>
      </c>
      <c r="FV25" s="375">
        <f t="shared" si="166"/>
        <v>4.625</v>
      </c>
      <c r="FW25" s="376">
        <f t="shared" si="103"/>
        <v>73.375</v>
      </c>
      <c r="FX25" s="373">
        <f>($IR25+(($IQ25-1)*$IS25)+$IT25)*GG25/144</f>
        <v>5.8478428819444446</v>
      </c>
      <c r="FY25" s="374" t="str">
        <f t="shared" si="167"/>
        <v>(0.54)</v>
      </c>
      <c r="FZ25" s="375">
        <v>2</v>
      </c>
      <c r="GA25" s="375">
        <f t="shared" si="105"/>
        <v>3.5</v>
      </c>
      <c r="GB25" s="375">
        <v>1</v>
      </c>
      <c r="GC25" s="375">
        <f t="shared" si="106"/>
        <v>1.125</v>
      </c>
      <c r="GD25" s="375">
        <v>0</v>
      </c>
      <c r="GE25" s="375">
        <f t="shared" si="107"/>
        <v>0</v>
      </c>
      <c r="GF25" s="375">
        <f t="shared" si="168"/>
        <v>4.625</v>
      </c>
      <c r="GG25" s="376">
        <f t="shared" si="109"/>
        <v>79.375</v>
      </c>
      <c r="GH25" s="373">
        <f>($IR25+(($IQ25-1)*$IS25)+$IT25)*GQ25/144</f>
        <v>6.289884548611111</v>
      </c>
      <c r="GI25" s="374" t="str">
        <f t="shared" si="169"/>
        <v>(0.58)</v>
      </c>
      <c r="GJ25" s="375">
        <v>2</v>
      </c>
      <c r="GK25" s="375">
        <f t="shared" si="111"/>
        <v>3.5</v>
      </c>
      <c r="GL25" s="375">
        <v>1</v>
      </c>
      <c r="GM25" s="375">
        <f t="shared" si="112"/>
        <v>1.125</v>
      </c>
      <c r="GN25" s="375">
        <v>0</v>
      </c>
      <c r="GO25" s="375">
        <f t="shared" si="113"/>
        <v>0</v>
      </c>
      <c r="GP25" s="375">
        <f t="shared" si="170"/>
        <v>4.625</v>
      </c>
      <c r="GQ25" s="376">
        <f t="shared" si="115"/>
        <v>85.375</v>
      </c>
      <c r="GR25" s="373">
        <f>($IR25+(($IQ25-1)*$IS25)+$IT25)*HA25/144</f>
        <v>6.7319262152777775</v>
      </c>
      <c r="GS25" s="374" t="str">
        <f t="shared" si="171"/>
        <v>(0.63)</v>
      </c>
      <c r="GT25" s="375">
        <v>2</v>
      </c>
      <c r="GU25" s="375">
        <f t="shared" si="117"/>
        <v>3.5</v>
      </c>
      <c r="GV25" s="375">
        <v>1</v>
      </c>
      <c r="GW25" s="375">
        <f t="shared" si="118"/>
        <v>1.125</v>
      </c>
      <c r="GX25" s="375">
        <v>0</v>
      </c>
      <c r="GY25" s="375">
        <f t="shared" si="119"/>
        <v>0</v>
      </c>
      <c r="GZ25" s="375">
        <f t="shared" si="172"/>
        <v>4.625</v>
      </c>
      <c r="HA25" s="376">
        <f t="shared" si="121"/>
        <v>91.375</v>
      </c>
      <c r="HB25" s="373">
        <f>($IR25+(($IQ25-1)*$IS25)+$IT25)*HK25/144</f>
        <v>7.1739678819444448</v>
      </c>
      <c r="HC25" s="374" t="str">
        <f t="shared" si="173"/>
        <v>(0.67)</v>
      </c>
      <c r="HD25" s="375">
        <v>2</v>
      </c>
      <c r="HE25" s="375">
        <f t="shared" si="123"/>
        <v>3.5</v>
      </c>
      <c r="HF25" s="375">
        <v>1</v>
      </c>
      <c r="HG25" s="375">
        <f t="shared" si="124"/>
        <v>1.125</v>
      </c>
      <c r="HH25" s="375">
        <v>0</v>
      </c>
      <c r="HI25" s="375">
        <f t="shared" si="125"/>
        <v>0</v>
      </c>
      <c r="HJ25" s="375">
        <f t="shared" si="174"/>
        <v>4.625</v>
      </c>
      <c r="HK25" s="376">
        <f t="shared" si="127"/>
        <v>97.375</v>
      </c>
      <c r="HL25" s="373">
        <f>($IR25+(($IQ25-1)*$IS25)+$IT25)*HU25/144</f>
        <v>7.4686623263888885</v>
      </c>
      <c r="HM25" s="374" t="str">
        <f t="shared" si="175"/>
        <v>(0.69)</v>
      </c>
      <c r="HN25" s="375">
        <v>2</v>
      </c>
      <c r="HO25" s="375">
        <f t="shared" si="129"/>
        <v>3.5</v>
      </c>
      <c r="HP25" s="375">
        <v>1</v>
      </c>
      <c r="HQ25" s="375">
        <f t="shared" si="130"/>
        <v>1.125</v>
      </c>
      <c r="HR25" s="375">
        <v>2</v>
      </c>
      <c r="HS25" s="375">
        <f t="shared" si="131"/>
        <v>2</v>
      </c>
      <c r="HT25" s="375">
        <f t="shared" si="176"/>
        <v>6.625</v>
      </c>
      <c r="HU25" s="376">
        <f t="shared" si="133"/>
        <v>101.375</v>
      </c>
      <c r="HV25" s="373">
        <f>($IR25+(($IQ25-1)*$IS25)+$IT25)*IE25/144</f>
        <v>7.9107039930555549</v>
      </c>
      <c r="HW25" s="374" t="str">
        <f t="shared" si="177"/>
        <v>(0.73)</v>
      </c>
      <c r="HX25" s="375">
        <v>2</v>
      </c>
      <c r="HY25" s="375">
        <f t="shared" si="135"/>
        <v>3.5</v>
      </c>
      <c r="HZ25" s="375">
        <v>1</v>
      </c>
      <c r="IA25" s="375">
        <f t="shared" si="136"/>
        <v>1.125</v>
      </c>
      <c r="IB25" s="375">
        <v>2</v>
      </c>
      <c r="IC25" s="375">
        <f t="shared" si="137"/>
        <v>2</v>
      </c>
      <c r="ID25" s="375">
        <f t="shared" si="178"/>
        <v>6.625</v>
      </c>
      <c r="IE25" s="376">
        <f t="shared" si="139"/>
        <v>107.375</v>
      </c>
      <c r="IF25" s="373">
        <f>($IR25+(($IQ25-1)*$IS25)+$IT25)*IO25/144</f>
        <v>8.3527456597222223</v>
      </c>
      <c r="IG25" s="374" t="str">
        <f t="shared" si="179"/>
        <v>(0.78)</v>
      </c>
      <c r="IH25" s="22">
        <v>2</v>
      </c>
      <c r="II25" s="22">
        <f t="shared" si="141"/>
        <v>3.5</v>
      </c>
      <c r="IJ25" s="22">
        <v>1</v>
      </c>
      <c r="IK25" s="22">
        <f t="shared" si="142"/>
        <v>1.125</v>
      </c>
      <c r="IL25" s="22">
        <v>2</v>
      </c>
      <c r="IM25" s="22">
        <f t="shared" si="143"/>
        <v>2</v>
      </c>
      <c r="IN25" s="22">
        <f t="shared" si="180"/>
        <v>6.625</v>
      </c>
      <c r="IO25" s="23">
        <f t="shared" si="145"/>
        <v>113.375</v>
      </c>
      <c r="IP25" s="24"/>
      <c r="IQ25" s="25">
        <f t="shared" si="146"/>
        <v>3</v>
      </c>
      <c r="IR25" s="26">
        <v>2.5</v>
      </c>
      <c r="IS25" s="26">
        <v>2.8780000000000001</v>
      </c>
      <c r="IT25" s="26">
        <v>2.3530000000000002</v>
      </c>
      <c r="IU25" s="26">
        <v>1.75</v>
      </c>
      <c r="IV25" s="26">
        <v>1</v>
      </c>
      <c r="IW25" s="26">
        <v>1.125</v>
      </c>
      <c r="IX25" s="8"/>
    </row>
    <row r="26" spans="2:258" ht="15.75" thickBot="1" x14ac:dyDescent="0.3">
      <c r="B26" s="103">
        <f t="shared" si="25"/>
        <v>48</v>
      </c>
      <c r="C26" s="226">
        <v>9</v>
      </c>
      <c r="D26" s="98">
        <f t="shared" si="1"/>
        <v>0.32176273148148143</v>
      </c>
      <c r="E26" s="96">
        <f t="shared" si="2"/>
        <v>0.37295225694444445</v>
      </c>
      <c r="F26" s="96">
        <f t="shared" si="3"/>
        <v>0.42414178240740741</v>
      </c>
      <c r="G26" s="96">
        <f t="shared" si="4"/>
        <v>0.44973654513888889</v>
      </c>
      <c r="H26" s="96">
        <f t="shared" si="5"/>
        <v>0.46509340277777778</v>
      </c>
      <c r="I26" s="96">
        <f t="shared" si="6"/>
        <v>0.47533130787037031</v>
      </c>
      <c r="J26" s="96">
        <f t="shared" si="7"/>
        <v>0.48264409722222223</v>
      </c>
      <c r="K26" s="96">
        <f t="shared" si="8"/>
        <v>0.48812868923611114</v>
      </c>
      <c r="L26" s="96">
        <f t="shared" si="9"/>
        <v>0.48264409722222218</v>
      </c>
      <c r="M26" s="96">
        <f t="shared" si="10"/>
        <v>0.48703177083333332</v>
      </c>
      <c r="N26" s="96">
        <f t="shared" si="11"/>
        <v>0.49062168560606062</v>
      </c>
      <c r="O26" s="96">
        <f t="shared" si="12"/>
        <v>0.49269918258101847</v>
      </c>
      <c r="P26" s="96">
        <f t="shared" si="13"/>
        <v>0.49530084802350427</v>
      </c>
      <c r="Q26" s="96">
        <f t="shared" si="14"/>
        <v>0.4975308469742063</v>
      </c>
      <c r="R26" s="96">
        <f t="shared" si="15"/>
        <v>0.49946351273148148</v>
      </c>
      <c r="S26" s="96">
        <f t="shared" si="16"/>
        <v>0.50115459526909722</v>
      </c>
      <c r="T26" s="96">
        <f t="shared" si="17"/>
        <v>0.50264672691993473</v>
      </c>
      <c r="U26" s="96">
        <f t="shared" si="18"/>
        <v>0.49422268036265432</v>
      </c>
      <c r="V26" s="96">
        <f t="shared" si="19"/>
        <v>0.49592258315058485</v>
      </c>
      <c r="W26" s="96">
        <f t="shared" si="20"/>
        <v>0.49745249565972227</v>
      </c>
      <c r="X26" s="96"/>
      <c r="Y26" s="65"/>
      <c r="AA26" s="83"/>
      <c r="AT26" s="235"/>
      <c r="AU26" s="27">
        <f t="shared" si="181"/>
        <v>30</v>
      </c>
      <c r="AV26" s="28" t="str">
        <f t="shared" si="147"/>
        <v>(750)</v>
      </c>
      <c r="AW26" s="236">
        <f t="shared" si="182"/>
        <v>11</v>
      </c>
      <c r="AX26" s="193">
        <f>($IR26+(($IQ26-2)*$IS26)+$IT26)*BG26/144</f>
        <v>0.5375868055555556</v>
      </c>
      <c r="AY26" s="29" t="str">
        <f t="shared" si="148"/>
        <v>(0.05)</v>
      </c>
      <c r="AZ26" s="30">
        <v>2</v>
      </c>
      <c r="BA26" s="30">
        <f t="shared" si="27"/>
        <v>3.5</v>
      </c>
      <c r="BB26" s="30">
        <v>0</v>
      </c>
      <c r="BC26" s="30">
        <f t="shared" si="28"/>
        <v>0</v>
      </c>
      <c r="BD26" s="30">
        <v>0</v>
      </c>
      <c r="BE26" s="30">
        <f t="shared" si="29"/>
        <v>0</v>
      </c>
      <c r="BF26" s="30">
        <f t="shared" si="149"/>
        <v>3.5</v>
      </c>
      <c r="BG26" s="194">
        <f t="shared" si="31"/>
        <v>5.5</v>
      </c>
      <c r="BH26" s="373">
        <f>($IR26+(($IQ26-2)*$IS26)+$IT26)*BQ26/144</f>
        <v>0.83081597222222225</v>
      </c>
      <c r="BI26" s="374" t="str">
        <f t="shared" si="150"/>
        <v>(0.08)</v>
      </c>
      <c r="BJ26" s="375">
        <v>2</v>
      </c>
      <c r="BK26" s="375">
        <f t="shared" si="33"/>
        <v>3.5</v>
      </c>
      <c r="BL26" s="375">
        <v>0</v>
      </c>
      <c r="BM26" s="375">
        <f t="shared" si="34"/>
        <v>0</v>
      </c>
      <c r="BN26" s="375">
        <v>0</v>
      </c>
      <c r="BO26" s="375">
        <f t="shared" si="35"/>
        <v>0</v>
      </c>
      <c r="BP26" s="375">
        <f t="shared" si="151"/>
        <v>3.5</v>
      </c>
      <c r="BQ26" s="376">
        <f t="shared" si="37"/>
        <v>8.5</v>
      </c>
      <c r="BR26" s="373">
        <f>($IR26+(($IQ26-2)*$IS26)+$IT26)*CA26/144</f>
        <v>1.4172743055555557</v>
      </c>
      <c r="BS26" s="374" t="str">
        <f t="shared" si="38"/>
        <v>(0.13)</v>
      </c>
      <c r="BT26" s="375">
        <v>2</v>
      </c>
      <c r="BU26" s="375">
        <f t="shared" si="39"/>
        <v>3.5</v>
      </c>
      <c r="BV26" s="375">
        <v>0</v>
      </c>
      <c r="BW26" s="375">
        <f t="shared" si="40"/>
        <v>0</v>
      </c>
      <c r="BX26" s="375">
        <v>0</v>
      </c>
      <c r="BY26" s="375">
        <f t="shared" si="41"/>
        <v>0</v>
      </c>
      <c r="BZ26" s="375">
        <f t="shared" si="152"/>
        <v>3.5</v>
      </c>
      <c r="CA26" s="376">
        <f t="shared" si="43"/>
        <v>14.5</v>
      </c>
      <c r="CB26" s="373">
        <f>($IR26+(($IQ26-2)*$IS26)+$IT26)*CK26/144</f>
        <v>2.0037326388888892</v>
      </c>
      <c r="CC26" s="374" t="str">
        <f t="shared" si="44"/>
        <v>(0.19)</v>
      </c>
      <c r="CD26" s="375">
        <v>2</v>
      </c>
      <c r="CE26" s="375">
        <f t="shared" si="45"/>
        <v>3.5</v>
      </c>
      <c r="CF26" s="375">
        <v>0</v>
      </c>
      <c r="CG26" s="375">
        <f t="shared" si="46"/>
        <v>0</v>
      </c>
      <c r="CH26" s="375">
        <v>0</v>
      </c>
      <c r="CI26" s="375">
        <f t="shared" si="47"/>
        <v>0</v>
      </c>
      <c r="CJ26" s="375">
        <f t="shared" si="153"/>
        <v>3.5</v>
      </c>
      <c r="CK26" s="376">
        <f t="shared" si="49"/>
        <v>20.5</v>
      </c>
      <c r="CL26" s="373">
        <f>($IR26+(($IQ26-2)*$IS26)+$IT26)*CU26/144</f>
        <v>2.5901909722222225</v>
      </c>
      <c r="CM26" s="374" t="str">
        <f t="shared" si="50"/>
        <v>(0.24)</v>
      </c>
      <c r="CN26" s="375">
        <v>2</v>
      </c>
      <c r="CO26" s="375">
        <f t="shared" si="51"/>
        <v>3.5</v>
      </c>
      <c r="CP26" s="375">
        <v>0</v>
      </c>
      <c r="CQ26" s="375">
        <f t="shared" si="52"/>
        <v>0</v>
      </c>
      <c r="CR26" s="375">
        <v>0</v>
      </c>
      <c r="CS26" s="375">
        <f t="shared" si="53"/>
        <v>0</v>
      </c>
      <c r="CT26" s="375">
        <f t="shared" si="154"/>
        <v>3.5</v>
      </c>
      <c r="CU26" s="376">
        <f t="shared" si="55"/>
        <v>26.5</v>
      </c>
      <c r="CV26" s="373">
        <f>($IR26+(($IQ26-2)*$IS26)+$IT26)*DE26/144</f>
        <v>3.1766493055555558</v>
      </c>
      <c r="CW26" s="374" t="str">
        <f t="shared" si="56"/>
        <v>(0.3)</v>
      </c>
      <c r="CX26" s="375">
        <v>2</v>
      </c>
      <c r="CY26" s="375">
        <f t="shared" si="57"/>
        <v>3.5</v>
      </c>
      <c r="CZ26" s="375">
        <v>0</v>
      </c>
      <c r="DA26" s="375">
        <f t="shared" si="58"/>
        <v>0</v>
      </c>
      <c r="DB26" s="375">
        <v>0</v>
      </c>
      <c r="DC26" s="375">
        <f t="shared" si="59"/>
        <v>0</v>
      </c>
      <c r="DD26" s="375">
        <f t="shared" si="155"/>
        <v>3.5</v>
      </c>
      <c r="DE26" s="376">
        <f t="shared" si="61"/>
        <v>32.5</v>
      </c>
      <c r="DF26" s="373">
        <f>($IR26+(($IQ26-2)*$IS26)+$IT26)*DO26/144</f>
        <v>3.7631076388888891</v>
      </c>
      <c r="DG26" s="374" t="str">
        <f t="shared" si="62"/>
        <v>(0.35)</v>
      </c>
      <c r="DH26" s="375">
        <v>2</v>
      </c>
      <c r="DI26" s="375">
        <f t="shared" si="63"/>
        <v>3.5</v>
      </c>
      <c r="DJ26" s="375">
        <v>0</v>
      </c>
      <c r="DK26" s="375">
        <f t="shared" si="64"/>
        <v>0</v>
      </c>
      <c r="DL26" s="375">
        <v>0</v>
      </c>
      <c r="DM26" s="375">
        <f t="shared" si="65"/>
        <v>0</v>
      </c>
      <c r="DN26" s="375">
        <f t="shared" si="156"/>
        <v>3.5</v>
      </c>
      <c r="DO26" s="376">
        <f t="shared" si="67"/>
        <v>38.5</v>
      </c>
      <c r="DP26" s="373">
        <f>($IR26+(($IQ26-2)*$IS26)+$IT26)*DY26/144</f>
        <v>4.3495659722222229</v>
      </c>
      <c r="DQ26" s="374" t="str">
        <f t="shared" si="68"/>
        <v>(0.4)</v>
      </c>
      <c r="DR26" s="375">
        <v>2</v>
      </c>
      <c r="DS26" s="375">
        <f t="shared" si="69"/>
        <v>3.5</v>
      </c>
      <c r="DT26" s="375">
        <v>0</v>
      </c>
      <c r="DU26" s="375">
        <f t="shared" si="70"/>
        <v>0</v>
      </c>
      <c r="DV26" s="375">
        <v>0</v>
      </c>
      <c r="DW26" s="375">
        <f t="shared" si="71"/>
        <v>0</v>
      </c>
      <c r="DX26" s="375">
        <f t="shared" si="157"/>
        <v>3.5</v>
      </c>
      <c r="DY26" s="376">
        <f t="shared" si="73"/>
        <v>44.5</v>
      </c>
      <c r="DZ26" s="373">
        <f>($IR26+(($IQ26-2)*$IS26)+$IT26)*EI26/144</f>
        <v>4.8382812500000005</v>
      </c>
      <c r="EA26" s="374" t="str">
        <f t="shared" si="158"/>
        <v>(0.45)</v>
      </c>
      <c r="EB26" s="375">
        <v>2</v>
      </c>
      <c r="EC26" s="375">
        <f t="shared" si="75"/>
        <v>3.5</v>
      </c>
      <c r="ED26" s="375">
        <v>0</v>
      </c>
      <c r="EE26" s="375">
        <f t="shared" si="76"/>
        <v>0</v>
      </c>
      <c r="EF26" s="375">
        <v>1</v>
      </c>
      <c r="EG26" s="375">
        <f t="shared" si="77"/>
        <v>1</v>
      </c>
      <c r="EH26" s="375">
        <f t="shared" si="159"/>
        <v>4.5</v>
      </c>
      <c r="EI26" s="376">
        <f t="shared" si="79"/>
        <v>49.5</v>
      </c>
      <c r="EJ26" s="373">
        <f>($IR26+(($IQ26-2)*$IS26)+$IT26)*ES26/144</f>
        <v>5.4247395833333334</v>
      </c>
      <c r="EK26" s="374" t="str">
        <f t="shared" si="160"/>
        <v>(0.50)</v>
      </c>
      <c r="EL26" s="375">
        <v>2</v>
      </c>
      <c r="EM26" s="375">
        <f t="shared" si="81"/>
        <v>3.5</v>
      </c>
      <c r="EN26" s="375">
        <v>0</v>
      </c>
      <c r="EO26" s="375">
        <f t="shared" si="82"/>
        <v>0</v>
      </c>
      <c r="EP26" s="375">
        <v>1</v>
      </c>
      <c r="EQ26" s="375">
        <f t="shared" si="83"/>
        <v>1</v>
      </c>
      <c r="ER26" s="375">
        <f t="shared" si="161"/>
        <v>4.5</v>
      </c>
      <c r="ES26" s="376">
        <f t="shared" si="85"/>
        <v>55.5</v>
      </c>
      <c r="ET26" s="373">
        <f>($IR26+(($IQ26-2)*$IS26)+$IT26)*FC26/144</f>
        <v>6.0111979166666671</v>
      </c>
      <c r="EU26" s="374" t="str">
        <f t="shared" si="162"/>
        <v>(0.56)</v>
      </c>
      <c r="EV26" s="375">
        <v>2</v>
      </c>
      <c r="EW26" s="375">
        <f t="shared" si="87"/>
        <v>3.5</v>
      </c>
      <c r="EX26" s="375">
        <v>0</v>
      </c>
      <c r="EY26" s="375">
        <f t="shared" si="88"/>
        <v>0</v>
      </c>
      <c r="EZ26" s="375">
        <v>1</v>
      </c>
      <c r="FA26" s="375">
        <f t="shared" si="89"/>
        <v>1</v>
      </c>
      <c r="FB26" s="375">
        <f t="shared" si="163"/>
        <v>4.5</v>
      </c>
      <c r="FC26" s="376">
        <f t="shared" si="91"/>
        <v>61.5</v>
      </c>
      <c r="FD26" s="373">
        <f>($IR26+(($IQ26-2)*$IS26)+$IT26)*FM26/144</f>
        <v>6.5854383680555557</v>
      </c>
      <c r="FE26" s="374" t="str">
        <f t="shared" si="164"/>
        <v>(0.61)</v>
      </c>
      <c r="FF26" s="375">
        <v>2</v>
      </c>
      <c r="FG26" s="375">
        <f t="shared" si="93"/>
        <v>3.5</v>
      </c>
      <c r="FH26" s="375">
        <v>1</v>
      </c>
      <c r="FI26" s="375">
        <f t="shared" si="94"/>
        <v>1.125</v>
      </c>
      <c r="FJ26" s="375">
        <v>0</v>
      </c>
      <c r="FK26" s="375">
        <f t="shared" si="95"/>
        <v>0</v>
      </c>
      <c r="FL26" s="375">
        <f t="shared" si="165"/>
        <v>4.625</v>
      </c>
      <c r="FM26" s="376">
        <f t="shared" si="97"/>
        <v>67.375</v>
      </c>
      <c r="FN26" s="373">
        <f>($IR26+(($IQ26-2)*$IS26)+$IT26)*FW26/144</f>
        <v>7.1718967013888903</v>
      </c>
      <c r="FO26" s="374" t="str">
        <f t="shared" si="164"/>
        <v>(0.67)</v>
      </c>
      <c r="FP26" s="375">
        <v>2</v>
      </c>
      <c r="FQ26" s="375">
        <f t="shared" si="99"/>
        <v>3.5</v>
      </c>
      <c r="FR26" s="375">
        <v>1</v>
      </c>
      <c r="FS26" s="375">
        <f t="shared" si="100"/>
        <v>1.125</v>
      </c>
      <c r="FT26" s="375">
        <v>0</v>
      </c>
      <c r="FU26" s="375">
        <f t="shared" si="101"/>
        <v>0</v>
      </c>
      <c r="FV26" s="375">
        <f t="shared" si="166"/>
        <v>4.625</v>
      </c>
      <c r="FW26" s="376">
        <f t="shared" si="103"/>
        <v>73.375</v>
      </c>
      <c r="FX26" s="373">
        <f>($IR26+(($IQ26-2)*$IS26)+$IT26)*GG26/144</f>
        <v>7.7583550347222223</v>
      </c>
      <c r="FY26" s="374" t="str">
        <f t="shared" si="167"/>
        <v>(0.72)</v>
      </c>
      <c r="FZ26" s="375">
        <v>2</v>
      </c>
      <c r="GA26" s="375">
        <f t="shared" si="105"/>
        <v>3.5</v>
      </c>
      <c r="GB26" s="375">
        <v>1</v>
      </c>
      <c r="GC26" s="375">
        <f t="shared" si="106"/>
        <v>1.125</v>
      </c>
      <c r="GD26" s="375">
        <v>0</v>
      </c>
      <c r="GE26" s="375">
        <f t="shared" si="107"/>
        <v>0</v>
      </c>
      <c r="GF26" s="375">
        <f t="shared" si="168"/>
        <v>4.625</v>
      </c>
      <c r="GG26" s="376">
        <f t="shared" si="109"/>
        <v>79.375</v>
      </c>
      <c r="GH26" s="373">
        <f>($IR26+(($IQ26-2)*$IS26)+$IT26)*GQ26/144</f>
        <v>8.3448133680555561</v>
      </c>
      <c r="GI26" s="374" t="str">
        <f t="shared" si="169"/>
        <v>(0.78)</v>
      </c>
      <c r="GJ26" s="375">
        <v>2</v>
      </c>
      <c r="GK26" s="375">
        <f t="shared" si="111"/>
        <v>3.5</v>
      </c>
      <c r="GL26" s="375">
        <v>1</v>
      </c>
      <c r="GM26" s="375">
        <f t="shared" si="112"/>
        <v>1.125</v>
      </c>
      <c r="GN26" s="375">
        <v>0</v>
      </c>
      <c r="GO26" s="375">
        <f t="shared" si="113"/>
        <v>0</v>
      </c>
      <c r="GP26" s="375">
        <f t="shared" si="170"/>
        <v>4.625</v>
      </c>
      <c r="GQ26" s="376">
        <f t="shared" si="115"/>
        <v>85.375</v>
      </c>
      <c r="GR26" s="373">
        <f>($IR26+(($IQ26-2)*$IS26)+$IT26)*HA26/144</f>
        <v>8.9312717013888889</v>
      </c>
      <c r="GS26" s="374" t="str">
        <f t="shared" si="171"/>
        <v>(0.83)</v>
      </c>
      <c r="GT26" s="375">
        <v>2</v>
      </c>
      <c r="GU26" s="375">
        <f t="shared" si="117"/>
        <v>3.5</v>
      </c>
      <c r="GV26" s="375">
        <v>1</v>
      </c>
      <c r="GW26" s="375">
        <f t="shared" si="118"/>
        <v>1.125</v>
      </c>
      <c r="GX26" s="375">
        <v>0</v>
      </c>
      <c r="GY26" s="375">
        <f t="shared" si="119"/>
        <v>0</v>
      </c>
      <c r="GZ26" s="375">
        <f t="shared" si="172"/>
        <v>4.625</v>
      </c>
      <c r="HA26" s="376">
        <f t="shared" si="121"/>
        <v>91.375</v>
      </c>
      <c r="HB26" s="373">
        <f>($IR26+(($IQ26-2)*$IS26)+$IT26)*HK26/144</f>
        <v>9.5177300347222236</v>
      </c>
      <c r="HC26" s="374" t="str">
        <f t="shared" si="173"/>
        <v>(0.88)</v>
      </c>
      <c r="HD26" s="375">
        <v>2</v>
      </c>
      <c r="HE26" s="375">
        <f t="shared" si="123"/>
        <v>3.5</v>
      </c>
      <c r="HF26" s="375">
        <v>1</v>
      </c>
      <c r="HG26" s="375">
        <f t="shared" si="124"/>
        <v>1.125</v>
      </c>
      <c r="HH26" s="375">
        <v>0</v>
      </c>
      <c r="HI26" s="375">
        <f t="shared" si="125"/>
        <v>0</v>
      </c>
      <c r="HJ26" s="375">
        <f t="shared" si="174"/>
        <v>4.625</v>
      </c>
      <c r="HK26" s="376">
        <f t="shared" si="127"/>
        <v>97.375</v>
      </c>
      <c r="HL26" s="373">
        <f>($IR26+(($IQ26-2)*$IS26)+$IT26)*HU26/144</f>
        <v>9.9087022569444443</v>
      </c>
      <c r="HM26" s="374" t="str">
        <f t="shared" si="175"/>
        <v>(0.92)</v>
      </c>
      <c r="HN26" s="375">
        <v>2</v>
      </c>
      <c r="HO26" s="375">
        <f t="shared" si="129"/>
        <v>3.5</v>
      </c>
      <c r="HP26" s="375">
        <v>1</v>
      </c>
      <c r="HQ26" s="375">
        <f t="shared" si="130"/>
        <v>1.125</v>
      </c>
      <c r="HR26" s="375">
        <v>2</v>
      </c>
      <c r="HS26" s="375">
        <f t="shared" si="131"/>
        <v>2</v>
      </c>
      <c r="HT26" s="375">
        <f t="shared" si="176"/>
        <v>6.625</v>
      </c>
      <c r="HU26" s="376">
        <f t="shared" si="133"/>
        <v>101.375</v>
      </c>
      <c r="HV26" s="373">
        <f>($IR26+(($IQ26-2)*$IS26)+$IT26)*IE26/144</f>
        <v>10.495160590277779</v>
      </c>
      <c r="HW26" s="374" t="str">
        <f t="shared" si="177"/>
        <v>(0.98)</v>
      </c>
      <c r="HX26" s="375">
        <v>2</v>
      </c>
      <c r="HY26" s="375">
        <f t="shared" si="135"/>
        <v>3.5</v>
      </c>
      <c r="HZ26" s="375">
        <v>1</v>
      </c>
      <c r="IA26" s="375">
        <f t="shared" si="136"/>
        <v>1.125</v>
      </c>
      <c r="IB26" s="375">
        <v>2</v>
      </c>
      <c r="IC26" s="375">
        <f t="shared" si="137"/>
        <v>2</v>
      </c>
      <c r="ID26" s="375">
        <f t="shared" si="178"/>
        <v>6.625</v>
      </c>
      <c r="IE26" s="376">
        <f t="shared" si="139"/>
        <v>107.375</v>
      </c>
      <c r="IF26" s="373">
        <f>($IR26+(($IQ26-2)*$IS26)+$IT26)*IO26/144</f>
        <v>11.081618923611112</v>
      </c>
      <c r="IG26" s="374" t="str">
        <f t="shared" si="179"/>
        <v>(1.03)</v>
      </c>
      <c r="IH26" s="22">
        <v>2</v>
      </c>
      <c r="II26" s="22">
        <f t="shared" si="141"/>
        <v>3.5</v>
      </c>
      <c r="IJ26" s="22">
        <v>1</v>
      </c>
      <c r="IK26" s="22">
        <f t="shared" si="142"/>
        <v>1.125</v>
      </c>
      <c r="IL26" s="22">
        <v>2</v>
      </c>
      <c r="IM26" s="22">
        <f t="shared" si="143"/>
        <v>2</v>
      </c>
      <c r="IN26" s="22">
        <f t="shared" si="180"/>
        <v>6.625</v>
      </c>
      <c r="IO26" s="23">
        <f t="shared" si="145"/>
        <v>113.375</v>
      </c>
      <c r="IP26" s="24"/>
      <c r="IQ26" s="25">
        <f t="shared" si="146"/>
        <v>5</v>
      </c>
      <c r="IR26" s="26">
        <v>2.5</v>
      </c>
      <c r="IS26" s="26">
        <v>2.8780000000000001</v>
      </c>
      <c r="IT26" s="26">
        <f>0.458+2.483</f>
        <v>2.9410000000000003</v>
      </c>
      <c r="IU26" s="26">
        <v>1.75</v>
      </c>
      <c r="IV26" s="26">
        <v>1</v>
      </c>
      <c r="IW26" s="26">
        <v>1.125</v>
      </c>
      <c r="IX26" s="8"/>
    </row>
    <row r="27" spans="2:258" ht="15.75" thickBot="1" x14ac:dyDescent="0.3">
      <c r="B27" s="103">
        <f t="shared" si="25"/>
        <v>54</v>
      </c>
      <c r="C27" s="221">
        <v>10</v>
      </c>
      <c r="D27" s="98">
        <f t="shared" si="1"/>
        <v>0.31548045267489716</v>
      </c>
      <c r="E27" s="96">
        <f t="shared" si="2"/>
        <v>0.36567052469135808</v>
      </c>
      <c r="F27" s="96">
        <f t="shared" si="3"/>
        <v>0.415860596707819</v>
      </c>
      <c r="G27" s="96">
        <f t="shared" si="4"/>
        <v>0.44095563271604943</v>
      </c>
      <c r="H27" s="96">
        <f t="shared" si="5"/>
        <v>0.4560126543209877</v>
      </c>
      <c r="I27" s="96">
        <f t="shared" si="6"/>
        <v>0.46605066872427986</v>
      </c>
      <c r="J27" s="96">
        <f t="shared" si="7"/>
        <v>0.47322067901234571</v>
      </c>
      <c r="K27" s="96">
        <f t="shared" si="8"/>
        <v>0.47859818672839516</v>
      </c>
      <c r="L27" s="96">
        <f t="shared" si="9"/>
        <v>0.47322067901234577</v>
      </c>
      <c r="M27" s="96">
        <f t="shared" si="10"/>
        <v>0.47752268518518526</v>
      </c>
      <c r="N27" s="96">
        <f t="shared" si="11"/>
        <v>0.48104250841750845</v>
      </c>
      <c r="O27" s="96">
        <f t="shared" si="12"/>
        <v>0.48307944315843626</v>
      </c>
      <c r="P27" s="96">
        <f t="shared" si="13"/>
        <v>0.48563031220322894</v>
      </c>
      <c r="Q27" s="96">
        <f t="shared" si="14"/>
        <v>0.48781677138447976</v>
      </c>
      <c r="R27" s="96">
        <f t="shared" si="15"/>
        <v>0.48971170267489722</v>
      </c>
      <c r="S27" s="96">
        <f t="shared" si="16"/>
        <v>0.49136976755401246</v>
      </c>
      <c r="T27" s="96">
        <f t="shared" si="17"/>
        <v>0.49283276597676112</v>
      </c>
      <c r="U27" s="96">
        <f t="shared" si="18"/>
        <v>0.48457319530178333</v>
      </c>
      <c r="V27" s="96">
        <f t="shared" si="19"/>
        <v>0.48623990821962315</v>
      </c>
      <c r="W27" s="96">
        <f t="shared" si="20"/>
        <v>0.48773994984567909</v>
      </c>
      <c r="X27" s="96"/>
      <c r="Y27" s="65"/>
      <c r="AA27" s="83"/>
      <c r="AT27" s="235"/>
      <c r="AU27" s="27">
        <f t="shared" si="181"/>
        <v>36</v>
      </c>
      <c r="AV27" s="28" t="str">
        <f t="shared" si="147"/>
        <v>(900)</v>
      </c>
      <c r="AW27" s="236">
        <f t="shared" si="182"/>
        <v>12</v>
      </c>
      <c r="AX27" s="193">
        <f>($IR27+(($IQ27-1)*$IS27)+$IT27)*BG27/144</f>
        <v>0.67886805555555563</v>
      </c>
      <c r="AY27" s="29" t="str">
        <f t="shared" si="148"/>
        <v>(0.06)</v>
      </c>
      <c r="AZ27" s="30">
        <v>2</v>
      </c>
      <c r="BA27" s="30">
        <f t="shared" si="27"/>
        <v>3.5</v>
      </c>
      <c r="BB27" s="30">
        <v>0</v>
      </c>
      <c r="BC27" s="30">
        <f t="shared" si="28"/>
        <v>0</v>
      </c>
      <c r="BD27" s="30">
        <v>0</v>
      </c>
      <c r="BE27" s="30">
        <f t="shared" si="29"/>
        <v>0</v>
      </c>
      <c r="BF27" s="30">
        <f t="shared" si="149"/>
        <v>3.5</v>
      </c>
      <c r="BG27" s="194">
        <f t="shared" si="31"/>
        <v>5.5</v>
      </c>
      <c r="BH27" s="373">
        <f>($IR27+(($IQ27-1)*$IS27)+$IT27)*BQ27/144</f>
        <v>1.0491597222222222</v>
      </c>
      <c r="BI27" s="374" t="str">
        <f t="shared" si="150"/>
        <v>(0.10)</v>
      </c>
      <c r="BJ27" s="375">
        <v>2</v>
      </c>
      <c r="BK27" s="375">
        <f t="shared" si="33"/>
        <v>3.5</v>
      </c>
      <c r="BL27" s="375">
        <v>0</v>
      </c>
      <c r="BM27" s="375">
        <f t="shared" si="34"/>
        <v>0</v>
      </c>
      <c r="BN27" s="375">
        <v>0</v>
      </c>
      <c r="BO27" s="375">
        <f t="shared" si="35"/>
        <v>0</v>
      </c>
      <c r="BP27" s="375">
        <f t="shared" si="151"/>
        <v>3.5</v>
      </c>
      <c r="BQ27" s="376">
        <f t="shared" si="37"/>
        <v>8.5</v>
      </c>
      <c r="BR27" s="373">
        <f>($IR27+(($IQ27-1)*$IS27)+$IT27)*CA27/144</f>
        <v>1.7897430555555556</v>
      </c>
      <c r="BS27" s="374" t="str">
        <f t="shared" si="38"/>
        <v>(0.17)</v>
      </c>
      <c r="BT27" s="375">
        <v>2</v>
      </c>
      <c r="BU27" s="375">
        <f t="shared" si="39"/>
        <v>3.5</v>
      </c>
      <c r="BV27" s="375">
        <v>0</v>
      </c>
      <c r="BW27" s="375">
        <f t="shared" si="40"/>
        <v>0</v>
      </c>
      <c r="BX27" s="375">
        <v>0</v>
      </c>
      <c r="BY27" s="375">
        <f t="shared" si="41"/>
        <v>0</v>
      </c>
      <c r="BZ27" s="375">
        <f t="shared" si="152"/>
        <v>3.5</v>
      </c>
      <c r="CA27" s="376">
        <f t="shared" si="43"/>
        <v>14.5</v>
      </c>
      <c r="CB27" s="373">
        <f>($IR27+(($IQ27-1)*$IS27)+$IT27)*CK27/144</f>
        <v>2.5303263888888892</v>
      </c>
      <c r="CC27" s="374" t="str">
        <f t="shared" si="44"/>
        <v>(0.24)</v>
      </c>
      <c r="CD27" s="375">
        <v>2</v>
      </c>
      <c r="CE27" s="375">
        <f t="shared" si="45"/>
        <v>3.5</v>
      </c>
      <c r="CF27" s="375">
        <v>0</v>
      </c>
      <c r="CG27" s="375">
        <f t="shared" si="46"/>
        <v>0</v>
      </c>
      <c r="CH27" s="375">
        <v>0</v>
      </c>
      <c r="CI27" s="375">
        <f t="shared" si="47"/>
        <v>0</v>
      </c>
      <c r="CJ27" s="375">
        <f t="shared" si="153"/>
        <v>3.5</v>
      </c>
      <c r="CK27" s="376">
        <f t="shared" si="49"/>
        <v>20.5</v>
      </c>
      <c r="CL27" s="373">
        <f>($IR27+(($IQ27-1)*$IS27)+$IT27)*CU27/144</f>
        <v>3.2709097222222225</v>
      </c>
      <c r="CM27" s="374" t="str">
        <f t="shared" si="50"/>
        <v>(0.3)</v>
      </c>
      <c r="CN27" s="375">
        <v>2</v>
      </c>
      <c r="CO27" s="375">
        <f t="shared" si="51"/>
        <v>3.5</v>
      </c>
      <c r="CP27" s="375">
        <v>0</v>
      </c>
      <c r="CQ27" s="375">
        <f t="shared" si="52"/>
        <v>0</v>
      </c>
      <c r="CR27" s="375">
        <v>0</v>
      </c>
      <c r="CS27" s="375">
        <f t="shared" si="53"/>
        <v>0</v>
      </c>
      <c r="CT27" s="375">
        <f t="shared" si="154"/>
        <v>3.5</v>
      </c>
      <c r="CU27" s="376">
        <f t="shared" si="55"/>
        <v>26.5</v>
      </c>
      <c r="CV27" s="373">
        <f>($IR27+(($IQ27-1)*$IS27)+$IT27)*DE27/144</f>
        <v>4.0114930555555555</v>
      </c>
      <c r="CW27" s="374" t="str">
        <f t="shared" si="56"/>
        <v>(0.37)</v>
      </c>
      <c r="CX27" s="375">
        <v>2</v>
      </c>
      <c r="CY27" s="375">
        <f t="shared" si="57"/>
        <v>3.5</v>
      </c>
      <c r="CZ27" s="375">
        <v>0</v>
      </c>
      <c r="DA27" s="375">
        <f t="shared" si="58"/>
        <v>0</v>
      </c>
      <c r="DB27" s="375">
        <v>0</v>
      </c>
      <c r="DC27" s="375">
        <f t="shared" si="59"/>
        <v>0</v>
      </c>
      <c r="DD27" s="375">
        <f t="shared" si="155"/>
        <v>3.5</v>
      </c>
      <c r="DE27" s="376">
        <f t="shared" si="61"/>
        <v>32.5</v>
      </c>
      <c r="DF27" s="373">
        <f>($IR27+(($IQ27-1)*$IS27)+$IT27)*DO27/144</f>
        <v>4.7520763888888888</v>
      </c>
      <c r="DG27" s="374" t="str">
        <f t="shared" si="62"/>
        <v>(0.44)</v>
      </c>
      <c r="DH27" s="375">
        <v>2</v>
      </c>
      <c r="DI27" s="375">
        <f t="shared" si="63"/>
        <v>3.5</v>
      </c>
      <c r="DJ27" s="375">
        <v>0</v>
      </c>
      <c r="DK27" s="375">
        <f t="shared" si="64"/>
        <v>0</v>
      </c>
      <c r="DL27" s="375">
        <v>0</v>
      </c>
      <c r="DM27" s="375">
        <f t="shared" si="65"/>
        <v>0</v>
      </c>
      <c r="DN27" s="375">
        <f t="shared" si="156"/>
        <v>3.5</v>
      </c>
      <c r="DO27" s="376">
        <f t="shared" si="67"/>
        <v>38.5</v>
      </c>
      <c r="DP27" s="373">
        <f>($IR27+(($IQ27-1)*$IS27)+$IT27)*DY27/144</f>
        <v>5.4926597222222222</v>
      </c>
      <c r="DQ27" s="374" t="str">
        <f t="shared" si="68"/>
        <v>(0.51)</v>
      </c>
      <c r="DR27" s="375">
        <v>2</v>
      </c>
      <c r="DS27" s="375">
        <f t="shared" si="69"/>
        <v>3.5</v>
      </c>
      <c r="DT27" s="375">
        <v>0</v>
      </c>
      <c r="DU27" s="375">
        <f t="shared" si="70"/>
        <v>0</v>
      </c>
      <c r="DV27" s="375">
        <v>0</v>
      </c>
      <c r="DW27" s="375">
        <f t="shared" si="71"/>
        <v>0</v>
      </c>
      <c r="DX27" s="375">
        <f t="shared" si="157"/>
        <v>3.5</v>
      </c>
      <c r="DY27" s="376">
        <f t="shared" si="73"/>
        <v>44.5</v>
      </c>
      <c r="DZ27" s="373">
        <f>($IR27+(($IQ27-1)*$IS27)+$IT27)*EI27/144</f>
        <v>6.1098125000000003</v>
      </c>
      <c r="EA27" s="374" t="str">
        <f t="shared" si="158"/>
        <v>(0.57)</v>
      </c>
      <c r="EB27" s="375">
        <v>2</v>
      </c>
      <c r="EC27" s="375">
        <f t="shared" si="75"/>
        <v>3.5</v>
      </c>
      <c r="ED27" s="375">
        <v>0</v>
      </c>
      <c r="EE27" s="375">
        <f t="shared" si="76"/>
        <v>0</v>
      </c>
      <c r="EF27" s="375">
        <v>1</v>
      </c>
      <c r="EG27" s="375">
        <f t="shared" si="77"/>
        <v>1</v>
      </c>
      <c r="EH27" s="375">
        <f t="shared" si="159"/>
        <v>4.5</v>
      </c>
      <c r="EI27" s="376">
        <f t="shared" si="79"/>
        <v>49.5</v>
      </c>
      <c r="EJ27" s="373">
        <f>($IR27+(($IQ27-1)*$IS27)+$IT27)*ES27/144</f>
        <v>6.8503958333333337</v>
      </c>
      <c r="EK27" s="374" t="str">
        <f t="shared" si="160"/>
        <v>(0.64)</v>
      </c>
      <c r="EL27" s="375">
        <v>2</v>
      </c>
      <c r="EM27" s="375">
        <f t="shared" si="81"/>
        <v>3.5</v>
      </c>
      <c r="EN27" s="375">
        <v>0</v>
      </c>
      <c r="EO27" s="375">
        <f t="shared" si="82"/>
        <v>0</v>
      </c>
      <c r="EP27" s="375">
        <v>1</v>
      </c>
      <c r="EQ27" s="375">
        <f t="shared" si="83"/>
        <v>1</v>
      </c>
      <c r="ER27" s="375">
        <f t="shared" si="161"/>
        <v>4.5</v>
      </c>
      <c r="ES27" s="376">
        <f t="shared" si="85"/>
        <v>55.5</v>
      </c>
      <c r="ET27" s="373">
        <f>($IR27+(($IQ27-1)*$IS27)+$IT27)*FC27/144</f>
        <v>7.5909791666666671</v>
      </c>
      <c r="EU27" s="374" t="str">
        <f t="shared" si="162"/>
        <v>(0.71)</v>
      </c>
      <c r="EV27" s="375">
        <v>2</v>
      </c>
      <c r="EW27" s="375">
        <f t="shared" si="87"/>
        <v>3.5</v>
      </c>
      <c r="EX27" s="375">
        <v>0</v>
      </c>
      <c r="EY27" s="375">
        <f t="shared" si="88"/>
        <v>0</v>
      </c>
      <c r="EZ27" s="375">
        <v>1</v>
      </c>
      <c r="FA27" s="375">
        <f t="shared" si="89"/>
        <v>1</v>
      </c>
      <c r="FB27" s="375">
        <f t="shared" si="163"/>
        <v>4.5</v>
      </c>
      <c r="FC27" s="376">
        <f t="shared" si="91"/>
        <v>61.5</v>
      </c>
      <c r="FD27" s="373">
        <f>($IR27+(($IQ27-1)*$IS27)+$IT27)*FM27/144</f>
        <v>8.3161336805555557</v>
      </c>
      <c r="FE27" s="374" t="str">
        <f t="shared" si="164"/>
        <v>(0.77)</v>
      </c>
      <c r="FF27" s="375">
        <v>2</v>
      </c>
      <c r="FG27" s="375">
        <f t="shared" si="93"/>
        <v>3.5</v>
      </c>
      <c r="FH27" s="375">
        <v>1</v>
      </c>
      <c r="FI27" s="375">
        <f t="shared" si="94"/>
        <v>1.125</v>
      </c>
      <c r="FJ27" s="375">
        <v>0</v>
      </c>
      <c r="FK27" s="375">
        <f t="shared" si="95"/>
        <v>0</v>
      </c>
      <c r="FL27" s="375">
        <f t="shared" si="165"/>
        <v>4.625</v>
      </c>
      <c r="FM27" s="376">
        <f t="shared" si="97"/>
        <v>67.375</v>
      </c>
      <c r="FN27" s="373">
        <f>($IR27+(($IQ27-1)*$IS27)+$IT27)*FW27/144</f>
        <v>9.0567170138888891</v>
      </c>
      <c r="FO27" s="374" t="str">
        <f t="shared" si="164"/>
        <v>(0.84)</v>
      </c>
      <c r="FP27" s="375">
        <v>2</v>
      </c>
      <c r="FQ27" s="375">
        <f t="shared" si="99"/>
        <v>3.5</v>
      </c>
      <c r="FR27" s="375">
        <v>1</v>
      </c>
      <c r="FS27" s="375">
        <f t="shared" si="100"/>
        <v>1.125</v>
      </c>
      <c r="FT27" s="375">
        <v>0</v>
      </c>
      <c r="FU27" s="375">
        <f t="shared" si="101"/>
        <v>0</v>
      </c>
      <c r="FV27" s="375">
        <f t="shared" si="166"/>
        <v>4.625</v>
      </c>
      <c r="FW27" s="376">
        <f t="shared" si="103"/>
        <v>73.375</v>
      </c>
      <c r="FX27" s="373">
        <f>($IR27+(($IQ27-1)*$IS27)+$IT27)*GG27/144</f>
        <v>9.7973003472222224</v>
      </c>
      <c r="FY27" s="374" t="str">
        <f t="shared" si="167"/>
        <v>(0.91)</v>
      </c>
      <c r="FZ27" s="375">
        <v>2</v>
      </c>
      <c r="GA27" s="375">
        <f t="shared" si="105"/>
        <v>3.5</v>
      </c>
      <c r="GB27" s="375">
        <v>1</v>
      </c>
      <c r="GC27" s="375">
        <f t="shared" si="106"/>
        <v>1.125</v>
      </c>
      <c r="GD27" s="375">
        <v>0</v>
      </c>
      <c r="GE27" s="375">
        <f t="shared" si="107"/>
        <v>0</v>
      </c>
      <c r="GF27" s="375">
        <f t="shared" si="168"/>
        <v>4.625</v>
      </c>
      <c r="GG27" s="376">
        <f t="shared" si="109"/>
        <v>79.375</v>
      </c>
      <c r="GH27" s="373">
        <f>($IR27+(($IQ27-1)*$IS27)+$IT27)*GQ27/144</f>
        <v>10.537883680555556</v>
      </c>
      <c r="GI27" s="374" t="str">
        <f t="shared" si="169"/>
        <v>(0.98)</v>
      </c>
      <c r="GJ27" s="375">
        <v>2</v>
      </c>
      <c r="GK27" s="375">
        <f t="shared" si="111"/>
        <v>3.5</v>
      </c>
      <c r="GL27" s="375">
        <v>1</v>
      </c>
      <c r="GM27" s="375">
        <f t="shared" si="112"/>
        <v>1.125</v>
      </c>
      <c r="GN27" s="375">
        <v>0</v>
      </c>
      <c r="GO27" s="375">
        <f t="shared" si="113"/>
        <v>0</v>
      </c>
      <c r="GP27" s="375">
        <f t="shared" si="170"/>
        <v>4.625</v>
      </c>
      <c r="GQ27" s="376">
        <f t="shared" si="115"/>
        <v>85.375</v>
      </c>
      <c r="GR27" s="373">
        <f>($IR27+(($IQ27-1)*$IS27)+$IT27)*HA27/144</f>
        <v>11.278467013888889</v>
      </c>
      <c r="GS27" s="374" t="str">
        <f t="shared" si="171"/>
        <v>(1.05)</v>
      </c>
      <c r="GT27" s="375">
        <v>2</v>
      </c>
      <c r="GU27" s="375">
        <f t="shared" si="117"/>
        <v>3.5</v>
      </c>
      <c r="GV27" s="375">
        <v>1</v>
      </c>
      <c r="GW27" s="375">
        <f t="shared" si="118"/>
        <v>1.125</v>
      </c>
      <c r="GX27" s="375">
        <v>0</v>
      </c>
      <c r="GY27" s="375">
        <f t="shared" si="119"/>
        <v>0</v>
      </c>
      <c r="GZ27" s="375">
        <f t="shared" si="172"/>
        <v>4.625</v>
      </c>
      <c r="HA27" s="376">
        <f t="shared" si="121"/>
        <v>91.375</v>
      </c>
      <c r="HB27" s="373">
        <f>($IR27+(($IQ27-1)*$IS27)+$IT27)*HK27/144</f>
        <v>12.019050347222223</v>
      </c>
      <c r="HC27" s="374" t="str">
        <f t="shared" si="173"/>
        <v>(1.12)</v>
      </c>
      <c r="HD27" s="375">
        <v>2</v>
      </c>
      <c r="HE27" s="375">
        <f t="shared" si="123"/>
        <v>3.5</v>
      </c>
      <c r="HF27" s="375">
        <v>1</v>
      </c>
      <c r="HG27" s="375">
        <f t="shared" si="124"/>
        <v>1.125</v>
      </c>
      <c r="HH27" s="375">
        <v>0</v>
      </c>
      <c r="HI27" s="375">
        <f t="shared" si="125"/>
        <v>0</v>
      </c>
      <c r="HJ27" s="375">
        <f t="shared" si="174"/>
        <v>4.625</v>
      </c>
      <c r="HK27" s="376">
        <f t="shared" si="127"/>
        <v>97.375</v>
      </c>
      <c r="HL27" s="373">
        <f>($IR27+(($IQ27-1)*$IS27)+$IT27)*HU27/144</f>
        <v>12.512772569444444</v>
      </c>
      <c r="HM27" s="374" t="str">
        <f t="shared" si="175"/>
        <v>(1.16)</v>
      </c>
      <c r="HN27" s="375">
        <v>2</v>
      </c>
      <c r="HO27" s="375">
        <f t="shared" si="129"/>
        <v>3.5</v>
      </c>
      <c r="HP27" s="375">
        <v>1</v>
      </c>
      <c r="HQ27" s="375">
        <f t="shared" si="130"/>
        <v>1.125</v>
      </c>
      <c r="HR27" s="375">
        <v>2</v>
      </c>
      <c r="HS27" s="375">
        <f t="shared" si="131"/>
        <v>2</v>
      </c>
      <c r="HT27" s="375">
        <f t="shared" si="176"/>
        <v>6.625</v>
      </c>
      <c r="HU27" s="376">
        <f t="shared" si="133"/>
        <v>101.375</v>
      </c>
      <c r="HV27" s="373">
        <f>($IR27+(($IQ27-1)*$IS27)+$IT27)*IE27/144</f>
        <v>13.253355902777777</v>
      </c>
      <c r="HW27" s="374" t="str">
        <f t="shared" si="177"/>
        <v>(1.23)</v>
      </c>
      <c r="HX27" s="375">
        <v>2</v>
      </c>
      <c r="HY27" s="375">
        <f t="shared" si="135"/>
        <v>3.5</v>
      </c>
      <c r="HZ27" s="375">
        <v>1</v>
      </c>
      <c r="IA27" s="375">
        <f t="shared" si="136"/>
        <v>1.125</v>
      </c>
      <c r="IB27" s="375">
        <v>2</v>
      </c>
      <c r="IC27" s="375">
        <f t="shared" si="137"/>
        <v>2</v>
      </c>
      <c r="ID27" s="375">
        <f t="shared" si="178"/>
        <v>6.625</v>
      </c>
      <c r="IE27" s="376">
        <f t="shared" si="139"/>
        <v>107.375</v>
      </c>
      <c r="IF27" s="373">
        <f>($IR27+(($IQ27-1)*$IS27)+$IT27)*IO27/144</f>
        <v>13.99393923611111</v>
      </c>
      <c r="IG27" s="374" t="str">
        <f t="shared" si="179"/>
        <v>(1.30)</v>
      </c>
      <c r="IH27" s="22">
        <v>2</v>
      </c>
      <c r="II27" s="22">
        <f t="shared" si="141"/>
        <v>3.5</v>
      </c>
      <c r="IJ27" s="22">
        <v>1</v>
      </c>
      <c r="IK27" s="22">
        <f t="shared" si="142"/>
        <v>1.125</v>
      </c>
      <c r="IL27" s="22">
        <v>2</v>
      </c>
      <c r="IM27" s="22">
        <f t="shared" si="143"/>
        <v>2</v>
      </c>
      <c r="IN27" s="22">
        <f t="shared" si="180"/>
        <v>6.625</v>
      </c>
      <c r="IO27" s="23">
        <f t="shared" si="145"/>
        <v>113.375</v>
      </c>
      <c r="IP27" s="24"/>
      <c r="IQ27" s="25">
        <f t="shared" si="146"/>
        <v>6</v>
      </c>
      <c r="IR27" s="26">
        <v>2.5</v>
      </c>
      <c r="IS27" s="26">
        <v>2.8780000000000001</v>
      </c>
      <c r="IT27" s="26">
        <v>0.88400000000000001</v>
      </c>
      <c r="IU27" s="26">
        <v>1.75</v>
      </c>
      <c r="IV27" s="26">
        <v>1</v>
      </c>
      <c r="IW27" s="26">
        <v>1.125</v>
      </c>
      <c r="IX27" s="8"/>
    </row>
    <row r="28" spans="2:258" ht="15.75" thickBot="1" x14ac:dyDescent="0.3">
      <c r="B28" s="103">
        <f t="shared" si="25"/>
        <v>60</v>
      </c>
      <c r="C28" s="226">
        <v>11</v>
      </c>
      <c r="D28" s="98">
        <f t="shared" si="1"/>
        <v>0.3192342592592593</v>
      </c>
      <c r="E28" s="96">
        <f t="shared" si="2"/>
        <v>0.37002152777777775</v>
      </c>
      <c r="F28" s="96">
        <f t="shared" si="3"/>
        <v>0.42080879629629631</v>
      </c>
      <c r="G28" s="96">
        <f t="shared" si="4"/>
        <v>0.44620243055555553</v>
      </c>
      <c r="H28" s="96">
        <f t="shared" si="5"/>
        <v>0.46143861111111112</v>
      </c>
      <c r="I28" s="96">
        <f t="shared" si="6"/>
        <v>0.47159606481481481</v>
      </c>
      <c r="J28" s="96">
        <f t="shared" si="7"/>
        <v>0.4788513888888889</v>
      </c>
      <c r="K28" s="96">
        <f t="shared" si="8"/>
        <v>0.48429288194444442</v>
      </c>
      <c r="L28" s="96">
        <f t="shared" si="9"/>
        <v>0.47885138888888884</v>
      </c>
      <c r="M28" s="96">
        <f t="shared" si="10"/>
        <v>0.48320458333333333</v>
      </c>
      <c r="N28" s="96">
        <f t="shared" si="11"/>
        <v>0.4867662878787879</v>
      </c>
      <c r="O28" s="96">
        <f t="shared" si="12"/>
        <v>0.4888274594907408</v>
      </c>
      <c r="P28" s="96">
        <f t="shared" si="13"/>
        <v>0.49140868055555559</v>
      </c>
      <c r="Q28" s="96">
        <f t="shared" si="14"/>
        <v>0.49362115575396825</v>
      </c>
      <c r="R28" s="96">
        <f t="shared" si="15"/>
        <v>0.49553863425925926</v>
      </c>
      <c r="S28" s="96">
        <f t="shared" si="16"/>
        <v>0.49721642795138887</v>
      </c>
      <c r="T28" s="96">
        <f t="shared" si="17"/>
        <v>0.49869683415032678</v>
      </c>
      <c r="U28" s="96">
        <f t="shared" si="18"/>
        <v>0.49033898533950609</v>
      </c>
      <c r="V28" s="96">
        <f t="shared" si="19"/>
        <v>0.49202552997076027</v>
      </c>
      <c r="W28" s="96">
        <f t="shared" si="20"/>
        <v>0.49354342013888891</v>
      </c>
      <c r="X28" s="96"/>
      <c r="Y28" s="65"/>
      <c r="AA28" s="83"/>
      <c r="AT28" s="235"/>
      <c r="AU28" s="27">
        <f t="shared" si="181"/>
        <v>42</v>
      </c>
      <c r="AV28" s="28" t="str">
        <f t="shared" si="147"/>
        <v>(1050)</v>
      </c>
      <c r="AW28" s="236">
        <f t="shared" si="182"/>
        <v>13</v>
      </c>
      <c r="AX28" s="193">
        <f>($IR28+(($IQ28-1)*$IS28)+$IT28)*BG28/144</f>
        <v>0.82408333333333339</v>
      </c>
      <c r="AY28" s="29" t="str">
        <f t="shared" si="148"/>
        <v>(0.08)</v>
      </c>
      <c r="AZ28" s="30">
        <v>2</v>
      </c>
      <c r="BA28" s="30">
        <f t="shared" si="27"/>
        <v>3.5</v>
      </c>
      <c r="BB28" s="30">
        <v>0</v>
      </c>
      <c r="BC28" s="30">
        <f t="shared" si="28"/>
        <v>0</v>
      </c>
      <c r="BD28" s="30">
        <v>0</v>
      </c>
      <c r="BE28" s="30">
        <f t="shared" si="29"/>
        <v>0</v>
      </c>
      <c r="BF28" s="30">
        <f t="shared" si="149"/>
        <v>3.5</v>
      </c>
      <c r="BG28" s="194">
        <f t="shared" si="31"/>
        <v>5.5</v>
      </c>
      <c r="BH28" s="373">
        <f>($IR28+(($IQ28-1)*$IS28)+$IT28)*BQ28/144</f>
        <v>1.2735833333333335</v>
      </c>
      <c r="BI28" s="374" t="str">
        <f t="shared" si="150"/>
        <v>(0.12)</v>
      </c>
      <c r="BJ28" s="375">
        <v>2</v>
      </c>
      <c r="BK28" s="375">
        <f t="shared" si="33"/>
        <v>3.5</v>
      </c>
      <c r="BL28" s="375">
        <v>0</v>
      </c>
      <c r="BM28" s="375">
        <f t="shared" si="34"/>
        <v>0</v>
      </c>
      <c r="BN28" s="375">
        <v>0</v>
      </c>
      <c r="BO28" s="375">
        <f t="shared" si="35"/>
        <v>0</v>
      </c>
      <c r="BP28" s="375">
        <f t="shared" si="151"/>
        <v>3.5</v>
      </c>
      <c r="BQ28" s="376">
        <f t="shared" si="37"/>
        <v>8.5</v>
      </c>
      <c r="BR28" s="373">
        <f>($IR28+(($IQ28-1)*$IS28)+$IT28)*CA28/144</f>
        <v>2.1725833333333338</v>
      </c>
      <c r="BS28" s="374" t="str">
        <f t="shared" si="38"/>
        <v>(0.2)</v>
      </c>
      <c r="BT28" s="375">
        <v>2</v>
      </c>
      <c r="BU28" s="375">
        <f t="shared" si="39"/>
        <v>3.5</v>
      </c>
      <c r="BV28" s="375">
        <v>0</v>
      </c>
      <c r="BW28" s="375">
        <f t="shared" si="40"/>
        <v>0</v>
      </c>
      <c r="BX28" s="375">
        <v>0</v>
      </c>
      <c r="BY28" s="375">
        <f t="shared" si="41"/>
        <v>0</v>
      </c>
      <c r="BZ28" s="375">
        <f t="shared" si="152"/>
        <v>3.5</v>
      </c>
      <c r="CA28" s="376">
        <f t="shared" si="43"/>
        <v>14.5</v>
      </c>
      <c r="CB28" s="373">
        <f>($IR28+(($IQ28-1)*$IS28)+$IT28)*CK28/144</f>
        <v>3.0715833333333333</v>
      </c>
      <c r="CC28" s="374" t="str">
        <f t="shared" si="44"/>
        <v>(0.29)</v>
      </c>
      <c r="CD28" s="375">
        <v>2</v>
      </c>
      <c r="CE28" s="375">
        <f t="shared" si="45"/>
        <v>3.5</v>
      </c>
      <c r="CF28" s="375">
        <v>0</v>
      </c>
      <c r="CG28" s="375">
        <f t="shared" si="46"/>
        <v>0</v>
      </c>
      <c r="CH28" s="375">
        <v>0</v>
      </c>
      <c r="CI28" s="375">
        <f t="shared" si="47"/>
        <v>0</v>
      </c>
      <c r="CJ28" s="375">
        <f t="shared" si="153"/>
        <v>3.5</v>
      </c>
      <c r="CK28" s="376">
        <f t="shared" si="49"/>
        <v>20.5</v>
      </c>
      <c r="CL28" s="373">
        <f>($IR28+(($IQ28-1)*$IS28)+$IT28)*CU28/144</f>
        <v>3.9705833333333334</v>
      </c>
      <c r="CM28" s="374" t="str">
        <f t="shared" si="50"/>
        <v>(0.37)</v>
      </c>
      <c r="CN28" s="375">
        <v>2</v>
      </c>
      <c r="CO28" s="375">
        <f t="shared" si="51"/>
        <v>3.5</v>
      </c>
      <c r="CP28" s="375">
        <v>0</v>
      </c>
      <c r="CQ28" s="375">
        <f t="shared" si="52"/>
        <v>0</v>
      </c>
      <c r="CR28" s="375">
        <v>0</v>
      </c>
      <c r="CS28" s="375">
        <f t="shared" si="53"/>
        <v>0</v>
      </c>
      <c r="CT28" s="375">
        <f t="shared" si="154"/>
        <v>3.5</v>
      </c>
      <c r="CU28" s="376">
        <f t="shared" si="55"/>
        <v>26.5</v>
      </c>
      <c r="CV28" s="373">
        <f>($IR28+(($IQ28-1)*$IS28)+$IT28)*DE28/144</f>
        <v>4.8695833333333338</v>
      </c>
      <c r="CW28" s="374" t="str">
        <f t="shared" si="56"/>
        <v>(0.45)</v>
      </c>
      <c r="CX28" s="375">
        <v>2</v>
      </c>
      <c r="CY28" s="375">
        <f t="shared" si="57"/>
        <v>3.5</v>
      </c>
      <c r="CZ28" s="375">
        <v>0</v>
      </c>
      <c r="DA28" s="375">
        <f t="shared" si="58"/>
        <v>0</v>
      </c>
      <c r="DB28" s="375">
        <v>0</v>
      </c>
      <c r="DC28" s="375">
        <f t="shared" si="59"/>
        <v>0</v>
      </c>
      <c r="DD28" s="375">
        <f t="shared" si="155"/>
        <v>3.5</v>
      </c>
      <c r="DE28" s="376">
        <f t="shared" si="61"/>
        <v>32.5</v>
      </c>
      <c r="DF28" s="373">
        <f>($IR28+(($IQ28-1)*$IS28)+$IT28)*DO28/144</f>
        <v>5.7685833333333338</v>
      </c>
      <c r="DG28" s="374" t="str">
        <f t="shared" si="62"/>
        <v>(0.54)</v>
      </c>
      <c r="DH28" s="375">
        <v>2</v>
      </c>
      <c r="DI28" s="375">
        <f t="shared" si="63"/>
        <v>3.5</v>
      </c>
      <c r="DJ28" s="375">
        <v>0</v>
      </c>
      <c r="DK28" s="375">
        <f t="shared" si="64"/>
        <v>0</v>
      </c>
      <c r="DL28" s="375">
        <v>0</v>
      </c>
      <c r="DM28" s="375">
        <f t="shared" si="65"/>
        <v>0</v>
      </c>
      <c r="DN28" s="375">
        <f t="shared" si="156"/>
        <v>3.5</v>
      </c>
      <c r="DO28" s="376">
        <f t="shared" si="67"/>
        <v>38.5</v>
      </c>
      <c r="DP28" s="373">
        <f>($IR28+(($IQ28-1)*$IS28)+$IT28)*DY28/144</f>
        <v>6.6675833333333339</v>
      </c>
      <c r="DQ28" s="374" t="str">
        <f t="shared" si="68"/>
        <v>(0.62)</v>
      </c>
      <c r="DR28" s="375">
        <v>2</v>
      </c>
      <c r="DS28" s="375">
        <f t="shared" si="69"/>
        <v>3.5</v>
      </c>
      <c r="DT28" s="375">
        <v>0</v>
      </c>
      <c r="DU28" s="375">
        <f t="shared" si="70"/>
        <v>0</v>
      </c>
      <c r="DV28" s="375">
        <v>0</v>
      </c>
      <c r="DW28" s="375">
        <f t="shared" si="71"/>
        <v>0</v>
      </c>
      <c r="DX28" s="375">
        <f t="shared" si="157"/>
        <v>3.5</v>
      </c>
      <c r="DY28" s="376">
        <f t="shared" si="73"/>
        <v>44.5</v>
      </c>
      <c r="DZ28" s="373">
        <f>($IR28+(($IQ28-1)*$IS28)+$IT28)*EI28/144</f>
        <v>7.4167499999999995</v>
      </c>
      <c r="EA28" s="374" t="str">
        <f t="shared" si="158"/>
        <v>(0.69)</v>
      </c>
      <c r="EB28" s="375">
        <v>2</v>
      </c>
      <c r="EC28" s="375">
        <f t="shared" si="75"/>
        <v>3.5</v>
      </c>
      <c r="ED28" s="375">
        <v>0</v>
      </c>
      <c r="EE28" s="375">
        <f t="shared" si="76"/>
        <v>0</v>
      </c>
      <c r="EF28" s="375">
        <v>1</v>
      </c>
      <c r="EG28" s="375">
        <f t="shared" si="77"/>
        <v>1</v>
      </c>
      <c r="EH28" s="375">
        <f t="shared" si="159"/>
        <v>4.5</v>
      </c>
      <c r="EI28" s="376">
        <f t="shared" si="79"/>
        <v>49.5</v>
      </c>
      <c r="EJ28" s="373">
        <f>($IR28+(($IQ28-1)*$IS28)+$IT28)*ES28/144</f>
        <v>8.3157500000000013</v>
      </c>
      <c r="EK28" s="374" t="str">
        <f t="shared" si="160"/>
        <v>(0.77)</v>
      </c>
      <c r="EL28" s="375">
        <v>2</v>
      </c>
      <c r="EM28" s="375">
        <f t="shared" si="81"/>
        <v>3.5</v>
      </c>
      <c r="EN28" s="375">
        <v>0</v>
      </c>
      <c r="EO28" s="375">
        <f t="shared" si="82"/>
        <v>0</v>
      </c>
      <c r="EP28" s="375">
        <v>1</v>
      </c>
      <c r="EQ28" s="375">
        <f t="shared" si="83"/>
        <v>1</v>
      </c>
      <c r="ER28" s="375">
        <f t="shared" si="161"/>
        <v>4.5</v>
      </c>
      <c r="ES28" s="376">
        <f t="shared" si="85"/>
        <v>55.5</v>
      </c>
      <c r="ET28" s="373">
        <f>($IR28+(($IQ28-1)*$IS28)+$IT28)*FC28/144</f>
        <v>9.2147500000000004</v>
      </c>
      <c r="EU28" s="374" t="str">
        <f t="shared" si="162"/>
        <v>(0.86)</v>
      </c>
      <c r="EV28" s="375">
        <v>2</v>
      </c>
      <c r="EW28" s="375">
        <f t="shared" si="87"/>
        <v>3.5</v>
      </c>
      <c r="EX28" s="375">
        <v>0</v>
      </c>
      <c r="EY28" s="375">
        <f t="shared" si="88"/>
        <v>0</v>
      </c>
      <c r="EZ28" s="375">
        <v>1</v>
      </c>
      <c r="FA28" s="375">
        <f t="shared" si="89"/>
        <v>1</v>
      </c>
      <c r="FB28" s="375">
        <f t="shared" si="163"/>
        <v>4.5</v>
      </c>
      <c r="FC28" s="376">
        <f t="shared" si="91"/>
        <v>61.5</v>
      </c>
      <c r="FD28" s="373">
        <f>($IR28+(($IQ28-1)*$IS28)+$IT28)*FM28/144</f>
        <v>10.095020833333333</v>
      </c>
      <c r="FE28" s="374" t="str">
        <f t="shared" si="164"/>
        <v>(0.94)</v>
      </c>
      <c r="FF28" s="375">
        <v>2</v>
      </c>
      <c r="FG28" s="375">
        <f t="shared" si="93"/>
        <v>3.5</v>
      </c>
      <c r="FH28" s="375">
        <v>1</v>
      </c>
      <c r="FI28" s="375">
        <f t="shared" si="94"/>
        <v>1.125</v>
      </c>
      <c r="FJ28" s="375">
        <v>0</v>
      </c>
      <c r="FK28" s="375">
        <f t="shared" si="95"/>
        <v>0</v>
      </c>
      <c r="FL28" s="375">
        <f t="shared" si="165"/>
        <v>4.625</v>
      </c>
      <c r="FM28" s="376">
        <f t="shared" si="97"/>
        <v>67.375</v>
      </c>
      <c r="FN28" s="373">
        <f>($IR28+(($IQ28-1)*$IS28)+$IT28)*FW28/144</f>
        <v>10.994020833333334</v>
      </c>
      <c r="FO28" s="374" t="str">
        <f t="shared" si="164"/>
        <v>(1.02)</v>
      </c>
      <c r="FP28" s="375">
        <v>2</v>
      </c>
      <c r="FQ28" s="375">
        <f t="shared" si="99"/>
        <v>3.5</v>
      </c>
      <c r="FR28" s="375">
        <v>1</v>
      </c>
      <c r="FS28" s="375">
        <f t="shared" si="100"/>
        <v>1.125</v>
      </c>
      <c r="FT28" s="375">
        <v>0</v>
      </c>
      <c r="FU28" s="375">
        <f t="shared" si="101"/>
        <v>0</v>
      </c>
      <c r="FV28" s="375">
        <f t="shared" si="166"/>
        <v>4.625</v>
      </c>
      <c r="FW28" s="376">
        <f t="shared" si="103"/>
        <v>73.375</v>
      </c>
      <c r="FX28" s="373">
        <f>($IR28+(($IQ28-1)*$IS28)+$IT28)*GG28/144</f>
        <v>11.893020833333333</v>
      </c>
      <c r="FY28" s="374" t="str">
        <f t="shared" si="167"/>
        <v>(1.10)</v>
      </c>
      <c r="FZ28" s="375">
        <v>2</v>
      </c>
      <c r="GA28" s="375">
        <f t="shared" si="105"/>
        <v>3.5</v>
      </c>
      <c r="GB28" s="375">
        <v>1</v>
      </c>
      <c r="GC28" s="375">
        <f t="shared" si="106"/>
        <v>1.125</v>
      </c>
      <c r="GD28" s="375">
        <v>0</v>
      </c>
      <c r="GE28" s="375">
        <f t="shared" si="107"/>
        <v>0</v>
      </c>
      <c r="GF28" s="375">
        <f t="shared" si="168"/>
        <v>4.625</v>
      </c>
      <c r="GG28" s="376">
        <f t="shared" si="109"/>
        <v>79.375</v>
      </c>
      <c r="GH28" s="373">
        <f>($IR28+(($IQ28-1)*$IS28)+$IT28)*GQ28/144</f>
        <v>12.792020833333332</v>
      </c>
      <c r="GI28" s="374" t="str">
        <f t="shared" si="169"/>
        <v>(1.19)</v>
      </c>
      <c r="GJ28" s="375">
        <v>2</v>
      </c>
      <c r="GK28" s="375">
        <f t="shared" si="111"/>
        <v>3.5</v>
      </c>
      <c r="GL28" s="375">
        <v>1</v>
      </c>
      <c r="GM28" s="375">
        <f t="shared" si="112"/>
        <v>1.125</v>
      </c>
      <c r="GN28" s="375">
        <v>0</v>
      </c>
      <c r="GO28" s="375">
        <f t="shared" si="113"/>
        <v>0</v>
      </c>
      <c r="GP28" s="375">
        <f t="shared" si="170"/>
        <v>4.625</v>
      </c>
      <c r="GQ28" s="376">
        <f t="shared" si="115"/>
        <v>85.375</v>
      </c>
      <c r="GR28" s="373">
        <f>($IR28+(($IQ28-1)*$IS28)+$IT28)*HA28/144</f>
        <v>13.691020833333333</v>
      </c>
      <c r="GS28" s="374" t="str">
        <f t="shared" si="171"/>
        <v>(1.27)</v>
      </c>
      <c r="GT28" s="375">
        <v>2</v>
      </c>
      <c r="GU28" s="375">
        <f t="shared" si="117"/>
        <v>3.5</v>
      </c>
      <c r="GV28" s="375">
        <v>1</v>
      </c>
      <c r="GW28" s="375">
        <f t="shared" si="118"/>
        <v>1.125</v>
      </c>
      <c r="GX28" s="375">
        <v>0</v>
      </c>
      <c r="GY28" s="375">
        <f t="shared" si="119"/>
        <v>0</v>
      </c>
      <c r="GZ28" s="375">
        <f t="shared" si="172"/>
        <v>4.625</v>
      </c>
      <c r="HA28" s="376">
        <f t="shared" si="121"/>
        <v>91.375</v>
      </c>
      <c r="HB28" s="373">
        <f>($IR28+(($IQ28-1)*$IS28)+$IT28)*HK28/144</f>
        <v>14.590020833333334</v>
      </c>
      <c r="HC28" s="374" t="str">
        <f t="shared" si="173"/>
        <v>(1.36)</v>
      </c>
      <c r="HD28" s="375">
        <v>2</v>
      </c>
      <c r="HE28" s="375">
        <f t="shared" si="123"/>
        <v>3.5</v>
      </c>
      <c r="HF28" s="375">
        <v>1</v>
      </c>
      <c r="HG28" s="375">
        <f t="shared" si="124"/>
        <v>1.125</v>
      </c>
      <c r="HH28" s="375">
        <v>0</v>
      </c>
      <c r="HI28" s="375">
        <f t="shared" si="125"/>
        <v>0</v>
      </c>
      <c r="HJ28" s="375">
        <f t="shared" si="174"/>
        <v>4.625</v>
      </c>
      <c r="HK28" s="376">
        <f t="shared" si="127"/>
        <v>97.375</v>
      </c>
      <c r="HL28" s="373">
        <f>($IR28+(($IQ28-1)*$IS28)+$IT28)*HU28/144</f>
        <v>15.189354166666666</v>
      </c>
      <c r="HM28" s="374" t="str">
        <f t="shared" si="175"/>
        <v>(1.41)</v>
      </c>
      <c r="HN28" s="375">
        <v>2</v>
      </c>
      <c r="HO28" s="375">
        <f t="shared" si="129"/>
        <v>3.5</v>
      </c>
      <c r="HP28" s="375">
        <v>1</v>
      </c>
      <c r="HQ28" s="375">
        <f t="shared" si="130"/>
        <v>1.125</v>
      </c>
      <c r="HR28" s="375">
        <v>2</v>
      </c>
      <c r="HS28" s="375">
        <f t="shared" si="131"/>
        <v>2</v>
      </c>
      <c r="HT28" s="375">
        <f t="shared" si="176"/>
        <v>6.625</v>
      </c>
      <c r="HU28" s="376">
        <f t="shared" si="133"/>
        <v>101.375</v>
      </c>
      <c r="HV28" s="373">
        <f>($IR28+(($IQ28-1)*$IS28)+$IT28)*IE28/144</f>
        <v>16.088354166666665</v>
      </c>
      <c r="HW28" s="374" t="str">
        <f t="shared" si="177"/>
        <v>(1.49)</v>
      </c>
      <c r="HX28" s="375">
        <v>2</v>
      </c>
      <c r="HY28" s="375">
        <f t="shared" si="135"/>
        <v>3.5</v>
      </c>
      <c r="HZ28" s="375">
        <v>1</v>
      </c>
      <c r="IA28" s="375">
        <f t="shared" si="136"/>
        <v>1.125</v>
      </c>
      <c r="IB28" s="375">
        <v>2</v>
      </c>
      <c r="IC28" s="375">
        <f t="shared" si="137"/>
        <v>2</v>
      </c>
      <c r="ID28" s="375">
        <f t="shared" si="178"/>
        <v>6.625</v>
      </c>
      <c r="IE28" s="376">
        <f t="shared" si="139"/>
        <v>107.375</v>
      </c>
      <c r="IF28" s="373">
        <f>($IR28+(($IQ28-1)*$IS28)+$IT28)*IO28/144</f>
        <v>16.987354166666666</v>
      </c>
      <c r="IG28" s="374" t="str">
        <f t="shared" si="179"/>
        <v>(1.58)</v>
      </c>
      <c r="IH28" s="22">
        <v>2</v>
      </c>
      <c r="II28" s="22">
        <f t="shared" si="141"/>
        <v>3.5</v>
      </c>
      <c r="IJ28" s="22">
        <v>1</v>
      </c>
      <c r="IK28" s="22">
        <f t="shared" si="142"/>
        <v>1.125</v>
      </c>
      <c r="IL28" s="22">
        <v>2</v>
      </c>
      <c r="IM28" s="22">
        <f t="shared" si="143"/>
        <v>2</v>
      </c>
      <c r="IN28" s="22">
        <f t="shared" si="180"/>
        <v>6.625</v>
      </c>
      <c r="IO28" s="23">
        <f t="shared" si="145"/>
        <v>113.375</v>
      </c>
      <c r="IP28" s="24"/>
      <c r="IQ28" s="25">
        <f t="shared" si="146"/>
        <v>7</v>
      </c>
      <c r="IR28" s="26">
        <v>2.5</v>
      </c>
      <c r="IS28" s="26">
        <v>2.8780000000000001</v>
      </c>
      <c r="IT28" s="26">
        <v>1.8080000000000001</v>
      </c>
      <c r="IU28" s="26">
        <v>1.75</v>
      </c>
      <c r="IV28" s="26">
        <v>1</v>
      </c>
      <c r="IW28" s="26">
        <v>1.125</v>
      </c>
      <c r="IX28" s="8"/>
    </row>
    <row r="29" spans="2:258" ht="15.75" thickBot="1" x14ac:dyDescent="0.3">
      <c r="B29" s="103">
        <f t="shared" si="25"/>
        <v>66</v>
      </c>
      <c r="C29" s="221">
        <v>12</v>
      </c>
      <c r="D29" s="98">
        <f t="shared" si="1"/>
        <v>0.32446296296296295</v>
      </c>
      <c r="E29" s="96">
        <f t="shared" si="2"/>
        <v>0.37608207070707073</v>
      </c>
      <c r="F29" s="96">
        <f t="shared" si="3"/>
        <v>0.4277011784511785</v>
      </c>
      <c r="G29" s="96">
        <f t="shared" si="4"/>
        <v>0.4535107323232323</v>
      </c>
      <c r="H29" s="96">
        <f t="shared" si="5"/>
        <v>0.46899646464646466</v>
      </c>
      <c r="I29" s="96">
        <f t="shared" si="6"/>
        <v>0.47932028619528622</v>
      </c>
      <c r="J29" s="96">
        <f t="shared" si="7"/>
        <v>0.48669444444444443</v>
      </c>
      <c r="K29" s="96">
        <f t="shared" si="8"/>
        <v>0.49222506313131315</v>
      </c>
      <c r="L29" s="96">
        <f t="shared" si="9"/>
        <v>0.48669444444444449</v>
      </c>
      <c r="M29" s="96">
        <f t="shared" si="10"/>
        <v>0.49111893939393947</v>
      </c>
      <c r="N29" s="96">
        <f t="shared" si="11"/>
        <v>0.49473898071625344</v>
      </c>
      <c r="O29" s="96">
        <f t="shared" si="12"/>
        <v>0.49683391203703708</v>
      </c>
      <c r="P29" s="96">
        <f t="shared" si="13"/>
        <v>0.49945741064491067</v>
      </c>
      <c r="Q29" s="96">
        <f t="shared" si="14"/>
        <v>0.50170612373737378</v>
      </c>
      <c r="R29" s="96">
        <f t="shared" si="15"/>
        <v>0.50365500841750843</v>
      </c>
      <c r="S29" s="96">
        <f t="shared" si="16"/>
        <v>0.50536028251262632</v>
      </c>
      <c r="T29" s="96">
        <f t="shared" si="17"/>
        <v>0.50686493612596561</v>
      </c>
      <c r="U29" s="96">
        <f t="shared" si="18"/>
        <v>0.49837019500561169</v>
      </c>
      <c r="V29" s="96">
        <f t="shared" si="19"/>
        <v>0.50008436337054762</v>
      </c>
      <c r="W29" s="96">
        <f t="shared" si="20"/>
        <v>0.50162711489898992</v>
      </c>
      <c r="X29" s="96"/>
      <c r="Y29" s="65"/>
      <c r="AA29" s="83"/>
      <c r="AT29" s="235"/>
      <c r="AU29" s="27">
        <f t="shared" si="181"/>
        <v>48</v>
      </c>
      <c r="AV29" s="28" t="str">
        <f t="shared" si="147"/>
        <v>(1200)</v>
      </c>
      <c r="AW29" s="236">
        <f t="shared" si="182"/>
        <v>14</v>
      </c>
      <c r="AX29" s="193">
        <f>($IR29+(($IQ29-1)*$IS29)+$IT29)*BG29/144</f>
        <v>0.96528819444444436</v>
      </c>
      <c r="AY29" s="29" t="str">
        <f t="shared" si="148"/>
        <v>(0.09)</v>
      </c>
      <c r="AZ29" s="30">
        <v>2</v>
      </c>
      <c r="BA29" s="30">
        <f t="shared" si="27"/>
        <v>3.5</v>
      </c>
      <c r="BB29" s="30">
        <v>0</v>
      </c>
      <c r="BC29" s="30">
        <f t="shared" si="28"/>
        <v>0</v>
      </c>
      <c r="BD29" s="30">
        <v>0</v>
      </c>
      <c r="BE29" s="30">
        <f t="shared" si="29"/>
        <v>0</v>
      </c>
      <c r="BF29" s="30">
        <f t="shared" si="149"/>
        <v>3.5</v>
      </c>
      <c r="BG29" s="194">
        <f t="shared" si="31"/>
        <v>5.5</v>
      </c>
      <c r="BH29" s="373">
        <f>($IR29+(($IQ29-1)*$IS29)+$IT29)*BQ29/144</f>
        <v>1.4918090277777778</v>
      </c>
      <c r="BI29" s="374" t="str">
        <f t="shared" si="150"/>
        <v>(0.14)</v>
      </c>
      <c r="BJ29" s="375">
        <v>2</v>
      </c>
      <c r="BK29" s="375">
        <f t="shared" si="33"/>
        <v>3.5</v>
      </c>
      <c r="BL29" s="375">
        <v>0</v>
      </c>
      <c r="BM29" s="375">
        <f t="shared" si="34"/>
        <v>0</v>
      </c>
      <c r="BN29" s="375">
        <v>0</v>
      </c>
      <c r="BO29" s="375">
        <f t="shared" si="35"/>
        <v>0</v>
      </c>
      <c r="BP29" s="375">
        <f t="shared" si="151"/>
        <v>3.5</v>
      </c>
      <c r="BQ29" s="376">
        <f t="shared" si="37"/>
        <v>8.5</v>
      </c>
      <c r="BR29" s="373">
        <f>($IR29+(($IQ29-1)*$IS29)+$IT29)*CA29/144</f>
        <v>2.5448506944444444</v>
      </c>
      <c r="BS29" s="374" t="str">
        <f t="shared" si="38"/>
        <v>(0.24)</v>
      </c>
      <c r="BT29" s="375">
        <v>2</v>
      </c>
      <c r="BU29" s="375">
        <f t="shared" si="39"/>
        <v>3.5</v>
      </c>
      <c r="BV29" s="375">
        <v>0</v>
      </c>
      <c r="BW29" s="375">
        <f t="shared" si="40"/>
        <v>0</v>
      </c>
      <c r="BX29" s="375">
        <v>0</v>
      </c>
      <c r="BY29" s="375">
        <f t="shared" si="41"/>
        <v>0</v>
      </c>
      <c r="BZ29" s="375">
        <f t="shared" si="152"/>
        <v>3.5</v>
      </c>
      <c r="CA29" s="376">
        <f t="shared" si="43"/>
        <v>14.5</v>
      </c>
      <c r="CB29" s="373">
        <f>($IR29+(($IQ29-1)*$IS29)+$IT29)*CK29/144</f>
        <v>3.5978923611111111</v>
      </c>
      <c r="CC29" s="374" t="str">
        <f t="shared" si="44"/>
        <v>(0.33)</v>
      </c>
      <c r="CD29" s="375">
        <v>2</v>
      </c>
      <c r="CE29" s="375">
        <f t="shared" si="45"/>
        <v>3.5</v>
      </c>
      <c r="CF29" s="375">
        <v>0</v>
      </c>
      <c r="CG29" s="375">
        <f t="shared" si="46"/>
        <v>0</v>
      </c>
      <c r="CH29" s="375">
        <v>0</v>
      </c>
      <c r="CI29" s="375">
        <f t="shared" si="47"/>
        <v>0</v>
      </c>
      <c r="CJ29" s="375">
        <f t="shared" si="153"/>
        <v>3.5</v>
      </c>
      <c r="CK29" s="376">
        <f t="shared" si="49"/>
        <v>20.5</v>
      </c>
      <c r="CL29" s="373">
        <f>($IR29+(($IQ29-1)*$IS29)+$IT29)*CU29/144</f>
        <v>4.6509340277777778</v>
      </c>
      <c r="CM29" s="374" t="str">
        <f t="shared" si="50"/>
        <v>(0.43)</v>
      </c>
      <c r="CN29" s="375">
        <v>2</v>
      </c>
      <c r="CO29" s="375">
        <f t="shared" si="51"/>
        <v>3.5</v>
      </c>
      <c r="CP29" s="375">
        <v>0</v>
      </c>
      <c r="CQ29" s="375">
        <f t="shared" si="52"/>
        <v>0</v>
      </c>
      <c r="CR29" s="375">
        <v>0</v>
      </c>
      <c r="CS29" s="375">
        <f t="shared" si="53"/>
        <v>0</v>
      </c>
      <c r="CT29" s="375">
        <f t="shared" si="154"/>
        <v>3.5</v>
      </c>
      <c r="CU29" s="376">
        <f t="shared" si="55"/>
        <v>26.5</v>
      </c>
      <c r="CV29" s="373">
        <f>($IR29+(($IQ29-1)*$IS29)+$IT29)*DE29/144</f>
        <v>5.703975694444444</v>
      </c>
      <c r="CW29" s="374" t="str">
        <f t="shared" si="56"/>
        <v>(0.53)</v>
      </c>
      <c r="CX29" s="375">
        <v>2</v>
      </c>
      <c r="CY29" s="375">
        <f t="shared" si="57"/>
        <v>3.5</v>
      </c>
      <c r="CZ29" s="375">
        <v>0</v>
      </c>
      <c r="DA29" s="375">
        <f t="shared" si="58"/>
        <v>0</v>
      </c>
      <c r="DB29" s="375">
        <v>0</v>
      </c>
      <c r="DC29" s="375">
        <f t="shared" si="59"/>
        <v>0</v>
      </c>
      <c r="DD29" s="375">
        <f t="shared" si="155"/>
        <v>3.5</v>
      </c>
      <c r="DE29" s="376">
        <f t="shared" si="61"/>
        <v>32.5</v>
      </c>
      <c r="DF29" s="373">
        <f>($IR29+(($IQ29-1)*$IS29)+$IT29)*DO29/144</f>
        <v>6.7570173611111111</v>
      </c>
      <c r="DG29" s="374" t="str">
        <f t="shared" si="62"/>
        <v>(0.63)</v>
      </c>
      <c r="DH29" s="375">
        <v>2</v>
      </c>
      <c r="DI29" s="375">
        <f t="shared" si="63"/>
        <v>3.5</v>
      </c>
      <c r="DJ29" s="375">
        <v>0</v>
      </c>
      <c r="DK29" s="375">
        <f t="shared" si="64"/>
        <v>0</v>
      </c>
      <c r="DL29" s="375">
        <v>0</v>
      </c>
      <c r="DM29" s="375">
        <f t="shared" si="65"/>
        <v>0</v>
      </c>
      <c r="DN29" s="375">
        <f t="shared" si="156"/>
        <v>3.5</v>
      </c>
      <c r="DO29" s="376">
        <f t="shared" si="67"/>
        <v>38.5</v>
      </c>
      <c r="DP29" s="377">
        <f>($IR29+(($IQ29-1)*$IS29)+$IT29)*DY29/144</f>
        <v>7.8100590277777782</v>
      </c>
      <c r="DQ29" s="378" t="str">
        <f t="shared" si="68"/>
        <v>(0.73)</v>
      </c>
      <c r="DR29" s="375">
        <v>2</v>
      </c>
      <c r="DS29" s="375">
        <f t="shared" si="69"/>
        <v>3.5</v>
      </c>
      <c r="DT29" s="375">
        <v>0</v>
      </c>
      <c r="DU29" s="375">
        <f t="shared" si="70"/>
        <v>0</v>
      </c>
      <c r="DV29" s="375">
        <v>0</v>
      </c>
      <c r="DW29" s="375">
        <f t="shared" si="71"/>
        <v>0</v>
      </c>
      <c r="DX29" s="375">
        <f t="shared" si="157"/>
        <v>3.5</v>
      </c>
      <c r="DY29" s="376">
        <f t="shared" si="73"/>
        <v>44.5</v>
      </c>
      <c r="DZ29" s="373">
        <f>($IR29+(($IQ29-1)*$IS29)+$IT29)*EI29/144</f>
        <v>8.6875937499999996</v>
      </c>
      <c r="EA29" s="374" t="str">
        <f t="shared" si="158"/>
        <v>(0.81)</v>
      </c>
      <c r="EB29" s="375">
        <v>2</v>
      </c>
      <c r="EC29" s="375">
        <f t="shared" si="75"/>
        <v>3.5</v>
      </c>
      <c r="ED29" s="375">
        <v>0</v>
      </c>
      <c r="EE29" s="375">
        <f t="shared" si="76"/>
        <v>0</v>
      </c>
      <c r="EF29" s="375">
        <v>1</v>
      </c>
      <c r="EG29" s="375">
        <f t="shared" si="77"/>
        <v>1</v>
      </c>
      <c r="EH29" s="375">
        <f t="shared" si="159"/>
        <v>4.5</v>
      </c>
      <c r="EI29" s="376">
        <f t="shared" si="79"/>
        <v>49.5</v>
      </c>
      <c r="EJ29" s="373">
        <f>($IR29+(($IQ29-1)*$IS29)+$IT29)*ES29/144</f>
        <v>9.7406354166666667</v>
      </c>
      <c r="EK29" s="374" t="str">
        <f t="shared" si="160"/>
        <v>(0.90)</v>
      </c>
      <c r="EL29" s="375">
        <v>2</v>
      </c>
      <c r="EM29" s="375">
        <f t="shared" si="81"/>
        <v>3.5</v>
      </c>
      <c r="EN29" s="375">
        <v>0</v>
      </c>
      <c r="EO29" s="375">
        <f t="shared" si="82"/>
        <v>0</v>
      </c>
      <c r="EP29" s="375">
        <v>1</v>
      </c>
      <c r="EQ29" s="375">
        <f t="shared" si="83"/>
        <v>1</v>
      </c>
      <c r="ER29" s="375">
        <f t="shared" si="161"/>
        <v>4.5</v>
      </c>
      <c r="ES29" s="376">
        <f t="shared" si="85"/>
        <v>55.5</v>
      </c>
      <c r="ET29" s="373">
        <f>($IR29+(($IQ29-1)*$IS29)+$IT29)*FC29/144</f>
        <v>10.793677083333334</v>
      </c>
      <c r="EU29" s="374" t="str">
        <f t="shared" si="162"/>
        <v>(1.00)</v>
      </c>
      <c r="EV29" s="375">
        <v>2</v>
      </c>
      <c r="EW29" s="375">
        <f t="shared" si="87"/>
        <v>3.5</v>
      </c>
      <c r="EX29" s="375">
        <v>0</v>
      </c>
      <c r="EY29" s="375">
        <f t="shared" si="88"/>
        <v>0</v>
      </c>
      <c r="EZ29" s="375">
        <v>1</v>
      </c>
      <c r="FA29" s="375">
        <f t="shared" si="89"/>
        <v>1</v>
      </c>
      <c r="FB29" s="375">
        <f t="shared" si="163"/>
        <v>4.5</v>
      </c>
      <c r="FC29" s="376">
        <f t="shared" si="91"/>
        <v>61.5</v>
      </c>
      <c r="FD29" s="373">
        <f>($IR29+(($IQ29-1)*$IS29)+$IT29)*FM29/144</f>
        <v>11.824780381944443</v>
      </c>
      <c r="FE29" s="374" t="str">
        <f t="shared" si="164"/>
        <v>(1.10)</v>
      </c>
      <c r="FF29" s="375">
        <v>2</v>
      </c>
      <c r="FG29" s="375">
        <f t="shared" si="93"/>
        <v>3.5</v>
      </c>
      <c r="FH29" s="375">
        <v>1</v>
      </c>
      <c r="FI29" s="375">
        <f t="shared" si="94"/>
        <v>1.125</v>
      </c>
      <c r="FJ29" s="375">
        <v>0</v>
      </c>
      <c r="FK29" s="375">
        <f t="shared" si="95"/>
        <v>0</v>
      </c>
      <c r="FL29" s="375">
        <f t="shared" si="165"/>
        <v>4.625</v>
      </c>
      <c r="FM29" s="376">
        <f t="shared" si="97"/>
        <v>67.375</v>
      </c>
      <c r="FN29" s="373">
        <f>($IR29+(($IQ29-1)*$IS29)+$IT29)*FW29/144</f>
        <v>12.877822048611112</v>
      </c>
      <c r="FO29" s="374" t="str">
        <f t="shared" si="164"/>
        <v>(1.20)</v>
      </c>
      <c r="FP29" s="375">
        <v>2</v>
      </c>
      <c r="FQ29" s="375">
        <f t="shared" si="99"/>
        <v>3.5</v>
      </c>
      <c r="FR29" s="375">
        <v>1</v>
      </c>
      <c r="FS29" s="375">
        <f t="shared" si="100"/>
        <v>1.125</v>
      </c>
      <c r="FT29" s="375">
        <v>0</v>
      </c>
      <c r="FU29" s="375">
        <f t="shared" si="101"/>
        <v>0</v>
      </c>
      <c r="FV29" s="375">
        <f t="shared" si="166"/>
        <v>4.625</v>
      </c>
      <c r="FW29" s="376">
        <f t="shared" si="103"/>
        <v>73.375</v>
      </c>
      <c r="FX29" s="373">
        <f>($IR29+(($IQ29-1)*$IS29)+$IT29)*GG29/144</f>
        <v>13.930863715277777</v>
      </c>
      <c r="FY29" s="374" t="str">
        <f t="shared" si="167"/>
        <v>(1.29)</v>
      </c>
      <c r="FZ29" s="375">
        <v>2</v>
      </c>
      <c r="GA29" s="375">
        <f t="shared" si="105"/>
        <v>3.5</v>
      </c>
      <c r="GB29" s="375">
        <v>1</v>
      </c>
      <c r="GC29" s="375">
        <f t="shared" si="106"/>
        <v>1.125</v>
      </c>
      <c r="GD29" s="375">
        <v>0</v>
      </c>
      <c r="GE29" s="375">
        <f t="shared" si="107"/>
        <v>0</v>
      </c>
      <c r="GF29" s="375">
        <f t="shared" si="168"/>
        <v>4.625</v>
      </c>
      <c r="GG29" s="376">
        <f t="shared" si="109"/>
        <v>79.375</v>
      </c>
      <c r="GH29" s="373">
        <f>($IR29+(($IQ29-1)*$IS29)+$IT29)*GQ29/144</f>
        <v>14.983905381944444</v>
      </c>
      <c r="GI29" s="374" t="str">
        <f t="shared" si="169"/>
        <v>(1.39)</v>
      </c>
      <c r="GJ29" s="375">
        <v>2</v>
      </c>
      <c r="GK29" s="375">
        <f t="shared" si="111"/>
        <v>3.5</v>
      </c>
      <c r="GL29" s="375">
        <v>1</v>
      </c>
      <c r="GM29" s="375">
        <f t="shared" si="112"/>
        <v>1.125</v>
      </c>
      <c r="GN29" s="375">
        <v>0</v>
      </c>
      <c r="GO29" s="375">
        <f t="shared" si="113"/>
        <v>0</v>
      </c>
      <c r="GP29" s="375">
        <f t="shared" si="170"/>
        <v>4.625</v>
      </c>
      <c r="GQ29" s="376">
        <f t="shared" si="115"/>
        <v>85.375</v>
      </c>
      <c r="GR29" s="373">
        <f>($IR29+(($IQ29-1)*$IS29)+$IT29)*HA29/144</f>
        <v>16.036947048611111</v>
      </c>
      <c r="GS29" s="374" t="str">
        <f t="shared" si="171"/>
        <v>(1.49)</v>
      </c>
      <c r="GT29" s="375">
        <v>2</v>
      </c>
      <c r="GU29" s="375">
        <f t="shared" si="117"/>
        <v>3.5</v>
      </c>
      <c r="GV29" s="375">
        <v>1</v>
      </c>
      <c r="GW29" s="375">
        <f t="shared" si="118"/>
        <v>1.125</v>
      </c>
      <c r="GX29" s="375">
        <v>0</v>
      </c>
      <c r="GY29" s="375">
        <f t="shared" si="119"/>
        <v>0</v>
      </c>
      <c r="GZ29" s="375">
        <f t="shared" si="172"/>
        <v>4.625</v>
      </c>
      <c r="HA29" s="376">
        <f t="shared" si="121"/>
        <v>91.375</v>
      </c>
      <c r="HB29" s="373">
        <f>($IR29+(($IQ29-1)*$IS29)+$IT29)*HK29/144</f>
        <v>17.08998871527778</v>
      </c>
      <c r="HC29" s="374" t="str">
        <f t="shared" si="173"/>
        <v>(1.59)</v>
      </c>
      <c r="HD29" s="375">
        <v>2</v>
      </c>
      <c r="HE29" s="375">
        <f t="shared" si="123"/>
        <v>3.5</v>
      </c>
      <c r="HF29" s="375">
        <v>1</v>
      </c>
      <c r="HG29" s="375">
        <f t="shared" si="124"/>
        <v>1.125</v>
      </c>
      <c r="HH29" s="375">
        <v>0</v>
      </c>
      <c r="HI29" s="375">
        <f t="shared" si="125"/>
        <v>0</v>
      </c>
      <c r="HJ29" s="375">
        <f t="shared" si="174"/>
        <v>4.625</v>
      </c>
      <c r="HK29" s="376">
        <f t="shared" si="127"/>
        <v>97.375</v>
      </c>
      <c r="HL29" s="373">
        <f>($IR29+(($IQ29-1)*$IS29)+$IT29)*HU29/144</f>
        <v>17.792016493055556</v>
      </c>
      <c r="HM29" s="374" t="str">
        <f t="shared" si="175"/>
        <v>(1.65)</v>
      </c>
      <c r="HN29" s="375">
        <v>2</v>
      </c>
      <c r="HO29" s="375">
        <f t="shared" si="129"/>
        <v>3.5</v>
      </c>
      <c r="HP29" s="375">
        <v>1</v>
      </c>
      <c r="HQ29" s="375">
        <f t="shared" si="130"/>
        <v>1.125</v>
      </c>
      <c r="HR29" s="375">
        <v>2</v>
      </c>
      <c r="HS29" s="375">
        <f t="shared" si="131"/>
        <v>2</v>
      </c>
      <c r="HT29" s="375">
        <f t="shared" si="176"/>
        <v>6.625</v>
      </c>
      <c r="HU29" s="376">
        <f t="shared" si="133"/>
        <v>101.375</v>
      </c>
      <c r="HV29" s="373">
        <f>($IR29+(($IQ29-1)*$IS29)+$IT29)*IE29/144</f>
        <v>18.845058159722225</v>
      </c>
      <c r="HW29" s="374" t="str">
        <f t="shared" si="177"/>
        <v>(1.75)</v>
      </c>
      <c r="HX29" s="375">
        <v>2</v>
      </c>
      <c r="HY29" s="375">
        <f t="shared" si="135"/>
        <v>3.5</v>
      </c>
      <c r="HZ29" s="375">
        <v>1</v>
      </c>
      <c r="IA29" s="375">
        <f t="shared" si="136"/>
        <v>1.125</v>
      </c>
      <c r="IB29" s="375">
        <v>2</v>
      </c>
      <c r="IC29" s="375">
        <f t="shared" si="137"/>
        <v>2</v>
      </c>
      <c r="ID29" s="375">
        <f t="shared" si="178"/>
        <v>6.625</v>
      </c>
      <c r="IE29" s="376">
        <f t="shared" si="139"/>
        <v>107.375</v>
      </c>
      <c r="IF29" s="373">
        <f>($IR29+(($IQ29-1)*$IS29)+$IT29)*IO29/144</f>
        <v>19.89809982638889</v>
      </c>
      <c r="IG29" s="374" t="str">
        <f t="shared" si="179"/>
        <v>(1.85)</v>
      </c>
      <c r="IH29" s="22">
        <v>2</v>
      </c>
      <c r="II29" s="22">
        <f t="shared" si="141"/>
        <v>3.5</v>
      </c>
      <c r="IJ29" s="22">
        <v>1</v>
      </c>
      <c r="IK29" s="22">
        <f t="shared" si="142"/>
        <v>1.125</v>
      </c>
      <c r="IL29" s="22">
        <v>2</v>
      </c>
      <c r="IM29" s="22">
        <f t="shared" si="143"/>
        <v>2</v>
      </c>
      <c r="IN29" s="22">
        <f t="shared" si="180"/>
        <v>6.625</v>
      </c>
      <c r="IO29" s="23">
        <f t="shared" si="145"/>
        <v>113.375</v>
      </c>
      <c r="IP29" s="24"/>
      <c r="IQ29" s="25">
        <f t="shared" si="146"/>
        <v>8</v>
      </c>
      <c r="IR29" s="26">
        <v>2.5</v>
      </c>
      <c r="IS29" s="26">
        <v>2.8780000000000001</v>
      </c>
      <c r="IT29" s="26">
        <v>2.6269999999999998</v>
      </c>
      <c r="IU29" s="26">
        <v>1.75</v>
      </c>
      <c r="IV29" s="26">
        <v>1</v>
      </c>
      <c r="IW29" s="26">
        <v>1.125</v>
      </c>
      <c r="IX29" s="8"/>
    </row>
    <row r="30" spans="2:258" ht="15.75" thickBot="1" x14ac:dyDescent="0.3">
      <c r="B30" s="103">
        <f t="shared" si="25"/>
        <v>72</v>
      </c>
      <c r="C30" s="226">
        <v>13</v>
      </c>
      <c r="D30" s="98">
        <f t="shared" si="1"/>
        <v>0.32969444444444446</v>
      </c>
      <c r="E30" s="96">
        <f t="shared" si="2"/>
        <v>0.38214583333333341</v>
      </c>
      <c r="F30" s="96">
        <f t="shared" si="3"/>
        <v>0.4345972222222223</v>
      </c>
      <c r="G30" s="96">
        <f t="shared" si="4"/>
        <v>0.46082291666666669</v>
      </c>
      <c r="H30" s="96">
        <f t="shared" si="5"/>
        <v>0.47655833333333331</v>
      </c>
      <c r="I30" s="96">
        <f t="shared" si="6"/>
        <v>0.48704861111111114</v>
      </c>
      <c r="J30" s="96">
        <f t="shared" si="7"/>
        <v>0.49454166666666677</v>
      </c>
      <c r="K30" s="96">
        <f t="shared" si="8"/>
        <v>0.50016145833333336</v>
      </c>
      <c r="L30" s="96">
        <f t="shared" si="9"/>
        <v>0.49454166666666666</v>
      </c>
      <c r="M30" s="96">
        <f t="shared" si="10"/>
        <v>0.49903750000000002</v>
      </c>
      <c r="N30" s="96">
        <f t="shared" si="11"/>
        <v>0.50271590909090902</v>
      </c>
      <c r="O30" s="96">
        <f t="shared" si="12"/>
        <v>0.50484461805555558</v>
      </c>
      <c r="P30" s="96">
        <f t="shared" si="13"/>
        <v>0.50751041666666674</v>
      </c>
      <c r="Q30" s="96">
        <f t="shared" si="14"/>
        <v>0.509795386904762</v>
      </c>
      <c r="R30" s="96">
        <f t="shared" si="15"/>
        <v>0.51177569444444448</v>
      </c>
      <c r="S30" s="96">
        <f t="shared" si="16"/>
        <v>0.51350846354166668</v>
      </c>
      <c r="T30" s="96">
        <f t="shared" si="17"/>
        <v>0.51503737745098044</v>
      </c>
      <c r="U30" s="96">
        <f t="shared" si="18"/>
        <v>0.50640567129629632</v>
      </c>
      <c r="V30" s="96">
        <f t="shared" si="19"/>
        <v>0.50814747807017546</v>
      </c>
      <c r="W30" s="96">
        <f t="shared" si="20"/>
        <v>0.50971510416666665</v>
      </c>
      <c r="X30" s="96"/>
      <c r="Y30" s="65"/>
      <c r="AA30" s="83"/>
      <c r="AT30" s="235"/>
      <c r="AU30" s="27">
        <f t="shared" si="181"/>
        <v>54</v>
      </c>
      <c r="AV30" s="28" t="str">
        <f t="shared" si="147"/>
        <v>(1350)</v>
      </c>
      <c r="AW30" s="236">
        <f t="shared" si="182"/>
        <v>15</v>
      </c>
      <c r="AX30" s="193">
        <f>($IR30+(($IQ30-1)*$IS30)+$IT30)*BG30/144</f>
        <v>1.0647465277777779</v>
      </c>
      <c r="AY30" s="29" t="str">
        <f t="shared" si="148"/>
        <v>(0.10)</v>
      </c>
      <c r="AZ30" s="30">
        <v>2</v>
      </c>
      <c r="BA30" s="30">
        <f t="shared" si="27"/>
        <v>3.5</v>
      </c>
      <c r="BB30" s="30">
        <v>0</v>
      </c>
      <c r="BC30" s="30">
        <f t="shared" si="28"/>
        <v>0</v>
      </c>
      <c r="BD30" s="30">
        <v>0</v>
      </c>
      <c r="BE30" s="30">
        <f t="shared" si="29"/>
        <v>0</v>
      </c>
      <c r="BF30" s="30">
        <f t="shared" si="149"/>
        <v>3.5</v>
      </c>
      <c r="BG30" s="194">
        <f t="shared" si="31"/>
        <v>5.5</v>
      </c>
      <c r="BH30" s="373">
        <f>($IR30+(($IQ30-1)*$IS30)+$IT30)*BQ30/144</f>
        <v>1.6455173611111114</v>
      </c>
      <c r="BI30" s="374" t="str">
        <f t="shared" si="150"/>
        <v>(0.15)</v>
      </c>
      <c r="BJ30" s="375">
        <v>2</v>
      </c>
      <c r="BK30" s="375">
        <f t="shared" si="33"/>
        <v>3.5</v>
      </c>
      <c r="BL30" s="375">
        <v>0</v>
      </c>
      <c r="BM30" s="375">
        <f t="shared" si="34"/>
        <v>0</v>
      </c>
      <c r="BN30" s="375">
        <v>0</v>
      </c>
      <c r="BO30" s="375">
        <f t="shared" si="35"/>
        <v>0</v>
      </c>
      <c r="BP30" s="375">
        <f t="shared" si="151"/>
        <v>3.5</v>
      </c>
      <c r="BQ30" s="376">
        <f t="shared" si="37"/>
        <v>8.5</v>
      </c>
      <c r="BR30" s="373">
        <f>($IR30+(($IQ30-1)*$IS30)+$IT30)*CA30/144</f>
        <v>2.807059027777778</v>
      </c>
      <c r="BS30" s="374" t="str">
        <f t="shared" si="38"/>
        <v>(0.26)</v>
      </c>
      <c r="BT30" s="375">
        <v>2</v>
      </c>
      <c r="BU30" s="375">
        <f t="shared" si="39"/>
        <v>3.5</v>
      </c>
      <c r="BV30" s="375">
        <v>0</v>
      </c>
      <c r="BW30" s="375">
        <f t="shared" si="40"/>
        <v>0</v>
      </c>
      <c r="BX30" s="375">
        <v>0</v>
      </c>
      <c r="BY30" s="375">
        <f t="shared" si="41"/>
        <v>0</v>
      </c>
      <c r="BZ30" s="375">
        <f t="shared" si="152"/>
        <v>3.5</v>
      </c>
      <c r="CA30" s="376">
        <f t="shared" si="43"/>
        <v>14.5</v>
      </c>
      <c r="CB30" s="373">
        <f>($IR30+(($IQ30-1)*$IS30)+$IT30)*CK30/144</f>
        <v>3.968600694444445</v>
      </c>
      <c r="CC30" s="374" t="str">
        <f t="shared" si="44"/>
        <v>(0.37)</v>
      </c>
      <c r="CD30" s="375">
        <v>2</v>
      </c>
      <c r="CE30" s="375">
        <f t="shared" si="45"/>
        <v>3.5</v>
      </c>
      <c r="CF30" s="375">
        <v>0</v>
      </c>
      <c r="CG30" s="375">
        <f t="shared" si="46"/>
        <v>0</v>
      </c>
      <c r="CH30" s="375">
        <v>0</v>
      </c>
      <c r="CI30" s="375">
        <f t="shared" si="47"/>
        <v>0</v>
      </c>
      <c r="CJ30" s="375">
        <f t="shared" si="153"/>
        <v>3.5</v>
      </c>
      <c r="CK30" s="376">
        <f t="shared" si="49"/>
        <v>20.5</v>
      </c>
      <c r="CL30" s="373">
        <f>($IR30+(($IQ30-1)*$IS30)+$IT30)*CU30/144</f>
        <v>5.1301423611111119</v>
      </c>
      <c r="CM30" s="374" t="str">
        <f t="shared" si="50"/>
        <v>(0.48)</v>
      </c>
      <c r="CN30" s="375">
        <v>2</v>
      </c>
      <c r="CO30" s="375">
        <f t="shared" si="51"/>
        <v>3.5</v>
      </c>
      <c r="CP30" s="375">
        <v>0</v>
      </c>
      <c r="CQ30" s="375">
        <f t="shared" si="52"/>
        <v>0</v>
      </c>
      <c r="CR30" s="375">
        <v>0</v>
      </c>
      <c r="CS30" s="375">
        <f t="shared" si="53"/>
        <v>0</v>
      </c>
      <c r="CT30" s="375">
        <f t="shared" si="154"/>
        <v>3.5</v>
      </c>
      <c r="CU30" s="376">
        <f t="shared" si="55"/>
        <v>26.5</v>
      </c>
      <c r="CV30" s="373">
        <f>($IR30+(($IQ30-1)*$IS30)+$IT30)*DE30/144</f>
        <v>6.2916840277777784</v>
      </c>
      <c r="CW30" s="374" t="str">
        <f t="shared" si="56"/>
        <v>(0.58)</v>
      </c>
      <c r="CX30" s="375">
        <v>2</v>
      </c>
      <c r="CY30" s="375">
        <f t="shared" si="57"/>
        <v>3.5</v>
      </c>
      <c r="CZ30" s="375">
        <v>0</v>
      </c>
      <c r="DA30" s="375">
        <f t="shared" si="58"/>
        <v>0</v>
      </c>
      <c r="DB30" s="375">
        <v>0</v>
      </c>
      <c r="DC30" s="375">
        <f t="shared" si="59"/>
        <v>0</v>
      </c>
      <c r="DD30" s="375">
        <f t="shared" si="155"/>
        <v>3.5</v>
      </c>
      <c r="DE30" s="376">
        <f t="shared" si="61"/>
        <v>32.5</v>
      </c>
      <c r="DF30" s="373">
        <f>($IR30+(($IQ30-1)*$IS30)+$IT30)*DO30/144</f>
        <v>7.4532256944444448</v>
      </c>
      <c r="DG30" s="374" t="str">
        <f t="shared" si="62"/>
        <v>(0.69)</v>
      </c>
      <c r="DH30" s="375">
        <v>2</v>
      </c>
      <c r="DI30" s="375">
        <f t="shared" si="63"/>
        <v>3.5</v>
      </c>
      <c r="DJ30" s="375">
        <v>0</v>
      </c>
      <c r="DK30" s="375">
        <f t="shared" si="64"/>
        <v>0</v>
      </c>
      <c r="DL30" s="375">
        <v>0</v>
      </c>
      <c r="DM30" s="375">
        <f t="shared" si="65"/>
        <v>0</v>
      </c>
      <c r="DN30" s="375">
        <f t="shared" si="156"/>
        <v>3.5</v>
      </c>
      <c r="DO30" s="376">
        <f t="shared" si="67"/>
        <v>38.5</v>
      </c>
      <c r="DP30" s="373">
        <f>($IR30+(($IQ30-1)*$IS30)+$IT30)*DY30/144</f>
        <v>8.6147673611111131</v>
      </c>
      <c r="DQ30" s="374" t="str">
        <f t="shared" si="68"/>
        <v>(0.8)</v>
      </c>
      <c r="DR30" s="375">
        <v>2</v>
      </c>
      <c r="DS30" s="375">
        <f t="shared" si="69"/>
        <v>3.5</v>
      </c>
      <c r="DT30" s="375">
        <v>0</v>
      </c>
      <c r="DU30" s="375">
        <f t="shared" si="70"/>
        <v>0</v>
      </c>
      <c r="DV30" s="375">
        <v>0</v>
      </c>
      <c r="DW30" s="375">
        <f t="shared" si="71"/>
        <v>0</v>
      </c>
      <c r="DX30" s="375">
        <f t="shared" si="157"/>
        <v>3.5</v>
      </c>
      <c r="DY30" s="376">
        <f t="shared" si="73"/>
        <v>44.5</v>
      </c>
      <c r="DZ30" s="373">
        <f>($IR30+(($IQ30-1)*$IS30)+$IT30)*EI30/144</f>
        <v>9.5827187500000015</v>
      </c>
      <c r="EA30" s="374" t="str">
        <f t="shared" si="158"/>
        <v>(0.89)</v>
      </c>
      <c r="EB30" s="375">
        <v>2</v>
      </c>
      <c r="EC30" s="375">
        <f t="shared" si="75"/>
        <v>3.5</v>
      </c>
      <c r="ED30" s="375">
        <v>0</v>
      </c>
      <c r="EE30" s="375">
        <f t="shared" si="76"/>
        <v>0</v>
      </c>
      <c r="EF30" s="375">
        <v>1</v>
      </c>
      <c r="EG30" s="375">
        <f t="shared" si="77"/>
        <v>1</v>
      </c>
      <c r="EH30" s="375">
        <f t="shared" si="159"/>
        <v>4.5</v>
      </c>
      <c r="EI30" s="376">
        <f t="shared" si="79"/>
        <v>49.5</v>
      </c>
      <c r="EJ30" s="373">
        <f>($IR30+(($IQ30-1)*$IS30)+$IT30)*ES30/144</f>
        <v>10.744260416666668</v>
      </c>
      <c r="EK30" s="374" t="str">
        <f t="shared" si="160"/>
        <v>(1.00)</v>
      </c>
      <c r="EL30" s="375">
        <v>2</v>
      </c>
      <c r="EM30" s="375">
        <f t="shared" si="81"/>
        <v>3.5</v>
      </c>
      <c r="EN30" s="375">
        <v>0</v>
      </c>
      <c r="EO30" s="375">
        <f t="shared" si="82"/>
        <v>0</v>
      </c>
      <c r="EP30" s="375">
        <v>1</v>
      </c>
      <c r="EQ30" s="375">
        <f t="shared" si="83"/>
        <v>1</v>
      </c>
      <c r="ER30" s="375">
        <f t="shared" si="161"/>
        <v>4.5</v>
      </c>
      <c r="ES30" s="376">
        <f t="shared" si="85"/>
        <v>55.5</v>
      </c>
      <c r="ET30" s="373">
        <f>($IR30+(($IQ30-1)*$IS30)+$IT30)*FC30/144</f>
        <v>11.905802083333334</v>
      </c>
      <c r="EU30" s="374" t="str">
        <f t="shared" si="162"/>
        <v>(1.11)</v>
      </c>
      <c r="EV30" s="375">
        <v>2</v>
      </c>
      <c r="EW30" s="375">
        <f t="shared" si="87"/>
        <v>3.5</v>
      </c>
      <c r="EX30" s="375">
        <v>0</v>
      </c>
      <c r="EY30" s="375">
        <f t="shared" si="88"/>
        <v>0</v>
      </c>
      <c r="EZ30" s="375">
        <v>1</v>
      </c>
      <c r="FA30" s="375">
        <f t="shared" si="89"/>
        <v>1</v>
      </c>
      <c r="FB30" s="375">
        <f t="shared" si="163"/>
        <v>4.5</v>
      </c>
      <c r="FC30" s="376">
        <f t="shared" si="91"/>
        <v>61.5</v>
      </c>
      <c r="FD30" s="373">
        <f>($IR30+(($IQ30-1)*$IS30)+$IT30)*FM30/144</f>
        <v>13.043144965277779</v>
      </c>
      <c r="FE30" s="374" t="str">
        <f t="shared" si="164"/>
        <v>(1.21)</v>
      </c>
      <c r="FF30" s="375">
        <v>2</v>
      </c>
      <c r="FG30" s="375">
        <f t="shared" si="93"/>
        <v>3.5</v>
      </c>
      <c r="FH30" s="375">
        <v>1</v>
      </c>
      <c r="FI30" s="375">
        <f t="shared" si="94"/>
        <v>1.125</v>
      </c>
      <c r="FJ30" s="375">
        <v>0</v>
      </c>
      <c r="FK30" s="375">
        <f t="shared" si="95"/>
        <v>0</v>
      </c>
      <c r="FL30" s="375">
        <f t="shared" si="165"/>
        <v>4.625</v>
      </c>
      <c r="FM30" s="376">
        <f t="shared" si="97"/>
        <v>67.375</v>
      </c>
      <c r="FN30" s="373">
        <f>($IR30+(($IQ30-1)*$IS30)+$IT30)*FW30/144</f>
        <v>14.204686631944446</v>
      </c>
      <c r="FO30" s="374" t="str">
        <f t="shared" si="164"/>
        <v>(1.32)</v>
      </c>
      <c r="FP30" s="375">
        <v>2</v>
      </c>
      <c r="FQ30" s="375">
        <f t="shared" si="99"/>
        <v>3.5</v>
      </c>
      <c r="FR30" s="375">
        <v>1</v>
      </c>
      <c r="FS30" s="375">
        <f t="shared" si="100"/>
        <v>1.125</v>
      </c>
      <c r="FT30" s="375">
        <v>0</v>
      </c>
      <c r="FU30" s="375">
        <f t="shared" si="101"/>
        <v>0</v>
      </c>
      <c r="FV30" s="375">
        <f t="shared" si="166"/>
        <v>4.625</v>
      </c>
      <c r="FW30" s="376">
        <f t="shared" si="103"/>
        <v>73.375</v>
      </c>
      <c r="FX30" s="373">
        <f>($IR30+(($IQ30-1)*$IS30)+$IT30)*GG30/144</f>
        <v>15.366228298611112</v>
      </c>
      <c r="FY30" s="374" t="str">
        <f t="shared" si="167"/>
        <v>(1.43)</v>
      </c>
      <c r="FZ30" s="375">
        <v>2</v>
      </c>
      <c r="GA30" s="375">
        <f t="shared" si="105"/>
        <v>3.5</v>
      </c>
      <c r="GB30" s="375">
        <v>1</v>
      </c>
      <c r="GC30" s="375">
        <f t="shared" si="106"/>
        <v>1.125</v>
      </c>
      <c r="GD30" s="375">
        <v>0</v>
      </c>
      <c r="GE30" s="375">
        <f t="shared" si="107"/>
        <v>0</v>
      </c>
      <c r="GF30" s="375">
        <f t="shared" si="168"/>
        <v>4.625</v>
      </c>
      <c r="GG30" s="376">
        <f t="shared" si="109"/>
        <v>79.375</v>
      </c>
      <c r="GH30" s="373">
        <f>($IR30+(($IQ30-1)*$IS30)+$IT30)*GQ30/144</f>
        <v>16.527769965277781</v>
      </c>
      <c r="GI30" s="374" t="str">
        <f t="shared" si="169"/>
        <v>(1.54)</v>
      </c>
      <c r="GJ30" s="375">
        <v>2</v>
      </c>
      <c r="GK30" s="375">
        <f t="shared" si="111"/>
        <v>3.5</v>
      </c>
      <c r="GL30" s="375">
        <v>1</v>
      </c>
      <c r="GM30" s="375">
        <f t="shared" si="112"/>
        <v>1.125</v>
      </c>
      <c r="GN30" s="375">
        <v>0</v>
      </c>
      <c r="GO30" s="375">
        <f t="shared" si="113"/>
        <v>0</v>
      </c>
      <c r="GP30" s="375">
        <f t="shared" si="170"/>
        <v>4.625</v>
      </c>
      <c r="GQ30" s="376">
        <f t="shared" si="115"/>
        <v>85.375</v>
      </c>
      <c r="GR30" s="373">
        <f>($IR30+(($IQ30-1)*$IS30)+$IT30)*HA30/144</f>
        <v>17.689311631944449</v>
      </c>
      <c r="GS30" s="374" t="str">
        <f t="shared" si="171"/>
        <v>(1.64)</v>
      </c>
      <c r="GT30" s="375">
        <v>2</v>
      </c>
      <c r="GU30" s="375">
        <f t="shared" si="117"/>
        <v>3.5</v>
      </c>
      <c r="GV30" s="375">
        <v>1</v>
      </c>
      <c r="GW30" s="375">
        <f t="shared" si="118"/>
        <v>1.125</v>
      </c>
      <c r="GX30" s="375">
        <v>0</v>
      </c>
      <c r="GY30" s="375">
        <f t="shared" si="119"/>
        <v>0</v>
      </c>
      <c r="GZ30" s="375">
        <f t="shared" si="172"/>
        <v>4.625</v>
      </c>
      <c r="HA30" s="376">
        <f t="shared" si="121"/>
        <v>91.375</v>
      </c>
      <c r="HB30" s="373">
        <f>($IR30+(($IQ30-1)*$IS30)+$IT30)*HK30/144</f>
        <v>18.850853298611113</v>
      </c>
      <c r="HC30" s="374" t="str">
        <f t="shared" si="173"/>
        <v>(1.75)</v>
      </c>
      <c r="HD30" s="375">
        <v>2</v>
      </c>
      <c r="HE30" s="375">
        <f t="shared" si="123"/>
        <v>3.5</v>
      </c>
      <c r="HF30" s="375">
        <v>1</v>
      </c>
      <c r="HG30" s="375">
        <f t="shared" si="124"/>
        <v>1.125</v>
      </c>
      <c r="HH30" s="375">
        <v>0</v>
      </c>
      <c r="HI30" s="375">
        <f t="shared" si="125"/>
        <v>0</v>
      </c>
      <c r="HJ30" s="375">
        <f t="shared" si="174"/>
        <v>4.625</v>
      </c>
      <c r="HK30" s="376">
        <f t="shared" si="127"/>
        <v>97.375</v>
      </c>
      <c r="HL30" s="373">
        <f>($IR30+(($IQ30-1)*$IS30)+$IT30)*HU30/144</f>
        <v>19.625214409722226</v>
      </c>
      <c r="HM30" s="374" t="str">
        <f t="shared" si="175"/>
        <v>(1.82)</v>
      </c>
      <c r="HN30" s="375">
        <v>2</v>
      </c>
      <c r="HO30" s="375">
        <f t="shared" si="129"/>
        <v>3.5</v>
      </c>
      <c r="HP30" s="375">
        <v>1</v>
      </c>
      <c r="HQ30" s="375">
        <f t="shared" si="130"/>
        <v>1.125</v>
      </c>
      <c r="HR30" s="375">
        <v>2</v>
      </c>
      <c r="HS30" s="375">
        <f t="shared" si="131"/>
        <v>2</v>
      </c>
      <c r="HT30" s="375">
        <f t="shared" si="176"/>
        <v>6.625</v>
      </c>
      <c r="HU30" s="376">
        <f t="shared" si="133"/>
        <v>101.375</v>
      </c>
      <c r="HV30" s="373">
        <f>($IR30+(($IQ30-1)*$IS30)+$IT30)*IE30/144</f>
        <v>20.78675607638889</v>
      </c>
      <c r="HW30" s="374" t="str">
        <f t="shared" si="177"/>
        <v>(1.93)</v>
      </c>
      <c r="HX30" s="375">
        <v>2</v>
      </c>
      <c r="HY30" s="375">
        <f t="shared" si="135"/>
        <v>3.5</v>
      </c>
      <c r="HZ30" s="375">
        <v>1</v>
      </c>
      <c r="IA30" s="375">
        <f t="shared" si="136"/>
        <v>1.125</v>
      </c>
      <c r="IB30" s="375">
        <v>2</v>
      </c>
      <c r="IC30" s="375">
        <f t="shared" si="137"/>
        <v>2</v>
      </c>
      <c r="ID30" s="375">
        <f t="shared" si="178"/>
        <v>6.625</v>
      </c>
      <c r="IE30" s="376">
        <f t="shared" si="139"/>
        <v>107.375</v>
      </c>
      <c r="IF30" s="373">
        <f>($IR30+(($IQ30-1)*$IS30)+$IT30)*IO30/144</f>
        <v>21.948297743055559</v>
      </c>
      <c r="IG30" s="374" t="str">
        <f t="shared" si="179"/>
        <v>(2.04)</v>
      </c>
      <c r="IH30" s="22">
        <v>2</v>
      </c>
      <c r="II30" s="22">
        <f t="shared" si="141"/>
        <v>3.5</v>
      </c>
      <c r="IJ30" s="22">
        <v>1</v>
      </c>
      <c r="IK30" s="22">
        <f t="shared" si="142"/>
        <v>1.125</v>
      </c>
      <c r="IL30" s="22">
        <v>2</v>
      </c>
      <c r="IM30" s="22">
        <f t="shared" si="143"/>
        <v>2</v>
      </c>
      <c r="IN30" s="22">
        <f t="shared" si="180"/>
        <v>6.625</v>
      </c>
      <c r="IO30" s="23">
        <f t="shared" si="145"/>
        <v>113.375</v>
      </c>
      <c r="IP30" s="24"/>
      <c r="IQ30" s="25">
        <f t="shared" si="146"/>
        <v>9</v>
      </c>
      <c r="IR30" s="26">
        <v>2.5</v>
      </c>
      <c r="IS30" s="26">
        <v>2.8780000000000001</v>
      </c>
      <c r="IT30" s="26">
        <v>2.3530000000000002</v>
      </c>
      <c r="IU30" s="26">
        <v>1.75</v>
      </c>
      <c r="IV30" s="26">
        <v>1</v>
      </c>
      <c r="IW30" s="26">
        <v>1.125</v>
      </c>
      <c r="IX30" s="8"/>
    </row>
    <row r="31" spans="2:258" ht="15.75" thickBot="1" x14ac:dyDescent="0.3">
      <c r="B31" s="103">
        <f t="shared" si="25"/>
        <v>78</v>
      </c>
      <c r="C31" s="221">
        <v>14</v>
      </c>
      <c r="D31" s="98">
        <f t="shared" si="1"/>
        <v>0.33329843304843304</v>
      </c>
      <c r="E31" s="96">
        <f t="shared" si="2"/>
        <v>0.38632318376068386</v>
      </c>
      <c r="F31" s="96">
        <f t="shared" si="3"/>
        <v>0.43934793447293446</v>
      </c>
      <c r="G31" s="96">
        <f t="shared" si="4"/>
        <v>0.46586030982905985</v>
      </c>
      <c r="H31" s="96">
        <f t="shared" si="5"/>
        <v>0.48176773504273512</v>
      </c>
      <c r="I31" s="96">
        <f t="shared" si="6"/>
        <v>0.49237268518518523</v>
      </c>
      <c r="J31" s="96">
        <f t="shared" si="7"/>
        <v>0.49994764957264959</v>
      </c>
      <c r="K31" s="96">
        <f t="shared" si="8"/>
        <v>0.50562887286324787</v>
      </c>
      <c r="L31" s="96">
        <f t="shared" si="9"/>
        <v>0.49994764957264959</v>
      </c>
      <c r="M31" s="96">
        <f t="shared" si="10"/>
        <v>0.5044926282051283</v>
      </c>
      <c r="N31" s="96">
        <f t="shared" si="11"/>
        <v>0.5082112470862471</v>
      </c>
      <c r="O31" s="96">
        <f t="shared" si="12"/>
        <v>0.51036322560541314</v>
      </c>
      <c r="P31" s="238"/>
      <c r="Q31" s="238"/>
      <c r="R31" s="238"/>
      <c r="S31" s="238"/>
      <c r="T31" s="238"/>
      <c r="U31" s="238"/>
      <c r="V31" s="238"/>
      <c r="W31" s="238"/>
      <c r="X31" s="96"/>
      <c r="Y31" s="65"/>
      <c r="AT31" s="235"/>
      <c r="AU31" s="27">
        <f t="shared" si="181"/>
        <v>60</v>
      </c>
      <c r="AV31" s="28" t="str">
        <f t="shared" si="147"/>
        <v>(1500)</v>
      </c>
      <c r="AW31" s="236">
        <f t="shared" si="182"/>
        <v>16</v>
      </c>
      <c r="AX31" s="193">
        <f>($IR31+(($IQ31-2)*$IS31)+$IT31)*BG31/144</f>
        <v>1.1971284722222224</v>
      </c>
      <c r="AY31" s="29" t="str">
        <f>"("&amp;FIXED(AX31*0.092903,2)&amp;")"</f>
        <v>(0.11)</v>
      </c>
      <c r="AZ31" s="30">
        <v>2</v>
      </c>
      <c r="BA31" s="30">
        <f t="shared" si="27"/>
        <v>3.5</v>
      </c>
      <c r="BB31" s="30">
        <v>0</v>
      </c>
      <c r="BC31" s="30">
        <f t="shared" si="28"/>
        <v>0</v>
      </c>
      <c r="BD31" s="30">
        <v>0</v>
      </c>
      <c r="BE31" s="30">
        <f t="shared" si="29"/>
        <v>0</v>
      </c>
      <c r="BF31" s="30">
        <f t="shared" si="149"/>
        <v>3.5</v>
      </c>
      <c r="BG31" s="194">
        <f t="shared" si="31"/>
        <v>5.5</v>
      </c>
      <c r="BH31" s="373">
        <f>($IR31+(($IQ31-2)*$IS31)+$IT31)*BQ31/144</f>
        <v>1.8501076388888889</v>
      </c>
      <c r="BI31" s="374" t="str">
        <f>"("&amp;FIXED(BH31*0.092903,2)&amp;")"</f>
        <v>(0.17)</v>
      </c>
      <c r="BJ31" s="375">
        <v>2</v>
      </c>
      <c r="BK31" s="375">
        <f t="shared" si="33"/>
        <v>3.5</v>
      </c>
      <c r="BL31" s="375">
        <v>0</v>
      </c>
      <c r="BM31" s="375">
        <f t="shared" si="34"/>
        <v>0</v>
      </c>
      <c r="BN31" s="375">
        <v>0</v>
      </c>
      <c r="BO31" s="375">
        <f t="shared" si="35"/>
        <v>0</v>
      </c>
      <c r="BP31" s="375">
        <f t="shared" si="151"/>
        <v>3.5</v>
      </c>
      <c r="BQ31" s="376">
        <f t="shared" si="37"/>
        <v>8.5</v>
      </c>
      <c r="BR31" s="373">
        <f>($IR31+(($IQ31-2)*$IS31)+$IT31)*CA31/144</f>
        <v>3.1560659722222222</v>
      </c>
      <c r="BS31" s="374" t="str">
        <f t="shared" si="38"/>
        <v>(0.29)</v>
      </c>
      <c r="BT31" s="375">
        <v>2</v>
      </c>
      <c r="BU31" s="375">
        <f t="shared" si="39"/>
        <v>3.5</v>
      </c>
      <c r="BV31" s="375">
        <v>0</v>
      </c>
      <c r="BW31" s="375">
        <f t="shared" si="40"/>
        <v>0</v>
      </c>
      <c r="BX31" s="375">
        <v>0</v>
      </c>
      <c r="BY31" s="375">
        <f t="shared" si="41"/>
        <v>0</v>
      </c>
      <c r="BZ31" s="375">
        <f t="shared" si="152"/>
        <v>3.5</v>
      </c>
      <c r="CA31" s="376">
        <f t="shared" si="43"/>
        <v>14.5</v>
      </c>
      <c r="CB31" s="373">
        <f>($IR31+(($IQ31-2)*$IS31)+$IT31)*CK31/144</f>
        <v>4.4620243055555555</v>
      </c>
      <c r="CC31" s="374" t="str">
        <f t="shared" si="44"/>
        <v>(0.41)</v>
      </c>
      <c r="CD31" s="375">
        <v>2</v>
      </c>
      <c r="CE31" s="375">
        <f t="shared" si="45"/>
        <v>3.5</v>
      </c>
      <c r="CF31" s="375">
        <v>0</v>
      </c>
      <c r="CG31" s="375">
        <f t="shared" si="46"/>
        <v>0</v>
      </c>
      <c r="CH31" s="375">
        <v>0</v>
      </c>
      <c r="CI31" s="375">
        <f t="shared" si="47"/>
        <v>0</v>
      </c>
      <c r="CJ31" s="375">
        <f t="shared" si="153"/>
        <v>3.5</v>
      </c>
      <c r="CK31" s="376">
        <f t="shared" si="49"/>
        <v>20.5</v>
      </c>
      <c r="CL31" s="373">
        <f>($IR31+(($IQ31-2)*$IS31)+$IT31)*CU31/144</f>
        <v>5.7679826388888893</v>
      </c>
      <c r="CM31" s="374" t="str">
        <f t="shared" si="50"/>
        <v>(0.54)</v>
      </c>
      <c r="CN31" s="375">
        <v>2</v>
      </c>
      <c r="CO31" s="375">
        <f t="shared" si="51"/>
        <v>3.5</v>
      </c>
      <c r="CP31" s="375">
        <v>0</v>
      </c>
      <c r="CQ31" s="375">
        <f t="shared" si="52"/>
        <v>0</v>
      </c>
      <c r="CR31" s="375">
        <v>0</v>
      </c>
      <c r="CS31" s="375">
        <f t="shared" si="53"/>
        <v>0</v>
      </c>
      <c r="CT31" s="375">
        <f t="shared" si="154"/>
        <v>3.5</v>
      </c>
      <c r="CU31" s="376">
        <f t="shared" si="55"/>
        <v>26.5</v>
      </c>
      <c r="CV31" s="373">
        <f>($IR31+(($IQ31-2)*$IS31)+$IT31)*DE31/144</f>
        <v>7.0739409722222222</v>
      </c>
      <c r="CW31" s="374" t="str">
        <f t="shared" si="56"/>
        <v>(0.66)</v>
      </c>
      <c r="CX31" s="375">
        <v>2</v>
      </c>
      <c r="CY31" s="375">
        <f t="shared" si="57"/>
        <v>3.5</v>
      </c>
      <c r="CZ31" s="375">
        <v>0</v>
      </c>
      <c r="DA31" s="375">
        <f t="shared" si="58"/>
        <v>0</v>
      </c>
      <c r="DB31" s="375">
        <v>0</v>
      </c>
      <c r="DC31" s="375">
        <f t="shared" si="59"/>
        <v>0</v>
      </c>
      <c r="DD31" s="375">
        <f t="shared" si="155"/>
        <v>3.5</v>
      </c>
      <c r="DE31" s="376">
        <f t="shared" si="61"/>
        <v>32.5</v>
      </c>
      <c r="DF31" s="373">
        <f>($IR31+(($IQ31-2)*$IS31)+$IT31)*DO31/144</f>
        <v>8.379899305555556</v>
      </c>
      <c r="DG31" s="374" t="str">
        <f t="shared" si="62"/>
        <v>(0.78)</v>
      </c>
      <c r="DH31" s="375">
        <v>2</v>
      </c>
      <c r="DI31" s="375">
        <f t="shared" si="63"/>
        <v>3.5</v>
      </c>
      <c r="DJ31" s="375">
        <v>0</v>
      </c>
      <c r="DK31" s="375">
        <f t="shared" si="64"/>
        <v>0</v>
      </c>
      <c r="DL31" s="375">
        <v>0</v>
      </c>
      <c r="DM31" s="375">
        <f t="shared" si="65"/>
        <v>0</v>
      </c>
      <c r="DN31" s="375">
        <f t="shared" si="156"/>
        <v>3.5</v>
      </c>
      <c r="DO31" s="376">
        <f t="shared" si="67"/>
        <v>38.5</v>
      </c>
      <c r="DP31" s="373">
        <f>($IR31+(($IQ31-2)*$IS31)+$IT31)*DY31/144</f>
        <v>9.6858576388888888</v>
      </c>
      <c r="DQ31" s="374" t="str">
        <f t="shared" si="68"/>
        <v>(0.9)</v>
      </c>
      <c r="DR31" s="375">
        <v>2</v>
      </c>
      <c r="DS31" s="375">
        <f t="shared" si="69"/>
        <v>3.5</v>
      </c>
      <c r="DT31" s="375">
        <v>0</v>
      </c>
      <c r="DU31" s="375">
        <f t="shared" si="70"/>
        <v>0</v>
      </c>
      <c r="DV31" s="375">
        <v>0</v>
      </c>
      <c r="DW31" s="375">
        <f t="shared" si="71"/>
        <v>0</v>
      </c>
      <c r="DX31" s="375">
        <f t="shared" si="157"/>
        <v>3.5</v>
      </c>
      <c r="DY31" s="376">
        <f t="shared" si="73"/>
        <v>44.5</v>
      </c>
      <c r="DZ31" s="373">
        <f>($IR31+(($IQ31-2)*$IS31)+$IT31)*EI31/144</f>
        <v>10.774156249999999</v>
      </c>
      <c r="EA31" s="374" t="str">
        <f>"("&amp;FIXED(DZ31*0.092903,2)&amp;")"</f>
        <v>(1.00)</v>
      </c>
      <c r="EB31" s="375">
        <v>2</v>
      </c>
      <c r="EC31" s="375">
        <f t="shared" si="75"/>
        <v>3.5</v>
      </c>
      <c r="ED31" s="375">
        <v>0</v>
      </c>
      <c r="EE31" s="375">
        <f t="shared" si="76"/>
        <v>0</v>
      </c>
      <c r="EF31" s="375">
        <v>1</v>
      </c>
      <c r="EG31" s="375">
        <f t="shared" si="77"/>
        <v>1</v>
      </c>
      <c r="EH31" s="375">
        <f t="shared" si="159"/>
        <v>4.5</v>
      </c>
      <c r="EI31" s="376">
        <f t="shared" si="79"/>
        <v>49.5</v>
      </c>
      <c r="EJ31" s="373">
        <f>($IR31+(($IQ31-2)*$IS31)+$IT31)*ES31/144</f>
        <v>12.080114583333334</v>
      </c>
      <c r="EK31" s="374" t="str">
        <f>"("&amp;FIXED(EJ31*0.092903,2)&amp;")"</f>
        <v>(1.12)</v>
      </c>
      <c r="EL31" s="375">
        <v>2</v>
      </c>
      <c r="EM31" s="375">
        <f t="shared" si="81"/>
        <v>3.5</v>
      </c>
      <c r="EN31" s="375">
        <v>0</v>
      </c>
      <c r="EO31" s="375">
        <f t="shared" si="82"/>
        <v>0</v>
      </c>
      <c r="EP31" s="375">
        <v>1</v>
      </c>
      <c r="EQ31" s="375">
        <f t="shared" si="83"/>
        <v>1</v>
      </c>
      <c r="ER31" s="375">
        <f t="shared" si="161"/>
        <v>4.5</v>
      </c>
      <c r="ES31" s="376">
        <f t="shared" si="85"/>
        <v>55.5</v>
      </c>
      <c r="ET31" s="373">
        <f>($IR31+(($IQ31-2)*$IS31)+$IT31)*FC31/144</f>
        <v>13.386072916666667</v>
      </c>
      <c r="EU31" s="374" t="str">
        <f>"("&amp;FIXED(ET31*0.092903,2)&amp;")"</f>
        <v>(1.24)</v>
      </c>
      <c r="EV31" s="375">
        <v>2</v>
      </c>
      <c r="EW31" s="375">
        <f t="shared" si="87"/>
        <v>3.5</v>
      </c>
      <c r="EX31" s="375">
        <v>0</v>
      </c>
      <c r="EY31" s="375">
        <f t="shared" si="88"/>
        <v>0</v>
      </c>
      <c r="EZ31" s="375">
        <v>1</v>
      </c>
      <c r="FA31" s="375">
        <f t="shared" si="89"/>
        <v>1</v>
      </c>
      <c r="FB31" s="375">
        <f t="shared" si="163"/>
        <v>4.5</v>
      </c>
      <c r="FC31" s="376">
        <f t="shared" si="91"/>
        <v>61.5</v>
      </c>
      <c r="FD31" s="373">
        <f>($IR31+(($IQ31-2)*$IS31)+$IT31)*FM31/144</f>
        <v>14.664823784722223</v>
      </c>
      <c r="FE31" s="374" t="str">
        <f>"("&amp;FIXED(FD31*0.092903,2)&amp;")"</f>
        <v>(1.36)</v>
      </c>
      <c r="FF31" s="375">
        <v>2</v>
      </c>
      <c r="FG31" s="375">
        <f t="shared" si="93"/>
        <v>3.5</v>
      </c>
      <c r="FH31" s="375">
        <v>1</v>
      </c>
      <c r="FI31" s="375">
        <f t="shared" si="94"/>
        <v>1.125</v>
      </c>
      <c r="FJ31" s="375">
        <v>0</v>
      </c>
      <c r="FK31" s="375">
        <f t="shared" si="95"/>
        <v>0</v>
      </c>
      <c r="FL31" s="375">
        <f t="shared" si="165"/>
        <v>4.625</v>
      </c>
      <c r="FM31" s="376">
        <f t="shared" si="97"/>
        <v>67.375</v>
      </c>
      <c r="FN31" s="373">
        <f>($IR31+(($IQ31-2)*$IS31)+$IT31)*FW31/144</f>
        <v>15.970782118055556</v>
      </c>
      <c r="FO31" s="374" t="str">
        <f>"("&amp;FIXED(FN31*0.092903,2)&amp;")"</f>
        <v>(1.48)</v>
      </c>
      <c r="FP31" s="375">
        <v>2</v>
      </c>
      <c r="FQ31" s="375">
        <f t="shared" si="99"/>
        <v>3.5</v>
      </c>
      <c r="FR31" s="375">
        <v>1</v>
      </c>
      <c r="FS31" s="375">
        <f t="shared" si="100"/>
        <v>1.125</v>
      </c>
      <c r="FT31" s="375">
        <v>0</v>
      </c>
      <c r="FU31" s="375">
        <f t="shared" si="101"/>
        <v>0</v>
      </c>
      <c r="FV31" s="375">
        <f t="shared" si="166"/>
        <v>4.625</v>
      </c>
      <c r="FW31" s="376">
        <f t="shared" si="103"/>
        <v>73.375</v>
      </c>
      <c r="FX31" s="373">
        <f>($IR31+(($IQ31-2)*$IS31)+$IT31)*GG31/144</f>
        <v>17.276740451388889</v>
      </c>
      <c r="FY31" s="374" t="str">
        <f>"("&amp;FIXED(FX31*0.092903,2)&amp;")"</f>
        <v>(1.61)</v>
      </c>
      <c r="FZ31" s="375">
        <v>2</v>
      </c>
      <c r="GA31" s="375">
        <f t="shared" si="105"/>
        <v>3.5</v>
      </c>
      <c r="GB31" s="375">
        <v>1</v>
      </c>
      <c r="GC31" s="375">
        <f t="shared" si="106"/>
        <v>1.125</v>
      </c>
      <c r="GD31" s="375">
        <v>0</v>
      </c>
      <c r="GE31" s="375">
        <f t="shared" si="107"/>
        <v>0</v>
      </c>
      <c r="GF31" s="375">
        <f t="shared" si="168"/>
        <v>4.625</v>
      </c>
      <c r="GG31" s="376">
        <f t="shared" si="109"/>
        <v>79.375</v>
      </c>
      <c r="GH31" s="373">
        <f>($IR31+(($IQ31-2)*$IS31)+$IT31)*GQ31/144</f>
        <v>18.582698784722222</v>
      </c>
      <c r="GI31" s="374" t="str">
        <f>"("&amp;FIXED(GH31*0.092903,2)&amp;")"</f>
        <v>(1.73)</v>
      </c>
      <c r="GJ31" s="375">
        <v>2</v>
      </c>
      <c r="GK31" s="375">
        <f t="shared" si="111"/>
        <v>3.5</v>
      </c>
      <c r="GL31" s="375">
        <v>1</v>
      </c>
      <c r="GM31" s="375">
        <f t="shared" si="112"/>
        <v>1.125</v>
      </c>
      <c r="GN31" s="375">
        <v>0</v>
      </c>
      <c r="GO31" s="375">
        <f t="shared" si="113"/>
        <v>0</v>
      </c>
      <c r="GP31" s="375">
        <f t="shared" si="170"/>
        <v>4.625</v>
      </c>
      <c r="GQ31" s="376">
        <f t="shared" si="115"/>
        <v>85.375</v>
      </c>
      <c r="GR31" s="373">
        <f>($IR31+(($IQ31-2)*$IS31)+$IT31)*HA31/144</f>
        <v>19.888657118055555</v>
      </c>
      <c r="GS31" s="374" t="str">
        <f>"("&amp;FIXED(GR31*0.092903,2)&amp;")"</f>
        <v>(1.85)</v>
      </c>
      <c r="GT31" s="375">
        <v>2</v>
      </c>
      <c r="GU31" s="375">
        <f t="shared" si="117"/>
        <v>3.5</v>
      </c>
      <c r="GV31" s="375">
        <v>1</v>
      </c>
      <c r="GW31" s="375">
        <f t="shared" si="118"/>
        <v>1.125</v>
      </c>
      <c r="GX31" s="375">
        <v>0</v>
      </c>
      <c r="GY31" s="375">
        <f t="shared" si="119"/>
        <v>0</v>
      </c>
      <c r="GZ31" s="375">
        <f t="shared" si="172"/>
        <v>4.625</v>
      </c>
      <c r="HA31" s="376">
        <f t="shared" si="121"/>
        <v>91.375</v>
      </c>
      <c r="HB31" s="373">
        <f>($IR31+(($IQ31-2)*$IS31)+$IT31)*HK31/144</f>
        <v>21.194615451388888</v>
      </c>
      <c r="HC31" s="374" t="str">
        <f>"("&amp;FIXED(HB31*0.092903,2)&amp;")"</f>
        <v>(1.97)</v>
      </c>
      <c r="HD31" s="375">
        <v>2</v>
      </c>
      <c r="HE31" s="375">
        <f t="shared" si="123"/>
        <v>3.5</v>
      </c>
      <c r="HF31" s="375">
        <v>1</v>
      </c>
      <c r="HG31" s="375">
        <f t="shared" si="124"/>
        <v>1.125</v>
      </c>
      <c r="HH31" s="375">
        <v>0</v>
      </c>
      <c r="HI31" s="375">
        <f t="shared" si="125"/>
        <v>0</v>
      </c>
      <c r="HJ31" s="375">
        <f t="shared" si="174"/>
        <v>4.625</v>
      </c>
      <c r="HK31" s="376">
        <f t="shared" si="127"/>
        <v>97.375</v>
      </c>
      <c r="HL31" s="373">
        <f>($IR31+(($IQ31-2)*$IS31)+$IT31)*HU31/144</f>
        <v>22.065254340277775</v>
      </c>
      <c r="HM31" s="374" t="str">
        <f>"("&amp;FIXED(HL31*0.092903,2)&amp;")"</f>
        <v>(2.05)</v>
      </c>
      <c r="HN31" s="375">
        <v>2</v>
      </c>
      <c r="HO31" s="375">
        <f t="shared" si="129"/>
        <v>3.5</v>
      </c>
      <c r="HP31" s="375">
        <v>1</v>
      </c>
      <c r="HQ31" s="375">
        <f t="shared" si="130"/>
        <v>1.125</v>
      </c>
      <c r="HR31" s="375">
        <v>2</v>
      </c>
      <c r="HS31" s="375">
        <f t="shared" si="131"/>
        <v>2</v>
      </c>
      <c r="HT31" s="375">
        <f t="shared" si="176"/>
        <v>6.625</v>
      </c>
      <c r="HU31" s="376">
        <f t="shared" si="133"/>
        <v>101.375</v>
      </c>
      <c r="HV31" s="373">
        <f>($IR31+(($IQ31-2)*$IS31)+$IT31)*IE31/144</f>
        <v>23.371212673611112</v>
      </c>
      <c r="HW31" s="374" t="str">
        <f>"("&amp;FIXED(HV31*0.092903,2)&amp;")"</f>
        <v>(2.17)</v>
      </c>
      <c r="HX31" s="375">
        <v>2</v>
      </c>
      <c r="HY31" s="375">
        <f t="shared" si="135"/>
        <v>3.5</v>
      </c>
      <c r="HZ31" s="375">
        <v>1</v>
      </c>
      <c r="IA31" s="375">
        <f t="shared" si="136"/>
        <v>1.125</v>
      </c>
      <c r="IB31" s="375">
        <v>2</v>
      </c>
      <c r="IC31" s="375">
        <f t="shared" si="137"/>
        <v>2</v>
      </c>
      <c r="ID31" s="375">
        <f t="shared" si="178"/>
        <v>6.625</v>
      </c>
      <c r="IE31" s="376">
        <f t="shared" si="139"/>
        <v>107.375</v>
      </c>
      <c r="IF31" s="373">
        <f>($IR31+(($IQ31-2)*$IS31)+$IT31)*IO31/144</f>
        <v>24.677171006944445</v>
      </c>
      <c r="IG31" s="374" t="str">
        <f>"("&amp;FIXED(IF31*0.092903,2)&amp;")"</f>
        <v>(2.29)</v>
      </c>
      <c r="IH31" s="22">
        <v>2</v>
      </c>
      <c r="II31" s="22">
        <f t="shared" si="141"/>
        <v>3.5</v>
      </c>
      <c r="IJ31" s="22">
        <v>1</v>
      </c>
      <c r="IK31" s="22">
        <f t="shared" si="142"/>
        <v>1.125</v>
      </c>
      <c r="IL31" s="22">
        <v>2</v>
      </c>
      <c r="IM31" s="22">
        <f t="shared" si="143"/>
        <v>2</v>
      </c>
      <c r="IN31" s="22">
        <f t="shared" si="180"/>
        <v>6.625</v>
      </c>
      <c r="IO31" s="23">
        <f t="shared" si="145"/>
        <v>113.375</v>
      </c>
      <c r="IP31" s="24"/>
      <c r="IQ31" s="25">
        <f t="shared" si="146"/>
        <v>11</v>
      </c>
      <c r="IR31" s="26">
        <v>2.5</v>
      </c>
      <c r="IS31" s="26">
        <v>2.8780000000000001</v>
      </c>
      <c r="IT31" s="26">
        <f>0.458+2.483</f>
        <v>2.9410000000000003</v>
      </c>
      <c r="IU31" s="26">
        <v>1.75</v>
      </c>
      <c r="IV31" s="26">
        <v>1</v>
      </c>
      <c r="IW31" s="26">
        <v>1.125</v>
      </c>
      <c r="IX31" s="8"/>
    </row>
    <row r="32" spans="2:258" ht="15.75" thickBot="1" x14ac:dyDescent="0.3">
      <c r="B32" s="103">
        <f t="shared" si="25"/>
        <v>84</v>
      </c>
      <c r="C32" s="226">
        <v>15</v>
      </c>
      <c r="D32" s="98">
        <f t="shared" si="1"/>
        <v>0.32843584656084657</v>
      </c>
      <c r="E32" s="96">
        <f t="shared" si="2"/>
        <v>0.380687003968254</v>
      </c>
      <c r="F32" s="96">
        <f t="shared" si="3"/>
        <v>0.43293816137566143</v>
      </c>
      <c r="G32" s="96">
        <f t="shared" si="4"/>
        <v>0.45906374007936507</v>
      </c>
      <c r="H32" s="96">
        <f t="shared" si="5"/>
        <v>0.47473908730158731</v>
      </c>
      <c r="I32" s="96">
        <f t="shared" si="6"/>
        <v>0.48518931878306876</v>
      </c>
      <c r="J32" s="96">
        <f t="shared" si="7"/>
        <v>0.49265376984126991</v>
      </c>
      <c r="K32" s="96">
        <f t="shared" si="8"/>
        <v>0.49825210813492066</v>
      </c>
      <c r="L32" s="96">
        <f t="shared" si="9"/>
        <v>0.49265376984126985</v>
      </c>
      <c r="M32" s="96">
        <f t="shared" si="10"/>
        <v>0.49713244047619054</v>
      </c>
      <c r="N32" s="96">
        <f t="shared" si="11"/>
        <v>0.50079680735930743</v>
      </c>
      <c r="O32" s="96">
        <f t="shared" si="12"/>
        <v>0.50291739004629632</v>
      </c>
      <c r="P32" s="238"/>
      <c r="Q32" s="238"/>
      <c r="R32" s="238"/>
      <c r="S32" s="238"/>
      <c r="T32" s="238"/>
      <c r="U32" s="238"/>
      <c r="V32" s="238"/>
      <c r="W32" s="238"/>
      <c r="X32" s="96"/>
      <c r="Y32" s="65"/>
      <c r="AT32" s="235"/>
      <c r="AU32" s="27">
        <f t="shared" si="181"/>
        <v>66</v>
      </c>
      <c r="AV32" s="28" t="str">
        <f t="shared" si="147"/>
        <v>(1700)</v>
      </c>
      <c r="AW32" s="236">
        <f t="shared" si="182"/>
        <v>17</v>
      </c>
      <c r="AX32" s="193">
        <f>($IR32+(($IQ32-1)*$IS32)+$IT32)*BG32/144</f>
        <v>1.3384097222222222</v>
      </c>
      <c r="AY32" s="29" t="str">
        <f t="shared" ref="AY32:AY40" si="183">"("&amp;FIXED(AX32*0.092903,2)&amp;")"</f>
        <v>(0.12)</v>
      </c>
      <c r="AZ32" s="30">
        <v>2</v>
      </c>
      <c r="BA32" s="30">
        <f t="shared" si="27"/>
        <v>3.5</v>
      </c>
      <c r="BB32" s="30">
        <v>0</v>
      </c>
      <c r="BC32" s="30">
        <f t="shared" si="28"/>
        <v>0</v>
      </c>
      <c r="BD32" s="30">
        <v>0</v>
      </c>
      <c r="BE32" s="30">
        <f t="shared" si="29"/>
        <v>0</v>
      </c>
      <c r="BF32" s="30">
        <f t="shared" si="149"/>
        <v>3.5</v>
      </c>
      <c r="BG32" s="194">
        <f t="shared" si="31"/>
        <v>5.5</v>
      </c>
      <c r="BH32" s="373">
        <f>($IR32+(($IQ32-1)*$IS32)+$IT32)*BQ32/144</f>
        <v>2.0684513888888891</v>
      </c>
      <c r="BI32" s="374" t="str">
        <f t="shared" si="150"/>
        <v>(0.19)</v>
      </c>
      <c r="BJ32" s="375">
        <v>2</v>
      </c>
      <c r="BK32" s="375">
        <f t="shared" si="33"/>
        <v>3.5</v>
      </c>
      <c r="BL32" s="375">
        <v>0</v>
      </c>
      <c r="BM32" s="375">
        <f t="shared" si="34"/>
        <v>0</v>
      </c>
      <c r="BN32" s="375">
        <v>0</v>
      </c>
      <c r="BO32" s="375">
        <f t="shared" si="35"/>
        <v>0</v>
      </c>
      <c r="BP32" s="375">
        <f t="shared" si="151"/>
        <v>3.5</v>
      </c>
      <c r="BQ32" s="376">
        <f t="shared" si="37"/>
        <v>8.5</v>
      </c>
      <c r="BR32" s="373">
        <f>($IR32+(($IQ32-1)*$IS32)+$IT32)*CA32/144</f>
        <v>3.5285347222222225</v>
      </c>
      <c r="BS32" s="374" t="str">
        <f t="shared" si="38"/>
        <v>(0.33)</v>
      </c>
      <c r="BT32" s="375">
        <v>2</v>
      </c>
      <c r="BU32" s="375">
        <f t="shared" si="39"/>
        <v>3.5</v>
      </c>
      <c r="BV32" s="375">
        <v>0</v>
      </c>
      <c r="BW32" s="375">
        <f t="shared" si="40"/>
        <v>0</v>
      </c>
      <c r="BX32" s="375">
        <v>0</v>
      </c>
      <c r="BY32" s="375">
        <f t="shared" si="41"/>
        <v>0</v>
      </c>
      <c r="BZ32" s="375">
        <f t="shared" si="152"/>
        <v>3.5</v>
      </c>
      <c r="CA32" s="376">
        <f t="shared" si="43"/>
        <v>14.5</v>
      </c>
      <c r="CB32" s="373">
        <f>($IR32+(($IQ32-1)*$IS32)+$IT32)*CK32/144</f>
        <v>4.9886180555555555</v>
      </c>
      <c r="CC32" s="374" t="str">
        <f t="shared" si="44"/>
        <v>(0.46)</v>
      </c>
      <c r="CD32" s="375">
        <v>2</v>
      </c>
      <c r="CE32" s="375">
        <f t="shared" si="45"/>
        <v>3.5</v>
      </c>
      <c r="CF32" s="375">
        <v>0</v>
      </c>
      <c r="CG32" s="375">
        <f t="shared" si="46"/>
        <v>0</v>
      </c>
      <c r="CH32" s="375">
        <v>0</v>
      </c>
      <c r="CI32" s="375">
        <f t="shared" si="47"/>
        <v>0</v>
      </c>
      <c r="CJ32" s="375">
        <f t="shared" si="153"/>
        <v>3.5</v>
      </c>
      <c r="CK32" s="376">
        <f t="shared" si="49"/>
        <v>20.5</v>
      </c>
      <c r="CL32" s="373">
        <f>($IR32+(($IQ32-1)*$IS32)+$IT32)*CU32/144</f>
        <v>6.4487013888888889</v>
      </c>
      <c r="CM32" s="374" t="str">
        <f t="shared" si="50"/>
        <v>(0.6)</v>
      </c>
      <c r="CN32" s="375">
        <v>2</v>
      </c>
      <c r="CO32" s="375">
        <f t="shared" si="51"/>
        <v>3.5</v>
      </c>
      <c r="CP32" s="375">
        <v>0</v>
      </c>
      <c r="CQ32" s="375">
        <f t="shared" si="52"/>
        <v>0</v>
      </c>
      <c r="CR32" s="375">
        <v>0</v>
      </c>
      <c r="CS32" s="375">
        <f t="shared" si="53"/>
        <v>0</v>
      </c>
      <c r="CT32" s="375">
        <f t="shared" si="154"/>
        <v>3.5</v>
      </c>
      <c r="CU32" s="376">
        <f t="shared" si="55"/>
        <v>26.5</v>
      </c>
      <c r="CV32" s="373">
        <f>($IR32+(($IQ32-1)*$IS32)+$IT32)*DE32/144</f>
        <v>7.9087847222222223</v>
      </c>
      <c r="CW32" s="374" t="str">
        <f t="shared" si="56"/>
        <v>(0.73)</v>
      </c>
      <c r="CX32" s="375">
        <v>2</v>
      </c>
      <c r="CY32" s="375">
        <f t="shared" si="57"/>
        <v>3.5</v>
      </c>
      <c r="CZ32" s="375">
        <v>0</v>
      </c>
      <c r="DA32" s="375">
        <f t="shared" si="58"/>
        <v>0</v>
      </c>
      <c r="DB32" s="375">
        <v>0</v>
      </c>
      <c r="DC32" s="375">
        <f t="shared" si="59"/>
        <v>0</v>
      </c>
      <c r="DD32" s="375">
        <f t="shared" si="155"/>
        <v>3.5</v>
      </c>
      <c r="DE32" s="376">
        <f t="shared" si="61"/>
        <v>32.5</v>
      </c>
      <c r="DF32" s="373">
        <f>($IR32+(($IQ32-1)*$IS32)+$IT32)*DO32/144</f>
        <v>9.3688680555555557</v>
      </c>
      <c r="DG32" s="374" t="str">
        <f t="shared" si="62"/>
        <v>(0.87)</v>
      </c>
      <c r="DH32" s="375">
        <v>2</v>
      </c>
      <c r="DI32" s="375">
        <f t="shared" si="63"/>
        <v>3.5</v>
      </c>
      <c r="DJ32" s="375">
        <v>0</v>
      </c>
      <c r="DK32" s="375">
        <f t="shared" si="64"/>
        <v>0</v>
      </c>
      <c r="DL32" s="375">
        <v>0</v>
      </c>
      <c r="DM32" s="375">
        <f t="shared" si="65"/>
        <v>0</v>
      </c>
      <c r="DN32" s="375">
        <f t="shared" si="156"/>
        <v>3.5</v>
      </c>
      <c r="DO32" s="376">
        <f t="shared" si="67"/>
        <v>38.5</v>
      </c>
      <c r="DP32" s="373">
        <f>($IR32+(($IQ32-1)*$IS32)+$IT32)*DY32/144</f>
        <v>10.828951388888889</v>
      </c>
      <c r="DQ32" s="374" t="str">
        <f t="shared" si="68"/>
        <v>(1.01)</v>
      </c>
      <c r="DR32" s="375">
        <v>2</v>
      </c>
      <c r="DS32" s="375">
        <f t="shared" si="69"/>
        <v>3.5</v>
      </c>
      <c r="DT32" s="375">
        <v>0</v>
      </c>
      <c r="DU32" s="375">
        <f t="shared" si="70"/>
        <v>0</v>
      </c>
      <c r="DV32" s="375">
        <v>0</v>
      </c>
      <c r="DW32" s="375">
        <f t="shared" si="71"/>
        <v>0</v>
      </c>
      <c r="DX32" s="375">
        <f t="shared" si="157"/>
        <v>3.5</v>
      </c>
      <c r="DY32" s="376">
        <f t="shared" si="73"/>
        <v>44.5</v>
      </c>
      <c r="DZ32" s="373">
        <f>($IR32+(($IQ32-1)*$IS32)+$IT32)*EI32/144</f>
        <v>12.045687500000001</v>
      </c>
      <c r="EA32" s="374" t="str">
        <f t="shared" si="158"/>
        <v>(1.12)</v>
      </c>
      <c r="EB32" s="375">
        <v>2</v>
      </c>
      <c r="EC32" s="375">
        <f t="shared" si="75"/>
        <v>3.5</v>
      </c>
      <c r="ED32" s="375">
        <v>0</v>
      </c>
      <c r="EE32" s="375">
        <f t="shared" si="76"/>
        <v>0</v>
      </c>
      <c r="EF32" s="375">
        <v>1</v>
      </c>
      <c r="EG32" s="375">
        <f t="shared" si="77"/>
        <v>1</v>
      </c>
      <c r="EH32" s="375">
        <f t="shared" si="159"/>
        <v>4.5</v>
      </c>
      <c r="EI32" s="376">
        <f t="shared" si="79"/>
        <v>49.5</v>
      </c>
      <c r="EJ32" s="373">
        <f>($IR32+(($IQ32-1)*$IS32)+$IT32)*ES32/144</f>
        <v>13.505770833333335</v>
      </c>
      <c r="EK32" s="374" t="str">
        <f t="shared" ref="EK32:EK40" si="184">"("&amp;FIXED(EJ32*0.092903,2)&amp;")"</f>
        <v>(1.25)</v>
      </c>
      <c r="EL32" s="375">
        <v>2</v>
      </c>
      <c r="EM32" s="375">
        <f t="shared" si="81"/>
        <v>3.5</v>
      </c>
      <c r="EN32" s="375">
        <v>0</v>
      </c>
      <c r="EO32" s="375">
        <f t="shared" si="82"/>
        <v>0</v>
      </c>
      <c r="EP32" s="375">
        <v>1</v>
      </c>
      <c r="EQ32" s="375">
        <f t="shared" si="83"/>
        <v>1</v>
      </c>
      <c r="ER32" s="375">
        <f t="shared" si="161"/>
        <v>4.5</v>
      </c>
      <c r="ES32" s="376">
        <f t="shared" si="85"/>
        <v>55.5</v>
      </c>
      <c r="ET32" s="373">
        <f>($IR32+(($IQ32-1)*$IS32)+$IT32)*FC32/144</f>
        <v>14.965854166666666</v>
      </c>
      <c r="EU32" s="374" t="str">
        <f t="shared" ref="EU32:EU40" si="185">"("&amp;FIXED(ET32*0.092903,2)&amp;")"</f>
        <v>(1.39)</v>
      </c>
      <c r="EV32" s="375">
        <v>2</v>
      </c>
      <c r="EW32" s="375">
        <f t="shared" si="87"/>
        <v>3.5</v>
      </c>
      <c r="EX32" s="375">
        <v>0</v>
      </c>
      <c r="EY32" s="375">
        <f t="shared" si="88"/>
        <v>0</v>
      </c>
      <c r="EZ32" s="375">
        <v>1</v>
      </c>
      <c r="FA32" s="375">
        <f t="shared" si="89"/>
        <v>1</v>
      </c>
      <c r="FB32" s="375">
        <f t="shared" si="163"/>
        <v>4.5</v>
      </c>
      <c r="FC32" s="376">
        <f t="shared" si="91"/>
        <v>61.5</v>
      </c>
      <c r="FD32" s="373">
        <f>($IR32+(($IQ32-1)*$IS32)+$IT32)*FM32/144</f>
        <v>16.395519097222223</v>
      </c>
      <c r="FE32" s="374" t="str">
        <f t="shared" si="164"/>
        <v>(1.52)</v>
      </c>
      <c r="FF32" s="375">
        <v>2</v>
      </c>
      <c r="FG32" s="375">
        <f t="shared" si="93"/>
        <v>3.5</v>
      </c>
      <c r="FH32" s="375">
        <v>1</v>
      </c>
      <c r="FI32" s="375">
        <f t="shared" si="94"/>
        <v>1.125</v>
      </c>
      <c r="FJ32" s="375">
        <v>0</v>
      </c>
      <c r="FK32" s="375">
        <f t="shared" si="95"/>
        <v>0</v>
      </c>
      <c r="FL32" s="375">
        <f t="shared" si="165"/>
        <v>4.625</v>
      </c>
      <c r="FM32" s="376">
        <f t="shared" si="97"/>
        <v>67.375</v>
      </c>
      <c r="FN32" s="373">
        <f>($IR32+(($IQ32-1)*$IS32)+$IT32)*FW32/144</f>
        <v>17.855602430555557</v>
      </c>
      <c r="FO32" s="374" t="str">
        <f t="shared" si="164"/>
        <v>(1.66)</v>
      </c>
      <c r="FP32" s="375">
        <v>2</v>
      </c>
      <c r="FQ32" s="375">
        <f t="shared" si="99"/>
        <v>3.5</v>
      </c>
      <c r="FR32" s="375">
        <v>1</v>
      </c>
      <c r="FS32" s="375">
        <f t="shared" si="100"/>
        <v>1.125</v>
      </c>
      <c r="FT32" s="375">
        <v>0</v>
      </c>
      <c r="FU32" s="375">
        <f t="shared" si="101"/>
        <v>0</v>
      </c>
      <c r="FV32" s="375">
        <f t="shared" si="166"/>
        <v>4.625</v>
      </c>
      <c r="FW32" s="376">
        <f t="shared" si="103"/>
        <v>73.375</v>
      </c>
      <c r="FX32" s="373">
        <f>($IR32+(($IQ32-1)*$IS32)+$IT32)*GG32/144</f>
        <v>19.31568576388889</v>
      </c>
      <c r="FY32" s="374" t="str">
        <f t="shared" ref="FY32:FY33" si="186">"("&amp;FIXED(FX32*0.092903,2)&amp;")"</f>
        <v>(1.79)</v>
      </c>
      <c r="FZ32" s="375">
        <v>2</v>
      </c>
      <c r="GA32" s="375">
        <f t="shared" si="105"/>
        <v>3.5</v>
      </c>
      <c r="GB32" s="375">
        <v>1</v>
      </c>
      <c r="GC32" s="375">
        <f t="shared" si="106"/>
        <v>1.125</v>
      </c>
      <c r="GD32" s="375">
        <v>0</v>
      </c>
      <c r="GE32" s="375">
        <f t="shared" si="107"/>
        <v>0</v>
      </c>
      <c r="GF32" s="375">
        <f t="shared" si="168"/>
        <v>4.625</v>
      </c>
      <c r="GG32" s="376">
        <f t="shared" si="109"/>
        <v>79.375</v>
      </c>
      <c r="GH32" s="373">
        <f>($IR32+(($IQ32-1)*$IS32)+$IT32)*GQ32/144</f>
        <v>20.775769097222224</v>
      </c>
      <c r="GI32" s="374" t="str">
        <f t="shared" ref="GI32:GI33" si="187">"("&amp;FIXED(GH32*0.092903,2)&amp;")"</f>
        <v>(1.93)</v>
      </c>
      <c r="GJ32" s="375">
        <v>2</v>
      </c>
      <c r="GK32" s="375">
        <f t="shared" si="111"/>
        <v>3.5</v>
      </c>
      <c r="GL32" s="375">
        <v>1</v>
      </c>
      <c r="GM32" s="375">
        <f t="shared" si="112"/>
        <v>1.125</v>
      </c>
      <c r="GN32" s="375">
        <v>0</v>
      </c>
      <c r="GO32" s="375">
        <f t="shared" si="113"/>
        <v>0</v>
      </c>
      <c r="GP32" s="375">
        <f t="shared" si="170"/>
        <v>4.625</v>
      </c>
      <c r="GQ32" s="376">
        <f t="shared" si="115"/>
        <v>85.375</v>
      </c>
      <c r="GR32" s="373">
        <f>($IR32+(($IQ32-1)*$IS32)+$IT32)*HA32/144</f>
        <v>22.235852430555557</v>
      </c>
      <c r="GS32" s="374" t="str">
        <f t="shared" ref="GS32:GS33" si="188">"("&amp;FIXED(GR32*0.092903,2)&amp;")"</f>
        <v>(2.07)</v>
      </c>
      <c r="GT32" s="375">
        <v>2</v>
      </c>
      <c r="GU32" s="375">
        <f t="shared" si="117"/>
        <v>3.5</v>
      </c>
      <c r="GV32" s="375">
        <v>1</v>
      </c>
      <c r="GW32" s="375">
        <f t="shared" si="118"/>
        <v>1.125</v>
      </c>
      <c r="GX32" s="375">
        <v>0</v>
      </c>
      <c r="GY32" s="375">
        <f t="shared" si="119"/>
        <v>0</v>
      </c>
      <c r="GZ32" s="375">
        <f t="shared" si="172"/>
        <v>4.625</v>
      </c>
      <c r="HA32" s="376">
        <f t="shared" si="121"/>
        <v>91.375</v>
      </c>
      <c r="HB32" s="373">
        <f>($IR32+(($IQ32-1)*$IS32)+$IT32)*HK32/144</f>
        <v>23.69593576388889</v>
      </c>
      <c r="HC32" s="374" t="str">
        <f t="shared" ref="HC32:HC33" si="189">"("&amp;FIXED(HB32*0.092903,2)&amp;")"</f>
        <v>(2.20)</v>
      </c>
      <c r="HD32" s="375">
        <v>2</v>
      </c>
      <c r="HE32" s="375">
        <f t="shared" si="123"/>
        <v>3.5</v>
      </c>
      <c r="HF32" s="375">
        <v>1</v>
      </c>
      <c r="HG32" s="375">
        <f t="shared" si="124"/>
        <v>1.125</v>
      </c>
      <c r="HH32" s="375">
        <v>0</v>
      </c>
      <c r="HI32" s="375">
        <f t="shared" si="125"/>
        <v>0</v>
      </c>
      <c r="HJ32" s="375">
        <f t="shared" si="174"/>
        <v>4.625</v>
      </c>
      <c r="HK32" s="376">
        <f t="shared" si="127"/>
        <v>97.375</v>
      </c>
      <c r="HL32" s="373">
        <f>($IR32+(($IQ32-1)*$IS32)+$IT32)*HU32/144</f>
        <v>24.669324652777778</v>
      </c>
      <c r="HM32" s="374" t="str">
        <f t="shared" si="175"/>
        <v>(2.29)</v>
      </c>
      <c r="HN32" s="375">
        <v>2</v>
      </c>
      <c r="HO32" s="375">
        <f t="shared" si="129"/>
        <v>3.5</v>
      </c>
      <c r="HP32" s="375">
        <v>1</v>
      </c>
      <c r="HQ32" s="375">
        <f t="shared" si="130"/>
        <v>1.125</v>
      </c>
      <c r="HR32" s="375">
        <v>2</v>
      </c>
      <c r="HS32" s="375">
        <f t="shared" si="131"/>
        <v>2</v>
      </c>
      <c r="HT32" s="375">
        <f t="shared" si="176"/>
        <v>6.625</v>
      </c>
      <c r="HU32" s="376">
        <f t="shared" si="133"/>
        <v>101.375</v>
      </c>
      <c r="HV32" s="373">
        <f>($IR32+(($IQ32-1)*$IS32)+$IT32)*IE32/144</f>
        <v>26.129407986111111</v>
      </c>
      <c r="HW32" s="374" t="str">
        <f t="shared" ref="HW32:HW33" si="190">"("&amp;FIXED(HV32*0.092903,2)&amp;")"</f>
        <v>(2.43)</v>
      </c>
      <c r="HX32" s="375">
        <v>2</v>
      </c>
      <c r="HY32" s="375">
        <f t="shared" si="135"/>
        <v>3.5</v>
      </c>
      <c r="HZ32" s="375">
        <v>1</v>
      </c>
      <c r="IA32" s="375">
        <f t="shared" si="136"/>
        <v>1.125</v>
      </c>
      <c r="IB32" s="375">
        <v>2</v>
      </c>
      <c r="IC32" s="375">
        <f t="shared" si="137"/>
        <v>2</v>
      </c>
      <c r="ID32" s="375">
        <f t="shared" si="178"/>
        <v>6.625</v>
      </c>
      <c r="IE32" s="376">
        <f t="shared" si="139"/>
        <v>107.375</v>
      </c>
      <c r="IF32" s="373">
        <f>($IR32+(($IQ32-1)*$IS32)+$IT32)*IO32/144</f>
        <v>27.589491319444445</v>
      </c>
      <c r="IG32" s="374" t="str">
        <f t="shared" ref="IG32:IG33" si="191">"("&amp;FIXED(IF32*0.092903,2)&amp;")"</f>
        <v>(2.56)</v>
      </c>
      <c r="IH32" s="22">
        <v>2</v>
      </c>
      <c r="II32" s="22">
        <f t="shared" si="141"/>
        <v>3.5</v>
      </c>
      <c r="IJ32" s="22">
        <v>1</v>
      </c>
      <c r="IK32" s="22">
        <f t="shared" si="142"/>
        <v>1.125</v>
      </c>
      <c r="IL32" s="22">
        <v>2</v>
      </c>
      <c r="IM32" s="22">
        <f t="shared" si="143"/>
        <v>2</v>
      </c>
      <c r="IN32" s="22">
        <f t="shared" si="180"/>
        <v>6.625</v>
      </c>
      <c r="IO32" s="23">
        <f t="shared" si="145"/>
        <v>113.375</v>
      </c>
      <c r="IP32" s="24"/>
      <c r="IQ32" s="25">
        <f t="shared" si="146"/>
        <v>12</v>
      </c>
      <c r="IR32" s="26">
        <v>2.5</v>
      </c>
      <c r="IS32" s="26">
        <v>2.8780000000000001</v>
      </c>
      <c r="IT32" s="26">
        <v>0.88400000000000001</v>
      </c>
      <c r="IU32" s="26">
        <v>1.75</v>
      </c>
      <c r="IV32" s="26">
        <v>1</v>
      </c>
      <c r="IW32" s="26">
        <v>1.125</v>
      </c>
      <c r="IX32" s="8"/>
    </row>
    <row r="33" spans="2:258" ht="15.75" thickBot="1" x14ac:dyDescent="0.3">
      <c r="B33" s="103">
        <f t="shared" si="25"/>
        <v>90</v>
      </c>
      <c r="C33" s="221">
        <v>16</v>
      </c>
      <c r="D33" s="98">
        <f t="shared" si="1"/>
        <v>0.3300746913580247</v>
      </c>
      <c r="E33" s="96">
        <f t="shared" si="2"/>
        <v>0.38258657407407409</v>
      </c>
      <c r="F33" s="96">
        <f t="shared" si="3"/>
        <v>0.43509845679012349</v>
      </c>
      <c r="G33" s="96">
        <f t="shared" si="4"/>
        <v>0.46135439814814821</v>
      </c>
      <c r="H33" s="96">
        <f t="shared" si="5"/>
        <v>0.47710796296296298</v>
      </c>
      <c r="I33" s="96">
        <f t="shared" si="6"/>
        <v>0.48761033950617283</v>
      </c>
      <c r="J33" s="96">
        <f t="shared" si="7"/>
        <v>0.4951120370370371</v>
      </c>
      <c r="K33" s="96">
        <f t="shared" si="8"/>
        <v>0.50073831018518533</v>
      </c>
      <c r="L33" s="96">
        <f t="shared" si="9"/>
        <v>0.49511203703703704</v>
      </c>
      <c r="M33" s="96">
        <f t="shared" si="10"/>
        <v>0.49961305555555563</v>
      </c>
      <c r="N33" s="96">
        <f t="shared" si="11"/>
        <v>0.50329570707070703</v>
      </c>
      <c r="O33" s="96">
        <f t="shared" si="12"/>
        <v>0.50542687114197538</v>
      </c>
      <c r="P33" s="238"/>
      <c r="Q33" s="238"/>
      <c r="R33" s="238"/>
      <c r="S33" s="238"/>
      <c r="T33" s="238"/>
      <c r="U33" s="238"/>
      <c r="V33" s="238"/>
      <c r="W33" s="238"/>
      <c r="X33" s="96"/>
      <c r="Y33" s="65"/>
      <c r="AT33" s="235"/>
      <c r="AU33" s="27">
        <f t="shared" si="181"/>
        <v>72</v>
      </c>
      <c r="AV33" s="28" t="str">
        <f t="shared" si="147"/>
        <v>(1850)</v>
      </c>
      <c r="AW33" s="236">
        <f t="shared" si="182"/>
        <v>18</v>
      </c>
      <c r="AX33" s="193">
        <f>($IR33+(($IQ33-1)*$IS33)+$IT33)*BG33/144</f>
        <v>1.483625</v>
      </c>
      <c r="AY33" s="29" t="str">
        <f t="shared" si="183"/>
        <v>(0.14)</v>
      </c>
      <c r="AZ33" s="30">
        <v>2</v>
      </c>
      <c r="BA33" s="30">
        <f t="shared" si="27"/>
        <v>3.5</v>
      </c>
      <c r="BB33" s="30">
        <v>0</v>
      </c>
      <c r="BC33" s="30">
        <f t="shared" si="28"/>
        <v>0</v>
      </c>
      <c r="BD33" s="30">
        <v>0</v>
      </c>
      <c r="BE33" s="30">
        <f t="shared" si="29"/>
        <v>0</v>
      </c>
      <c r="BF33" s="30">
        <f t="shared" si="149"/>
        <v>3.5</v>
      </c>
      <c r="BG33" s="194">
        <f t="shared" si="31"/>
        <v>5.5</v>
      </c>
      <c r="BH33" s="373">
        <f>($IR33+(($IQ33-1)*$IS33)+$IT33)*BQ33/144</f>
        <v>2.2928750000000004</v>
      </c>
      <c r="BI33" s="374" t="str">
        <f t="shared" si="150"/>
        <v>(0.21)</v>
      </c>
      <c r="BJ33" s="375">
        <v>2</v>
      </c>
      <c r="BK33" s="375">
        <f t="shared" si="33"/>
        <v>3.5</v>
      </c>
      <c r="BL33" s="375">
        <v>0</v>
      </c>
      <c r="BM33" s="375">
        <f t="shared" si="34"/>
        <v>0</v>
      </c>
      <c r="BN33" s="375">
        <v>0</v>
      </c>
      <c r="BO33" s="375">
        <f t="shared" si="35"/>
        <v>0</v>
      </c>
      <c r="BP33" s="375">
        <f t="shared" si="151"/>
        <v>3.5</v>
      </c>
      <c r="BQ33" s="376">
        <f t="shared" si="37"/>
        <v>8.5</v>
      </c>
      <c r="BR33" s="373">
        <f>($IR33+(($IQ33-1)*$IS33)+$IT33)*CA33/144</f>
        <v>3.9113750000000005</v>
      </c>
      <c r="BS33" s="374" t="str">
        <f t="shared" si="38"/>
        <v>(0.36)</v>
      </c>
      <c r="BT33" s="375">
        <v>2</v>
      </c>
      <c r="BU33" s="375">
        <f t="shared" si="39"/>
        <v>3.5</v>
      </c>
      <c r="BV33" s="375">
        <v>0</v>
      </c>
      <c r="BW33" s="375">
        <f t="shared" si="40"/>
        <v>0</v>
      </c>
      <c r="BX33" s="375">
        <v>0</v>
      </c>
      <c r="BY33" s="375">
        <f t="shared" si="41"/>
        <v>0</v>
      </c>
      <c r="BZ33" s="375">
        <f t="shared" si="152"/>
        <v>3.5</v>
      </c>
      <c r="CA33" s="376">
        <f t="shared" si="43"/>
        <v>14.5</v>
      </c>
      <c r="CB33" s="373">
        <f>($IR33+(($IQ33-1)*$IS33)+$IT33)*CK33/144</f>
        <v>5.5298750000000005</v>
      </c>
      <c r="CC33" s="374" t="str">
        <f t="shared" si="44"/>
        <v>(0.51)</v>
      </c>
      <c r="CD33" s="375">
        <v>2</v>
      </c>
      <c r="CE33" s="375">
        <f t="shared" si="45"/>
        <v>3.5</v>
      </c>
      <c r="CF33" s="375">
        <v>0</v>
      </c>
      <c r="CG33" s="375">
        <f t="shared" si="46"/>
        <v>0</v>
      </c>
      <c r="CH33" s="375">
        <v>0</v>
      </c>
      <c r="CI33" s="375">
        <f t="shared" si="47"/>
        <v>0</v>
      </c>
      <c r="CJ33" s="375">
        <f t="shared" si="153"/>
        <v>3.5</v>
      </c>
      <c r="CK33" s="376">
        <f t="shared" si="49"/>
        <v>20.5</v>
      </c>
      <c r="CL33" s="373">
        <f>($IR33+(($IQ33-1)*$IS33)+$IT33)*CU33/144</f>
        <v>7.1483749999999997</v>
      </c>
      <c r="CM33" s="374" t="str">
        <f t="shared" si="50"/>
        <v>(0.66)</v>
      </c>
      <c r="CN33" s="375">
        <v>2</v>
      </c>
      <c r="CO33" s="375">
        <f t="shared" si="51"/>
        <v>3.5</v>
      </c>
      <c r="CP33" s="375">
        <v>0</v>
      </c>
      <c r="CQ33" s="375">
        <f t="shared" si="52"/>
        <v>0</v>
      </c>
      <c r="CR33" s="375">
        <v>0</v>
      </c>
      <c r="CS33" s="375">
        <f t="shared" si="53"/>
        <v>0</v>
      </c>
      <c r="CT33" s="375">
        <f t="shared" si="154"/>
        <v>3.5</v>
      </c>
      <c r="CU33" s="376">
        <f t="shared" si="55"/>
        <v>26.5</v>
      </c>
      <c r="CV33" s="373">
        <f>($IR33+(($IQ33-1)*$IS33)+$IT33)*DE33/144</f>
        <v>8.7668750000000006</v>
      </c>
      <c r="CW33" s="374" t="str">
        <f t="shared" si="56"/>
        <v>(0.81)</v>
      </c>
      <c r="CX33" s="375">
        <v>2</v>
      </c>
      <c r="CY33" s="375">
        <f t="shared" si="57"/>
        <v>3.5</v>
      </c>
      <c r="CZ33" s="375">
        <v>0</v>
      </c>
      <c r="DA33" s="375">
        <f t="shared" si="58"/>
        <v>0</v>
      </c>
      <c r="DB33" s="375">
        <v>0</v>
      </c>
      <c r="DC33" s="375">
        <f t="shared" si="59"/>
        <v>0</v>
      </c>
      <c r="DD33" s="375">
        <f t="shared" si="155"/>
        <v>3.5</v>
      </c>
      <c r="DE33" s="376">
        <f t="shared" si="61"/>
        <v>32.5</v>
      </c>
      <c r="DF33" s="373">
        <f>($IR33+(($IQ33-1)*$IS33)+$IT33)*DO33/144</f>
        <v>10.385375000000002</v>
      </c>
      <c r="DG33" s="374" t="str">
        <f t="shared" si="62"/>
        <v>(0.96)</v>
      </c>
      <c r="DH33" s="375">
        <v>2</v>
      </c>
      <c r="DI33" s="375">
        <f t="shared" si="63"/>
        <v>3.5</v>
      </c>
      <c r="DJ33" s="375">
        <v>0</v>
      </c>
      <c r="DK33" s="375">
        <f t="shared" si="64"/>
        <v>0</v>
      </c>
      <c r="DL33" s="375">
        <v>0</v>
      </c>
      <c r="DM33" s="375">
        <f t="shared" si="65"/>
        <v>0</v>
      </c>
      <c r="DN33" s="375">
        <f t="shared" si="156"/>
        <v>3.5</v>
      </c>
      <c r="DO33" s="376">
        <f t="shared" si="67"/>
        <v>38.5</v>
      </c>
      <c r="DP33" s="373">
        <f>($IR33+(($IQ33-1)*$IS33)+$IT33)*DY33/144</f>
        <v>12.003875000000001</v>
      </c>
      <c r="DQ33" s="374" t="str">
        <f t="shared" si="68"/>
        <v>(1.12)</v>
      </c>
      <c r="DR33" s="375">
        <v>2</v>
      </c>
      <c r="DS33" s="375">
        <f t="shared" si="69"/>
        <v>3.5</v>
      </c>
      <c r="DT33" s="375">
        <v>0</v>
      </c>
      <c r="DU33" s="375">
        <f t="shared" si="70"/>
        <v>0</v>
      </c>
      <c r="DV33" s="375">
        <v>0</v>
      </c>
      <c r="DW33" s="375">
        <f t="shared" si="71"/>
        <v>0</v>
      </c>
      <c r="DX33" s="375">
        <f t="shared" si="157"/>
        <v>3.5</v>
      </c>
      <c r="DY33" s="376">
        <f t="shared" si="73"/>
        <v>44.5</v>
      </c>
      <c r="DZ33" s="373">
        <f>($IR33+(($IQ33-1)*$IS33)+$IT33)*EI33/144</f>
        <v>13.352625</v>
      </c>
      <c r="EA33" s="374" t="str">
        <f t="shared" si="158"/>
        <v>(1.24)</v>
      </c>
      <c r="EB33" s="375">
        <v>2</v>
      </c>
      <c r="EC33" s="375">
        <f t="shared" si="75"/>
        <v>3.5</v>
      </c>
      <c r="ED33" s="375">
        <v>0</v>
      </c>
      <c r="EE33" s="375">
        <f t="shared" si="76"/>
        <v>0</v>
      </c>
      <c r="EF33" s="375">
        <v>1</v>
      </c>
      <c r="EG33" s="375">
        <f t="shared" si="77"/>
        <v>1</v>
      </c>
      <c r="EH33" s="375">
        <f t="shared" si="159"/>
        <v>4.5</v>
      </c>
      <c r="EI33" s="376">
        <f t="shared" si="79"/>
        <v>49.5</v>
      </c>
      <c r="EJ33" s="373">
        <f>($IR33+(($IQ33-1)*$IS33)+$IT33)*ES33/144</f>
        <v>14.971125000000001</v>
      </c>
      <c r="EK33" s="374" t="str">
        <f t="shared" si="184"/>
        <v>(1.39)</v>
      </c>
      <c r="EL33" s="375">
        <v>2</v>
      </c>
      <c r="EM33" s="375">
        <f t="shared" si="81"/>
        <v>3.5</v>
      </c>
      <c r="EN33" s="375">
        <v>0</v>
      </c>
      <c r="EO33" s="375">
        <f t="shared" si="82"/>
        <v>0</v>
      </c>
      <c r="EP33" s="375">
        <v>1</v>
      </c>
      <c r="EQ33" s="375">
        <f t="shared" si="83"/>
        <v>1</v>
      </c>
      <c r="ER33" s="375">
        <f t="shared" si="161"/>
        <v>4.5</v>
      </c>
      <c r="ES33" s="376">
        <f t="shared" si="85"/>
        <v>55.5</v>
      </c>
      <c r="ET33" s="373">
        <f>($IR33+(($IQ33-1)*$IS33)+$IT33)*FC33/144</f>
        <v>16.589624999999998</v>
      </c>
      <c r="EU33" s="374" t="str">
        <f t="shared" si="185"/>
        <v>(1.54)</v>
      </c>
      <c r="EV33" s="375">
        <v>2</v>
      </c>
      <c r="EW33" s="375">
        <f t="shared" si="87"/>
        <v>3.5</v>
      </c>
      <c r="EX33" s="375">
        <v>0</v>
      </c>
      <c r="EY33" s="375">
        <f t="shared" si="88"/>
        <v>0</v>
      </c>
      <c r="EZ33" s="375">
        <v>1</v>
      </c>
      <c r="FA33" s="375">
        <f t="shared" si="89"/>
        <v>1</v>
      </c>
      <c r="FB33" s="375">
        <f t="shared" si="163"/>
        <v>4.5</v>
      </c>
      <c r="FC33" s="376">
        <f t="shared" si="91"/>
        <v>61.5</v>
      </c>
      <c r="FD33" s="373">
        <f>($IR33+(($IQ33-1)*$IS33)+$IT33)*FM33/144</f>
        <v>18.174406250000001</v>
      </c>
      <c r="FE33" s="374" t="str">
        <f t="shared" si="164"/>
        <v>(1.69)</v>
      </c>
      <c r="FF33" s="375">
        <v>2</v>
      </c>
      <c r="FG33" s="375">
        <f t="shared" si="93"/>
        <v>3.5</v>
      </c>
      <c r="FH33" s="375">
        <v>1</v>
      </c>
      <c r="FI33" s="375">
        <f t="shared" si="94"/>
        <v>1.125</v>
      </c>
      <c r="FJ33" s="375">
        <v>0</v>
      </c>
      <c r="FK33" s="375">
        <f t="shared" si="95"/>
        <v>0</v>
      </c>
      <c r="FL33" s="375">
        <f t="shared" si="165"/>
        <v>4.625</v>
      </c>
      <c r="FM33" s="376">
        <f t="shared" si="97"/>
        <v>67.375</v>
      </c>
      <c r="FN33" s="373">
        <f>($IR33+(($IQ33-1)*$IS33)+$IT33)*FW33/144</f>
        <v>19.792906250000001</v>
      </c>
      <c r="FO33" s="374" t="str">
        <f t="shared" si="164"/>
        <v>(1.84)</v>
      </c>
      <c r="FP33" s="375">
        <v>2</v>
      </c>
      <c r="FQ33" s="375">
        <f t="shared" si="99"/>
        <v>3.5</v>
      </c>
      <c r="FR33" s="375">
        <v>1</v>
      </c>
      <c r="FS33" s="375">
        <f t="shared" si="100"/>
        <v>1.125</v>
      </c>
      <c r="FT33" s="375">
        <v>0</v>
      </c>
      <c r="FU33" s="375">
        <f t="shared" si="101"/>
        <v>0</v>
      </c>
      <c r="FV33" s="375">
        <f t="shared" si="166"/>
        <v>4.625</v>
      </c>
      <c r="FW33" s="376">
        <f t="shared" si="103"/>
        <v>73.375</v>
      </c>
      <c r="FX33" s="373">
        <f>($IR33+(($IQ33-1)*$IS33)+$IT33)*GG33/144</f>
        <v>21.411406250000002</v>
      </c>
      <c r="FY33" s="374" t="str">
        <f t="shared" si="186"/>
        <v>(1.99)</v>
      </c>
      <c r="FZ33" s="375">
        <v>2</v>
      </c>
      <c r="GA33" s="375">
        <f t="shared" si="105"/>
        <v>3.5</v>
      </c>
      <c r="GB33" s="375">
        <v>1</v>
      </c>
      <c r="GC33" s="375">
        <f t="shared" si="106"/>
        <v>1.125</v>
      </c>
      <c r="GD33" s="375">
        <v>0</v>
      </c>
      <c r="GE33" s="375">
        <f t="shared" si="107"/>
        <v>0</v>
      </c>
      <c r="GF33" s="375">
        <f t="shared" si="168"/>
        <v>4.625</v>
      </c>
      <c r="GG33" s="376">
        <f t="shared" si="109"/>
        <v>79.375</v>
      </c>
      <c r="GH33" s="373">
        <f>($IR33+(($IQ33-1)*$IS33)+$IT33)*GQ33/144</f>
        <v>23.02990625</v>
      </c>
      <c r="GI33" s="374" t="str">
        <f t="shared" si="187"/>
        <v>(2.14)</v>
      </c>
      <c r="GJ33" s="375">
        <v>2</v>
      </c>
      <c r="GK33" s="375">
        <f t="shared" si="111"/>
        <v>3.5</v>
      </c>
      <c r="GL33" s="375">
        <v>1</v>
      </c>
      <c r="GM33" s="375">
        <f t="shared" si="112"/>
        <v>1.125</v>
      </c>
      <c r="GN33" s="375">
        <v>0</v>
      </c>
      <c r="GO33" s="375">
        <f t="shared" si="113"/>
        <v>0</v>
      </c>
      <c r="GP33" s="375">
        <f t="shared" si="170"/>
        <v>4.625</v>
      </c>
      <c r="GQ33" s="376">
        <f t="shared" si="115"/>
        <v>85.375</v>
      </c>
      <c r="GR33" s="373">
        <f>($IR33+(($IQ33-1)*$IS33)+$IT33)*HA33/144</f>
        <v>24.648406250000001</v>
      </c>
      <c r="GS33" s="374" t="str">
        <f t="shared" si="188"/>
        <v>(2.29)</v>
      </c>
      <c r="GT33" s="375">
        <v>2</v>
      </c>
      <c r="GU33" s="375">
        <f t="shared" si="117"/>
        <v>3.5</v>
      </c>
      <c r="GV33" s="375">
        <v>1</v>
      </c>
      <c r="GW33" s="375">
        <f t="shared" si="118"/>
        <v>1.125</v>
      </c>
      <c r="GX33" s="375">
        <v>0</v>
      </c>
      <c r="GY33" s="375">
        <f t="shared" si="119"/>
        <v>0</v>
      </c>
      <c r="GZ33" s="375">
        <f t="shared" si="172"/>
        <v>4.625</v>
      </c>
      <c r="HA33" s="376">
        <f t="shared" si="121"/>
        <v>91.375</v>
      </c>
      <c r="HB33" s="373">
        <f>($IR33+(($IQ33-1)*$IS33)+$IT33)*HK33/144</f>
        <v>26.266906250000002</v>
      </c>
      <c r="HC33" s="374" t="str">
        <f t="shared" si="189"/>
        <v>(2.44)</v>
      </c>
      <c r="HD33" s="375">
        <v>2</v>
      </c>
      <c r="HE33" s="375">
        <f t="shared" si="123"/>
        <v>3.5</v>
      </c>
      <c r="HF33" s="375">
        <v>1</v>
      </c>
      <c r="HG33" s="375">
        <f t="shared" si="124"/>
        <v>1.125</v>
      </c>
      <c r="HH33" s="375">
        <v>0</v>
      </c>
      <c r="HI33" s="375">
        <f t="shared" si="125"/>
        <v>0</v>
      </c>
      <c r="HJ33" s="375">
        <f t="shared" si="174"/>
        <v>4.625</v>
      </c>
      <c r="HK33" s="376">
        <f t="shared" si="127"/>
        <v>97.375</v>
      </c>
      <c r="HL33" s="373">
        <f>($IR33+(($IQ33-1)*$IS33)+$IT33)*HU33/144</f>
        <v>27.345906249999999</v>
      </c>
      <c r="HM33" s="374" t="str">
        <f t="shared" si="175"/>
        <v>(2.54)</v>
      </c>
      <c r="HN33" s="375">
        <v>2</v>
      </c>
      <c r="HO33" s="375">
        <f t="shared" si="129"/>
        <v>3.5</v>
      </c>
      <c r="HP33" s="375">
        <v>1</v>
      </c>
      <c r="HQ33" s="375">
        <f t="shared" si="130"/>
        <v>1.125</v>
      </c>
      <c r="HR33" s="375">
        <v>2</v>
      </c>
      <c r="HS33" s="375">
        <f t="shared" si="131"/>
        <v>2</v>
      </c>
      <c r="HT33" s="375">
        <f t="shared" si="176"/>
        <v>6.625</v>
      </c>
      <c r="HU33" s="376">
        <f t="shared" si="133"/>
        <v>101.375</v>
      </c>
      <c r="HV33" s="373">
        <f>($IR33+(($IQ33-1)*$IS33)+$IT33)*IE33/144</f>
        <v>28.96440625</v>
      </c>
      <c r="HW33" s="374" t="str">
        <f t="shared" si="190"/>
        <v>(2.69)</v>
      </c>
      <c r="HX33" s="375">
        <v>2</v>
      </c>
      <c r="HY33" s="375">
        <f t="shared" si="135"/>
        <v>3.5</v>
      </c>
      <c r="HZ33" s="375">
        <v>1</v>
      </c>
      <c r="IA33" s="375">
        <f t="shared" si="136"/>
        <v>1.125</v>
      </c>
      <c r="IB33" s="375">
        <v>2</v>
      </c>
      <c r="IC33" s="375">
        <f t="shared" si="137"/>
        <v>2</v>
      </c>
      <c r="ID33" s="375">
        <f t="shared" si="178"/>
        <v>6.625</v>
      </c>
      <c r="IE33" s="376">
        <f t="shared" si="139"/>
        <v>107.375</v>
      </c>
      <c r="IF33" s="373">
        <f>($IR33+(($IQ33-1)*$IS33)+$IT33)*IO33/144</f>
        <v>30.582906250000001</v>
      </c>
      <c r="IG33" s="374" t="str">
        <f t="shared" si="191"/>
        <v>(2.84)</v>
      </c>
      <c r="IH33" s="22">
        <v>2</v>
      </c>
      <c r="II33" s="22">
        <f t="shared" si="141"/>
        <v>3.5</v>
      </c>
      <c r="IJ33" s="22">
        <v>1</v>
      </c>
      <c r="IK33" s="22">
        <f t="shared" si="142"/>
        <v>1.125</v>
      </c>
      <c r="IL33" s="22">
        <v>2</v>
      </c>
      <c r="IM33" s="22">
        <f t="shared" si="143"/>
        <v>2</v>
      </c>
      <c r="IN33" s="22">
        <f t="shared" si="180"/>
        <v>6.625</v>
      </c>
      <c r="IO33" s="23">
        <f t="shared" si="145"/>
        <v>113.375</v>
      </c>
      <c r="IP33" s="24"/>
      <c r="IQ33" s="25">
        <f t="shared" si="146"/>
        <v>13</v>
      </c>
      <c r="IR33" s="26">
        <v>2.5</v>
      </c>
      <c r="IS33" s="26">
        <v>2.8780000000000001</v>
      </c>
      <c r="IT33" s="26">
        <v>1.8080000000000001</v>
      </c>
      <c r="IU33" s="26">
        <v>1.75</v>
      </c>
      <c r="IV33" s="26">
        <v>1</v>
      </c>
      <c r="IW33" s="26">
        <v>1.125</v>
      </c>
      <c r="IX33" s="8"/>
    </row>
    <row r="34" spans="2:258" ht="15.75" thickBot="1" x14ac:dyDescent="0.3">
      <c r="B34" s="103">
        <f t="shared" si="25"/>
        <v>96</v>
      </c>
      <c r="C34" s="226">
        <v>17</v>
      </c>
      <c r="D34" s="98">
        <f t="shared" si="1"/>
        <v>0.33273726851851854</v>
      </c>
      <c r="E34" s="96">
        <f t="shared" si="2"/>
        <v>0.38567274305555554</v>
      </c>
      <c r="F34" s="96">
        <f t="shared" si="3"/>
        <v>0.43860821759259266</v>
      </c>
      <c r="G34" s="96">
        <f t="shared" si="4"/>
        <v>0.46507595486111114</v>
      </c>
      <c r="H34" s="96">
        <f t="shared" si="5"/>
        <v>0.48095659722222217</v>
      </c>
      <c r="I34" s="96">
        <f t="shared" si="6"/>
        <v>0.49154369212962967</v>
      </c>
      <c r="J34" s="96">
        <f t="shared" si="7"/>
        <v>0.49910590277777783</v>
      </c>
      <c r="K34" s="96">
        <f t="shared" si="8"/>
        <v>0.50477756076388891</v>
      </c>
      <c r="L34" s="96">
        <f t="shared" si="9"/>
        <v>0.49910590277777778</v>
      </c>
      <c r="M34" s="96">
        <f t="shared" si="10"/>
        <v>0.50364322916666671</v>
      </c>
      <c r="N34" s="96">
        <f t="shared" si="11"/>
        <v>0.50735558712121209</v>
      </c>
      <c r="O34" s="96">
        <f t="shared" si="12"/>
        <v>0.50950394241898156</v>
      </c>
      <c r="P34" s="238"/>
      <c r="Q34" s="238"/>
      <c r="R34" s="238"/>
      <c r="S34" s="238"/>
      <c r="T34" s="238"/>
      <c r="U34" s="238"/>
      <c r="V34" s="238"/>
      <c r="W34" s="238"/>
      <c r="X34" s="96"/>
      <c r="Y34" s="65"/>
      <c r="AT34" s="235"/>
      <c r="AU34" s="27">
        <f t="shared" si="181"/>
        <v>78</v>
      </c>
      <c r="AV34" s="28" t="str">
        <f t="shared" si="147"/>
        <v>(2000)</v>
      </c>
      <c r="AW34" s="236">
        <f t="shared" si="182"/>
        <v>19</v>
      </c>
      <c r="AX34" s="193">
        <f>($IR34+(($IQ34-1)*$IS34)+$IT34)*BG34/144</f>
        <v>1.6248298611111112</v>
      </c>
      <c r="AY34" s="29" t="str">
        <f t="shared" si="183"/>
        <v>(0.15)</v>
      </c>
      <c r="AZ34" s="30">
        <v>2</v>
      </c>
      <c r="BA34" s="30">
        <f t="shared" si="27"/>
        <v>3.5</v>
      </c>
      <c r="BB34" s="30">
        <v>0</v>
      </c>
      <c r="BC34" s="30">
        <f t="shared" si="28"/>
        <v>0</v>
      </c>
      <c r="BD34" s="30">
        <v>0</v>
      </c>
      <c r="BE34" s="30">
        <f t="shared" si="29"/>
        <v>0</v>
      </c>
      <c r="BF34" s="30">
        <f t="shared" si="149"/>
        <v>3.5</v>
      </c>
      <c r="BG34" s="194">
        <f t="shared" si="31"/>
        <v>5.5</v>
      </c>
      <c r="BH34" s="373">
        <f>($IR34+(($IQ34-1)*$IS34)+$IT34)*BQ34/144</f>
        <v>2.5111006944444449</v>
      </c>
      <c r="BI34" s="374" t="str">
        <f t="shared" si="150"/>
        <v>(0.23)</v>
      </c>
      <c r="BJ34" s="375">
        <v>2</v>
      </c>
      <c r="BK34" s="375">
        <f t="shared" si="33"/>
        <v>3.5</v>
      </c>
      <c r="BL34" s="375">
        <v>0</v>
      </c>
      <c r="BM34" s="375">
        <f t="shared" si="34"/>
        <v>0</v>
      </c>
      <c r="BN34" s="375">
        <v>0</v>
      </c>
      <c r="BO34" s="375">
        <f t="shared" si="35"/>
        <v>0</v>
      </c>
      <c r="BP34" s="375">
        <f t="shared" si="151"/>
        <v>3.5</v>
      </c>
      <c r="BQ34" s="376">
        <f t="shared" si="37"/>
        <v>8.5</v>
      </c>
      <c r="BR34" s="373">
        <f>($IR34+(($IQ34-1)*$IS34)+$IT34)*CA34/144</f>
        <v>4.2836423611111112</v>
      </c>
      <c r="BS34" s="374" t="str">
        <f t="shared" si="38"/>
        <v>(0.4)</v>
      </c>
      <c r="BT34" s="375">
        <v>2</v>
      </c>
      <c r="BU34" s="375">
        <f t="shared" si="39"/>
        <v>3.5</v>
      </c>
      <c r="BV34" s="375">
        <v>0</v>
      </c>
      <c r="BW34" s="375">
        <f t="shared" si="40"/>
        <v>0</v>
      </c>
      <c r="BX34" s="375">
        <v>0</v>
      </c>
      <c r="BY34" s="375">
        <f t="shared" si="41"/>
        <v>0</v>
      </c>
      <c r="BZ34" s="375">
        <f t="shared" si="152"/>
        <v>3.5</v>
      </c>
      <c r="CA34" s="376">
        <f t="shared" si="43"/>
        <v>14.5</v>
      </c>
      <c r="CB34" s="373">
        <f>($IR34+(($IQ34-1)*$IS34)+$IT34)*CK34/144</f>
        <v>6.0561840277777783</v>
      </c>
      <c r="CC34" s="374" t="str">
        <f t="shared" si="44"/>
        <v>(0.56)</v>
      </c>
      <c r="CD34" s="375">
        <v>2</v>
      </c>
      <c r="CE34" s="375">
        <f t="shared" si="45"/>
        <v>3.5</v>
      </c>
      <c r="CF34" s="375">
        <v>0</v>
      </c>
      <c r="CG34" s="375">
        <f t="shared" si="46"/>
        <v>0</v>
      </c>
      <c r="CH34" s="375">
        <v>0</v>
      </c>
      <c r="CI34" s="375">
        <f t="shared" si="47"/>
        <v>0</v>
      </c>
      <c r="CJ34" s="375">
        <f t="shared" si="153"/>
        <v>3.5</v>
      </c>
      <c r="CK34" s="376">
        <f t="shared" si="49"/>
        <v>20.5</v>
      </c>
      <c r="CL34" s="373">
        <f>($IR34+(($IQ34-1)*$IS34)+$IT34)*CU34/144</f>
        <v>7.8287256944444454</v>
      </c>
      <c r="CM34" s="374" t="str">
        <f t="shared" si="50"/>
        <v>(0.73)</v>
      </c>
      <c r="CN34" s="375">
        <v>2</v>
      </c>
      <c r="CO34" s="375">
        <f t="shared" si="51"/>
        <v>3.5</v>
      </c>
      <c r="CP34" s="375">
        <v>0</v>
      </c>
      <c r="CQ34" s="375">
        <f t="shared" si="52"/>
        <v>0</v>
      </c>
      <c r="CR34" s="375">
        <v>0</v>
      </c>
      <c r="CS34" s="375">
        <f t="shared" si="53"/>
        <v>0</v>
      </c>
      <c r="CT34" s="375">
        <f t="shared" si="154"/>
        <v>3.5</v>
      </c>
      <c r="CU34" s="376">
        <f t="shared" si="55"/>
        <v>26.5</v>
      </c>
      <c r="CV34" s="373">
        <f>($IR34+(($IQ34-1)*$IS34)+$IT34)*DE34/144</f>
        <v>9.6012673611111126</v>
      </c>
      <c r="CW34" s="374" t="str">
        <f t="shared" si="56"/>
        <v>(0.89)</v>
      </c>
      <c r="CX34" s="375">
        <v>2</v>
      </c>
      <c r="CY34" s="375">
        <f t="shared" si="57"/>
        <v>3.5</v>
      </c>
      <c r="CZ34" s="375">
        <v>0</v>
      </c>
      <c r="DA34" s="375">
        <f t="shared" si="58"/>
        <v>0</v>
      </c>
      <c r="DB34" s="375">
        <v>0</v>
      </c>
      <c r="DC34" s="375">
        <f t="shared" si="59"/>
        <v>0</v>
      </c>
      <c r="DD34" s="375">
        <f t="shared" si="155"/>
        <v>3.5</v>
      </c>
      <c r="DE34" s="376">
        <f t="shared" si="61"/>
        <v>32.5</v>
      </c>
      <c r="DF34" s="373">
        <f>($IR34+(($IQ34-1)*$IS34)+$IT34)*DO34/144</f>
        <v>11.373809027777778</v>
      </c>
      <c r="DG34" s="374" t="str">
        <f t="shared" si="62"/>
        <v>(1.06)</v>
      </c>
      <c r="DH34" s="375">
        <v>2</v>
      </c>
      <c r="DI34" s="375">
        <f t="shared" si="63"/>
        <v>3.5</v>
      </c>
      <c r="DJ34" s="375">
        <v>0</v>
      </c>
      <c r="DK34" s="375">
        <f t="shared" si="64"/>
        <v>0</v>
      </c>
      <c r="DL34" s="375">
        <v>0</v>
      </c>
      <c r="DM34" s="375">
        <f t="shared" si="65"/>
        <v>0</v>
      </c>
      <c r="DN34" s="375">
        <f t="shared" si="156"/>
        <v>3.5</v>
      </c>
      <c r="DO34" s="376">
        <f t="shared" si="67"/>
        <v>38.5</v>
      </c>
      <c r="DP34" s="373">
        <f>($IR34+(($IQ34-1)*$IS34)+$IT34)*DY34/144</f>
        <v>13.146350694444445</v>
      </c>
      <c r="DQ34" s="374" t="str">
        <f t="shared" si="68"/>
        <v>(1.22)</v>
      </c>
      <c r="DR34" s="375">
        <v>2</v>
      </c>
      <c r="DS34" s="375">
        <f t="shared" si="69"/>
        <v>3.5</v>
      </c>
      <c r="DT34" s="375">
        <v>0</v>
      </c>
      <c r="DU34" s="375">
        <f t="shared" si="70"/>
        <v>0</v>
      </c>
      <c r="DV34" s="375">
        <v>0</v>
      </c>
      <c r="DW34" s="375">
        <f t="shared" si="71"/>
        <v>0</v>
      </c>
      <c r="DX34" s="375">
        <f t="shared" si="157"/>
        <v>3.5</v>
      </c>
      <c r="DY34" s="376">
        <f t="shared" si="73"/>
        <v>44.5</v>
      </c>
      <c r="DZ34" s="373">
        <f>($IR34+(($IQ34-1)*$IS34)+$IT34)*EI34/144</f>
        <v>14.623468750000001</v>
      </c>
      <c r="EA34" s="374" t="str">
        <f t="shared" si="158"/>
        <v>(1.36)</v>
      </c>
      <c r="EB34" s="375">
        <v>2</v>
      </c>
      <c r="EC34" s="375">
        <f t="shared" si="75"/>
        <v>3.5</v>
      </c>
      <c r="ED34" s="375">
        <v>0</v>
      </c>
      <c r="EE34" s="375">
        <f t="shared" si="76"/>
        <v>0</v>
      </c>
      <c r="EF34" s="375">
        <v>1</v>
      </c>
      <c r="EG34" s="375">
        <f t="shared" si="77"/>
        <v>1</v>
      </c>
      <c r="EH34" s="375">
        <f t="shared" si="159"/>
        <v>4.5</v>
      </c>
      <c r="EI34" s="376">
        <f t="shared" si="79"/>
        <v>49.5</v>
      </c>
      <c r="EJ34" s="373">
        <f>($IR34+(($IQ34-1)*$IS34)+$IT34)*ES34/144</f>
        <v>16.39601041666667</v>
      </c>
      <c r="EK34" s="374" t="str">
        <f t="shared" si="184"/>
        <v>(1.52)</v>
      </c>
      <c r="EL34" s="375">
        <v>2</v>
      </c>
      <c r="EM34" s="375">
        <f t="shared" si="81"/>
        <v>3.5</v>
      </c>
      <c r="EN34" s="375">
        <v>0</v>
      </c>
      <c r="EO34" s="375">
        <f t="shared" si="82"/>
        <v>0</v>
      </c>
      <c r="EP34" s="375">
        <v>1</v>
      </c>
      <c r="EQ34" s="375">
        <f t="shared" si="83"/>
        <v>1</v>
      </c>
      <c r="ER34" s="375">
        <f t="shared" si="161"/>
        <v>4.5</v>
      </c>
      <c r="ES34" s="376">
        <f t="shared" si="85"/>
        <v>55.5</v>
      </c>
      <c r="ET34" s="373">
        <f>($IR34+(($IQ34-1)*$IS34)+$IT34)*FC34/144</f>
        <v>18.168552083333335</v>
      </c>
      <c r="EU34" s="374" t="str">
        <f t="shared" si="185"/>
        <v>(1.69)</v>
      </c>
      <c r="EV34" s="375">
        <v>2</v>
      </c>
      <c r="EW34" s="375">
        <f t="shared" si="87"/>
        <v>3.5</v>
      </c>
      <c r="EX34" s="375">
        <v>0</v>
      </c>
      <c r="EY34" s="375">
        <f t="shared" si="88"/>
        <v>0</v>
      </c>
      <c r="EZ34" s="375">
        <v>1</v>
      </c>
      <c r="FA34" s="375">
        <f t="shared" si="89"/>
        <v>1</v>
      </c>
      <c r="FB34" s="375">
        <f t="shared" si="163"/>
        <v>4.5</v>
      </c>
      <c r="FC34" s="376">
        <f t="shared" si="91"/>
        <v>61.5</v>
      </c>
      <c r="FD34" s="373">
        <f>($IR34+(($IQ34-1)*$IS34)+$IT34)*FM34/144</f>
        <v>19.904165798611114</v>
      </c>
      <c r="FE34" s="374" t="str">
        <f t="shared" si="164"/>
        <v>(1.85)</v>
      </c>
      <c r="FF34" s="375">
        <v>2</v>
      </c>
      <c r="FG34" s="375">
        <f t="shared" si="93"/>
        <v>3.5</v>
      </c>
      <c r="FH34" s="375">
        <v>1</v>
      </c>
      <c r="FI34" s="375">
        <f t="shared" si="94"/>
        <v>1.125</v>
      </c>
      <c r="FJ34" s="375">
        <v>0</v>
      </c>
      <c r="FK34" s="375">
        <f t="shared" si="95"/>
        <v>0</v>
      </c>
      <c r="FL34" s="375">
        <f t="shared" si="165"/>
        <v>4.625</v>
      </c>
      <c r="FM34" s="376">
        <f t="shared" si="97"/>
        <v>67.375</v>
      </c>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f t="shared" si="146"/>
        <v>14</v>
      </c>
      <c r="IR34" s="26">
        <v>2.5</v>
      </c>
      <c r="IS34" s="26">
        <v>2.8780000000000001</v>
      </c>
      <c r="IT34" s="26">
        <v>2.6269999999999998</v>
      </c>
      <c r="IU34" s="26">
        <v>1.75</v>
      </c>
      <c r="IV34" s="26">
        <v>1</v>
      </c>
      <c r="IW34" s="26">
        <v>1.125</v>
      </c>
      <c r="IX34" s="8"/>
    </row>
    <row r="35" spans="2:258" ht="15.75" thickBot="1" x14ac:dyDescent="0.3">
      <c r="B35" s="103">
        <f t="shared" si="25"/>
        <v>102</v>
      </c>
      <c r="C35" s="221">
        <v>18</v>
      </c>
      <c r="D35" s="98">
        <f t="shared" si="1"/>
        <v>0.33618300653594774</v>
      </c>
      <c r="E35" s="96">
        <f t="shared" si="2"/>
        <v>0.38966666666666666</v>
      </c>
      <c r="F35" s="96">
        <f t="shared" si="3"/>
        <v>0.44315032679738564</v>
      </c>
      <c r="G35" s="96">
        <f t="shared" si="4"/>
        <v>0.46989215686274516</v>
      </c>
      <c r="H35" s="96">
        <f t="shared" si="5"/>
        <v>0.48593725490196082</v>
      </c>
      <c r="I35" s="96">
        <f t="shared" si="6"/>
        <v>0.49663398692810456</v>
      </c>
      <c r="J35" s="96">
        <f t="shared" si="7"/>
        <v>0.50427450980392152</v>
      </c>
      <c r="K35" s="96">
        <f t="shared" si="8"/>
        <v>0.5100049019607843</v>
      </c>
      <c r="L35" s="96">
        <f t="shared" si="9"/>
        <v>0.50427450980392152</v>
      </c>
      <c r="M35" s="96">
        <f t="shared" si="10"/>
        <v>0.50885882352941181</v>
      </c>
      <c r="N35" s="96">
        <f t="shared" si="11"/>
        <v>0.51260962566844925</v>
      </c>
      <c r="O35" s="96">
        <f t="shared" si="12"/>
        <v>0.51478022875816998</v>
      </c>
      <c r="P35" s="238"/>
      <c r="Q35" s="238"/>
      <c r="R35" s="238"/>
      <c r="S35" s="238"/>
      <c r="T35" s="238"/>
      <c r="U35" s="238"/>
      <c r="V35" s="238"/>
      <c r="W35" s="238"/>
      <c r="X35" s="96"/>
      <c r="Y35" s="65"/>
      <c r="AT35" s="235"/>
      <c r="AU35" s="27">
        <f t="shared" si="181"/>
        <v>84</v>
      </c>
      <c r="AV35" s="28" t="str">
        <f t="shared" si="147"/>
        <v>(2150)</v>
      </c>
      <c r="AW35" s="236">
        <f t="shared" si="182"/>
        <v>20</v>
      </c>
      <c r="AX35" s="193">
        <f>($IR35+(($IQ35-1)*$IS35)+$IT35)*BG35/144</f>
        <v>1.7242881944444446</v>
      </c>
      <c r="AY35" s="29" t="str">
        <f t="shared" si="183"/>
        <v>(0.16)</v>
      </c>
      <c r="AZ35" s="30">
        <v>2</v>
      </c>
      <c r="BA35" s="30">
        <f t="shared" si="27"/>
        <v>3.5</v>
      </c>
      <c r="BB35" s="30">
        <v>0</v>
      </c>
      <c r="BC35" s="30">
        <f t="shared" si="28"/>
        <v>0</v>
      </c>
      <c r="BD35" s="30">
        <v>0</v>
      </c>
      <c r="BE35" s="30">
        <f t="shared" si="29"/>
        <v>0</v>
      </c>
      <c r="BF35" s="30">
        <f t="shared" si="149"/>
        <v>3.5</v>
      </c>
      <c r="BG35" s="194">
        <f t="shared" si="31"/>
        <v>5.5</v>
      </c>
      <c r="BH35" s="373">
        <f>($IR35+(($IQ35-1)*$IS35)+$IT35)*BQ35/144</f>
        <v>2.6648090277777778</v>
      </c>
      <c r="BI35" s="374" t="str">
        <f t="shared" si="150"/>
        <v>(0.25)</v>
      </c>
      <c r="BJ35" s="375">
        <v>2</v>
      </c>
      <c r="BK35" s="375">
        <f t="shared" si="33"/>
        <v>3.5</v>
      </c>
      <c r="BL35" s="375">
        <v>0</v>
      </c>
      <c r="BM35" s="375">
        <f t="shared" si="34"/>
        <v>0</v>
      </c>
      <c r="BN35" s="375">
        <v>0</v>
      </c>
      <c r="BO35" s="375">
        <f t="shared" si="35"/>
        <v>0</v>
      </c>
      <c r="BP35" s="375">
        <f t="shared" si="151"/>
        <v>3.5</v>
      </c>
      <c r="BQ35" s="376">
        <f t="shared" si="37"/>
        <v>8.5</v>
      </c>
      <c r="BR35" s="373">
        <f>($IR35+(($IQ35-1)*$IS35)+$IT35)*CA35/144</f>
        <v>4.5458506944444448</v>
      </c>
      <c r="BS35" s="374" t="str">
        <f t="shared" si="38"/>
        <v>(0.42)</v>
      </c>
      <c r="BT35" s="375">
        <v>2</v>
      </c>
      <c r="BU35" s="375">
        <f t="shared" si="39"/>
        <v>3.5</v>
      </c>
      <c r="BV35" s="375">
        <v>0</v>
      </c>
      <c r="BW35" s="375">
        <f t="shared" si="40"/>
        <v>0</v>
      </c>
      <c r="BX35" s="375">
        <v>0</v>
      </c>
      <c r="BY35" s="375">
        <f t="shared" si="41"/>
        <v>0</v>
      </c>
      <c r="BZ35" s="375">
        <f t="shared" si="152"/>
        <v>3.5</v>
      </c>
      <c r="CA35" s="376">
        <f t="shared" si="43"/>
        <v>14.5</v>
      </c>
      <c r="CB35" s="373">
        <f>($IR35+(($IQ35-1)*$IS35)+$IT35)*CK35/144</f>
        <v>6.4268923611111113</v>
      </c>
      <c r="CC35" s="374" t="str">
        <f t="shared" si="44"/>
        <v>(0.6)</v>
      </c>
      <c r="CD35" s="375">
        <v>2</v>
      </c>
      <c r="CE35" s="375">
        <f t="shared" si="45"/>
        <v>3.5</v>
      </c>
      <c r="CF35" s="375">
        <v>0</v>
      </c>
      <c r="CG35" s="375">
        <f t="shared" si="46"/>
        <v>0</v>
      </c>
      <c r="CH35" s="375">
        <v>0</v>
      </c>
      <c r="CI35" s="375">
        <f t="shared" si="47"/>
        <v>0</v>
      </c>
      <c r="CJ35" s="375">
        <f t="shared" si="153"/>
        <v>3.5</v>
      </c>
      <c r="CK35" s="376">
        <f t="shared" si="49"/>
        <v>20.5</v>
      </c>
      <c r="CL35" s="373">
        <f>($IR35+(($IQ35-1)*$IS35)+$IT35)*CU35/144</f>
        <v>8.3079340277777778</v>
      </c>
      <c r="CM35" s="374" t="str">
        <f t="shared" si="50"/>
        <v>(0.77)</v>
      </c>
      <c r="CN35" s="375">
        <v>2</v>
      </c>
      <c r="CO35" s="375">
        <f t="shared" si="51"/>
        <v>3.5</v>
      </c>
      <c r="CP35" s="375">
        <v>0</v>
      </c>
      <c r="CQ35" s="375">
        <f t="shared" si="52"/>
        <v>0</v>
      </c>
      <c r="CR35" s="375">
        <v>0</v>
      </c>
      <c r="CS35" s="375">
        <f t="shared" si="53"/>
        <v>0</v>
      </c>
      <c r="CT35" s="375">
        <f t="shared" si="154"/>
        <v>3.5</v>
      </c>
      <c r="CU35" s="376">
        <f t="shared" si="55"/>
        <v>26.5</v>
      </c>
      <c r="CV35" s="373">
        <f>($IR35+(($IQ35-1)*$IS35)+$IT35)*DE35/144</f>
        <v>10.188975694444444</v>
      </c>
      <c r="CW35" s="374" t="str">
        <f t="shared" si="56"/>
        <v>(0.95)</v>
      </c>
      <c r="CX35" s="375">
        <v>2</v>
      </c>
      <c r="CY35" s="375">
        <f t="shared" si="57"/>
        <v>3.5</v>
      </c>
      <c r="CZ35" s="375">
        <v>0</v>
      </c>
      <c r="DA35" s="375">
        <f t="shared" si="58"/>
        <v>0</v>
      </c>
      <c r="DB35" s="375">
        <v>0</v>
      </c>
      <c r="DC35" s="375">
        <f t="shared" si="59"/>
        <v>0</v>
      </c>
      <c r="DD35" s="375">
        <f t="shared" si="155"/>
        <v>3.5</v>
      </c>
      <c r="DE35" s="376">
        <f t="shared" si="61"/>
        <v>32.5</v>
      </c>
      <c r="DF35" s="373">
        <f>($IR35+(($IQ35-1)*$IS35)+$IT35)*DO35/144</f>
        <v>12.070017361111113</v>
      </c>
      <c r="DG35" s="374" t="str">
        <f t="shared" si="62"/>
        <v>(1.12)</v>
      </c>
      <c r="DH35" s="375">
        <v>2</v>
      </c>
      <c r="DI35" s="375">
        <f t="shared" si="63"/>
        <v>3.5</v>
      </c>
      <c r="DJ35" s="375">
        <v>0</v>
      </c>
      <c r="DK35" s="375">
        <f t="shared" si="64"/>
        <v>0</v>
      </c>
      <c r="DL35" s="375">
        <v>0</v>
      </c>
      <c r="DM35" s="375">
        <f t="shared" si="65"/>
        <v>0</v>
      </c>
      <c r="DN35" s="375">
        <f t="shared" si="156"/>
        <v>3.5</v>
      </c>
      <c r="DO35" s="376">
        <f t="shared" si="67"/>
        <v>38.5</v>
      </c>
      <c r="DP35" s="373">
        <f>($IR35+(($IQ35-1)*$IS35)+$IT35)*DY35/144</f>
        <v>13.951059027777779</v>
      </c>
      <c r="DQ35" s="374" t="str">
        <f t="shared" si="68"/>
        <v>(1.3)</v>
      </c>
      <c r="DR35" s="375">
        <v>2</v>
      </c>
      <c r="DS35" s="375">
        <f t="shared" si="69"/>
        <v>3.5</v>
      </c>
      <c r="DT35" s="375">
        <v>0</v>
      </c>
      <c r="DU35" s="375">
        <f t="shared" si="70"/>
        <v>0</v>
      </c>
      <c r="DV35" s="375">
        <v>0</v>
      </c>
      <c r="DW35" s="375">
        <f t="shared" si="71"/>
        <v>0</v>
      </c>
      <c r="DX35" s="375">
        <f t="shared" si="157"/>
        <v>3.5</v>
      </c>
      <c r="DY35" s="376">
        <f t="shared" si="73"/>
        <v>44.5</v>
      </c>
      <c r="DZ35" s="373">
        <f>($IR35+(($IQ35-1)*$IS35)+$IT35)*EI35/144</f>
        <v>15.518593750000001</v>
      </c>
      <c r="EA35" s="374" t="str">
        <f t="shared" si="158"/>
        <v>(1.44)</v>
      </c>
      <c r="EB35" s="375">
        <v>2</v>
      </c>
      <c r="EC35" s="375">
        <f t="shared" si="75"/>
        <v>3.5</v>
      </c>
      <c r="ED35" s="375">
        <v>0</v>
      </c>
      <c r="EE35" s="375">
        <f t="shared" si="76"/>
        <v>0</v>
      </c>
      <c r="EF35" s="375">
        <v>1</v>
      </c>
      <c r="EG35" s="375">
        <f t="shared" si="77"/>
        <v>1</v>
      </c>
      <c r="EH35" s="375">
        <f t="shared" si="159"/>
        <v>4.5</v>
      </c>
      <c r="EI35" s="376">
        <f t="shared" si="79"/>
        <v>49.5</v>
      </c>
      <c r="EJ35" s="373">
        <f>($IR35+(($IQ35-1)*$IS35)+$IT35)*ES35/144</f>
        <v>17.399635416666669</v>
      </c>
      <c r="EK35" s="374" t="str">
        <f t="shared" si="184"/>
        <v>(1.62)</v>
      </c>
      <c r="EL35" s="375">
        <v>2</v>
      </c>
      <c r="EM35" s="375">
        <f t="shared" si="81"/>
        <v>3.5</v>
      </c>
      <c r="EN35" s="375">
        <v>0</v>
      </c>
      <c r="EO35" s="375">
        <f t="shared" si="82"/>
        <v>0</v>
      </c>
      <c r="EP35" s="375">
        <v>1</v>
      </c>
      <c r="EQ35" s="375">
        <f t="shared" si="83"/>
        <v>1</v>
      </c>
      <c r="ER35" s="375">
        <f t="shared" si="161"/>
        <v>4.5</v>
      </c>
      <c r="ES35" s="376">
        <f t="shared" si="85"/>
        <v>55.5</v>
      </c>
      <c r="ET35" s="373">
        <f>($IR35+(($IQ35-1)*$IS35)+$IT35)*FC35/144</f>
        <v>19.280677083333334</v>
      </c>
      <c r="EU35" s="374" t="str">
        <f t="shared" si="185"/>
        <v>(1.79)</v>
      </c>
      <c r="EV35" s="375">
        <v>2</v>
      </c>
      <c r="EW35" s="375">
        <f t="shared" si="87"/>
        <v>3.5</v>
      </c>
      <c r="EX35" s="375">
        <v>0</v>
      </c>
      <c r="EY35" s="375">
        <f t="shared" si="88"/>
        <v>0</v>
      </c>
      <c r="EZ35" s="375">
        <v>1</v>
      </c>
      <c r="FA35" s="375">
        <f t="shared" si="89"/>
        <v>1</v>
      </c>
      <c r="FB35" s="375">
        <f t="shared" si="163"/>
        <v>4.5</v>
      </c>
      <c r="FC35" s="376">
        <f t="shared" si="91"/>
        <v>61.5</v>
      </c>
      <c r="FD35" s="373">
        <f>($IR35+(($IQ35-1)*$IS35)+$IT35)*FM35/144</f>
        <v>21.122530381944447</v>
      </c>
      <c r="FE35" s="374" t="str">
        <f t="shared" si="164"/>
        <v>(1.96)</v>
      </c>
      <c r="FF35" s="375">
        <v>2</v>
      </c>
      <c r="FG35" s="375">
        <f t="shared" si="93"/>
        <v>3.5</v>
      </c>
      <c r="FH35" s="375">
        <v>1</v>
      </c>
      <c r="FI35" s="375">
        <f t="shared" si="94"/>
        <v>1.125</v>
      </c>
      <c r="FJ35" s="375">
        <v>0</v>
      </c>
      <c r="FK35" s="375">
        <f t="shared" si="95"/>
        <v>0</v>
      </c>
      <c r="FL35" s="375">
        <f t="shared" si="165"/>
        <v>4.625</v>
      </c>
      <c r="FM35" s="376">
        <f t="shared" si="97"/>
        <v>67.375</v>
      </c>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5">
        <f t="shared" si="146"/>
        <v>15</v>
      </c>
      <c r="IR35" s="26">
        <v>2.5</v>
      </c>
      <c r="IS35" s="26">
        <v>2.8780000000000001</v>
      </c>
      <c r="IT35" s="26">
        <v>2.3530000000000002</v>
      </c>
      <c r="IU35" s="26">
        <v>1.75</v>
      </c>
      <c r="IV35" s="26">
        <v>1</v>
      </c>
      <c r="IW35" s="26">
        <v>1.125</v>
      </c>
      <c r="IX35" s="8"/>
    </row>
    <row r="36" spans="2:258" ht="15.75" thickBot="1" x14ac:dyDescent="0.3">
      <c r="B36" s="103">
        <f t="shared" si="25"/>
        <v>108</v>
      </c>
      <c r="C36" s="226">
        <v>19</v>
      </c>
      <c r="D36" s="98">
        <f t="shared" si="1"/>
        <v>0.33842541152263372</v>
      </c>
      <c r="E36" s="96">
        <f t="shared" si="2"/>
        <v>0.3922658179012346</v>
      </c>
      <c r="F36" s="96">
        <f t="shared" si="3"/>
        <v>0.44610622427983548</v>
      </c>
      <c r="G36" s="96">
        <f t="shared" si="4"/>
        <v>0.47302642746913587</v>
      </c>
      <c r="H36" s="96">
        <f t="shared" si="5"/>
        <v>0.48917854938271615</v>
      </c>
      <c r="I36" s="96">
        <f t="shared" si="6"/>
        <v>0.49994663065843631</v>
      </c>
      <c r="J36" s="96">
        <f t="shared" si="7"/>
        <v>0.5076381172839507</v>
      </c>
      <c r="K36" s="96">
        <f t="shared" si="8"/>
        <v>0.51340673225308642</v>
      </c>
      <c r="L36" s="96">
        <f t="shared" si="9"/>
        <v>0.50763811728395059</v>
      </c>
      <c r="M36" s="96">
        <f t="shared" si="10"/>
        <v>0.51225300925925932</v>
      </c>
      <c r="N36" s="96">
        <f t="shared" si="11"/>
        <v>0.51602882996633004</v>
      </c>
      <c r="O36" s="96">
        <f t="shared" si="12"/>
        <v>0.51821391139403294</v>
      </c>
      <c r="P36" s="238"/>
      <c r="Q36" s="238"/>
      <c r="R36" s="238"/>
      <c r="S36" s="238"/>
      <c r="T36" s="238"/>
      <c r="U36" s="238"/>
      <c r="V36" s="238"/>
      <c r="W36" s="238"/>
      <c r="X36" s="96"/>
      <c r="Y36" s="65"/>
      <c r="AT36" s="235"/>
      <c r="AU36" s="27">
        <f t="shared" si="181"/>
        <v>90</v>
      </c>
      <c r="AV36" s="28" t="str">
        <f t="shared" si="147"/>
        <v>(2300)</v>
      </c>
      <c r="AW36" s="236">
        <f t="shared" si="182"/>
        <v>21</v>
      </c>
      <c r="AX36" s="193">
        <f>($IR36+(($IQ36-2)*$IS36)+$IT36)*BG36/144</f>
        <v>1.8566701388888889</v>
      </c>
      <c r="AY36" s="29" t="str">
        <f t="shared" si="183"/>
        <v>(0.17)</v>
      </c>
      <c r="AZ36" s="30">
        <v>2</v>
      </c>
      <c r="BA36" s="30">
        <f t="shared" si="27"/>
        <v>3.5</v>
      </c>
      <c r="BB36" s="30">
        <v>0</v>
      </c>
      <c r="BC36" s="30">
        <f t="shared" si="28"/>
        <v>0</v>
      </c>
      <c r="BD36" s="30">
        <v>0</v>
      </c>
      <c r="BE36" s="30">
        <f t="shared" si="29"/>
        <v>0</v>
      </c>
      <c r="BF36" s="30">
        <f t="shared" si="149"/>
        <v>3.5</v>
      </c>
      <c r="BG36" s="194">
        <f t="shared" si="31"/>
        <v>5.5</v>
      </c>
      <c r="BH36" s="373">
        <f>($IR36+(($IQ36-2)*$IS36)+$IT36)*BQ36/144</f>
        <v>2.8693993055555556</v>
      </c>
      <c r="BI36" s="374" t="str">
        <f t="shared" si="150"/>
        <v>(0.27)</v>
      </c>
      <c r="BJ36" s="375">
        <v>2</v>
      </c>
      <c r="BK36" s="375">
        <f t="shared" si="33"/>
        <v>3.5</v>
      </c>
      <c r="BL36" s="375">
        <v>0</v>
      </c>
      <c r="BM36" s="375">
        <f t="shared" si="34"/>
        <v>0</v>
      </c>
      <c r="BN36" s="375">
        <v>0</v>
      </c>
      <c r="BO36" s="375">
        <f t="shared" si="35"/>
        <v>0</v>
      </c>
      <c r="BP36" s="375">
        <f t="shared" si="151"/>
        <v>3.5</v>
      </c>
      <c r="BQ36" s="376">
        <f t="shared" si="37"/>
        <v>8.5</v>
      </c>
      <c r="BR36" s="373">
        <f>($IR36+(($IQ36-2)*$IS36)+$IT36)*CA36/144</f>
        <v>4.8948576388888894</v>
      </c>
      <c r="BS36" s="374" t="str">
        <f t="shared" si="38"/>
        <v>(0.45)</v>
      </c>
      <c r="BT36" s="375">
        <v>2</v>
      </c>
      <c r="BU36" s="375">
        <f t="shared" si="39"/>
        <v>3.5</v>
      </c>
      <c r="BV36" s="375">
        <v>0</v>
      </c>
      <c r="BW36" s="375">
        <f t="shared" si="40"/>
        <v>0</v>
      </c>
      <c r="BX36" s="375">
        <v>0</v>
      </c>
      <c r="BY36" s="375">
        <f t="shared" si="41"/>
        <v>0</v>
      </c>
      <c r="BZ36" s="375">
        <f t="shared" si="152"/>
        <v>3.5</v>
      </c>
      <c r="CA36" s="376">
        <f t="shared" si="43"/>
        <v>14.5</v>
      </c>
      <c r="CB36" s="373">
        <f>($IR36+(($IQ36-2)*$IS36)+$IT36)*CK36/144</f>
        <v>6.9203159722222232</v>
      </c>
      <c r="CC36" s="374" t="str">
        <f t="shared" si="44"/>
        <v>(0.64)</v>
      </c>
      <c r="CD36" s="375">
        <v>2</v>
      </c>
      <c r="CE36" s="375">
        <f t="shared" si="45"/>
        <v>3.5</v>
      </c>
      <c r="CF36" s="375">
        <v>0</v>
      </c>
      <c r="CG36" s="375">
        <f t="shared" si="46"/>
        <v>0</v>
      </c>
      <c r="CH36" s="375">
        <v>0</v>
      </c>
      <c r="CI36" s="375">
        <f t="shared" si="47"/>
        <v>0</v>
      </c>
      <c r="CJ36" s="375">
        <f t="shared" si="153"/>
        <v>3.5</v>
      </c>
      <c r="CK36" s="376">
        <f t="shared" si="49"/>
        <v>20.5</v>
      </c>
      <c r="CL36" s="373">
        <f>($IR36+(($IQ36-2)*$IS36)+$IT36)*CU36/144</f>
        <v>8.9457743055555561</v>
      </c>
      <c r="CM36" s="374" t="str">
        <f t="shared" si="50"/>
        <v>(0.83)</v>
      </c>
      <c r="CN36" s="375">
        <v>2</v>
      </c>
      <c r="CO36" s="375">
        <f t="shared" si="51"/>
        <v>3.5</v>
      </c>
      <c r="CP36" s="375">
        <v>0</v>
      </c>
      <c r="CQ36" s="375">
        <f t="shared" si="52"/>
        <v>0</v>
      </c>
      <c r="CR36" s="375">
        <v>0</v>
      </c>
      <c r="CS36" s="375">
        <f t="shared" si="53"/>
        <v>0</v>
      </c>
      <c r="CT36" s="375">
        <f t="shared" si="154"/>
        <v>3.5</v>
      </c>
      <c r="CU36" s="376">
        <f t="shared" si="55"/>
        <v>26.5</v>
      </c>
      <c r="CV36" s="373">
        <f>($IR36+(($IQ36-2)*$IS36)+$IT36)*DE36/144</f>
        <v>10.971232638888889</v>
      </c>
      <c r="CW36" s="374" t="str">
        <f t="shared" si="56"/>
        <v>(1.02)</v>
      </c>
      <c r="CX36" s="375">
        <v>2</v>
      </c>
      <c r="CY36" s="375">
        <f t="shared" si="57"/>
        <v>3.5</v>
      </c>
      <c r="CZ36" s="375">
        <v>0</v>
      </c>
      <c r="DA36" s="375">
        <f t="shared" si="58"/>
        <v>0</v>
      </c>
      <c r="DB36" s="375">
        <v>0</v>
      </c>
      <c r="DC36" s="375">
        <f t="shared" si="59"/>
        <v>0</v>
      </c>
      <c r="DD36" s="375">
        <f t="shared" si="155"/>
        <v>3.5</v>
      </c>
      <c r="DE36" s="376">
        <f t="shared" si="61"/>
        <v>32.5</v>
      </c>
      <c r="DF36" s="373">
        <f>($IR36+(($IQ36-2)*$IS36)+$IT36)*DO36/144</f>
        <v>12.996690972222224</v>
      </c>
      <c r="DG36" s="374" t="str">
        <f t="shared" si="62"/>
        <v>(1.21)</v>
      </c>
      <c r="DH36" s="375">
        <v>2</v>
      </c>
      <c r="DI36" s="375">
        <f t="shared" si="63"/>
        <v>3.5</v>
      </c>
      <c r="DJ36" s="375">
        <v>0</v>
      </c>
      <c r="DK36" s="375">
        <f t="shared" si="64"/>
        <v>0</v>
      </c>
      <c r="DL36" s="375">
        <v>0</v>
      </c>
      <c r="DM36" s="375">
        <f t="shared" si="65"/>
        <v>0</v>
      </c>
      <c r="DN36" s="375">
        <f t="shared" si="156"/>
        <v>3.5</v>
      </c>
      <c r="DO36" s="376">
        <f t="shared" si="67"/>
        <v>38.5</v>
      </c>
      <c r="DP36" s="373">
        <f>($IR36+(($IQ36-2)*$IS36)+$IT36)*DY36/144</f>
        <v>15.022149305555558</v>
      </c>
      <c r="DQ36" s="374" t="str">
        <f t="shared" si="68"/>
        <v>(1.4)</v>
      </c>
      <c r="DR36" s="375">
        <v>2</v>
      </c>
      <c r="DS36" s="375">
        <f t="shared" si="69"/>
        <v>3.5</v>
      </c>
      <c r="DT36" s="375">
        <v>0</v>
      </c>
      <c r="DU36" s="375">
        <f t="shared" si="70"/>
        <v>0</v>
      </c>
      <c r="DV36" s="375">
        <v>0</v>
      </c>
      <c r="DW36" s="375">
        <f t="shared" si="71"/>
        <v>0</v>
      </c>
      <c r="DX36" s="375">
        <f t="shared" si="157"/>
        <v>3.5</v>
      </c>
      <c r="DY36" s="376">
        <f t="shared" si="73"/>
        <v>44.5</v>
      </c>
      <c r="DZ36" s="373">
        <f>($IR36+(($IQ36-2)*$IS36)+$IT36)*EI36/144</f>
        <v>16.71003125</v>
      </c>
      <c r="EA36" s="374" t="str">
        <f t="shared" si="158"/>
        <v>(1.55)</v>
      </c>
      <c r="EB36" s="375">
        <v>2</v>
      </c>
      <c r="EC36" s="375">
        <f t="shared" si="75"/>
        <v>3.5</v>
      </c>
      <c r="ED36" s="375">
        <v>0</v>
      </c>
      <c r="EE36" s="375">
        <f t="shared" si="76"/>
        <v>0</v>
      </c>
      <c r="EF36" s="375">
        <v>1</v>
      </c>
      <c r="EG36" s="375">
        <f t="shared" si="77"/>
        <v>1</v>
      </c>
      <c r="EH36" s="375">
        <f t="shared" si="159"/>
        <v>4.5</v>
      </c>
      <c r="EI36" s="376">
        <f t="shared" si="79"/>
        <v>49.5</v>
      </c>
      <c r="EJ36" s="373">
        <f>($IR36+(($IQ36-2)*$IS36)+$IT36)*ES36/144</f>
        <v>18.735489583333337</v>
      </c>
      <c r="EK36" s="374" t="str">
        <f t="shared" si="184"/>
        <v>(1.74)</v>
      </c>
      <c r="EL36" s="375">
        <v>2</v>
      </c>
      <c r="EM36" s="375">
        <f t="shared" si="81"/>
        <v>3.5</v>
      </c>
      <c r="EN36" s="375">
        <v>0</v>
      </c>
      <c r="EO36" s="375">
        <f t="shared" si="82"/>
        <v>0</v>
      </c>
      <c r="EP36" s="375">
        <v>1</v>
      </c>
      <c r="EQ36" s="375">
        <f t="shared" si="83"/>
        <v>1</v>
      </c>
      <c r="ER36" s="375">
        <f t="shared" si="161"/>
        <v>4.5</v>
      </c>
      <c r="ES36" s="376">
        <f t="shared" si="85"/>
        <v>55.5</v>
      </c>
      <c r="ET36" s="373">
        <f>($IR36+(($IQ36-2)*$IS36)+$IT36)*FC36/144</f>
        <v>20.760947916666666</v>
      </c>
      <c r="EU36" s="374" t="str">
        <f t="shared" si="185"/>
        <v>(1.93)</v>
      </c>
      <c r="EV36" s="375">
        <v>2</v>
      </c>
      <c r="EW36" s="375">
        <f t="shared" si="87"/>
        <v>3.5</v>
      </c>
      <c r="EX36" s="375">
        <v>0</v>
      </c>
      <c r="EY36" s="375">
        <f t="shared" si="88"/>
        <v>0</v>
      </c>
      <c r="EZ36" s="375">
        <v>1</v>
      </c>
      <c r="FA36" s="375">
        <f t="shared" si="89"/>
        <v>1</v>
      </c>
      <c r="FB36" s="375">
        <f t="shared" si="163"/>
        <v>4.5</v>
      </c>
      <c r="FC36" s="376">
        <f t="shared" si="91"/>
        <v>61.5</v>
      </c>
      <c r="FD36" s="373">
        <f>($IR36+(($IQ36-2)*$IS36)+$IT36)*FM36/144</f>
        <v>22.744209201388891</v>
      </c>
      <c r="FE36" s="374" t="str">
        <f t="shared" si="164"/>
        <v>(2.11)</v>
      </c>
      <c r="FF36" s="375">
        <v>2</v>
      </c>
      <c r="FG36" s="375">
        <f t="shared" si="93"/>
        <v>3.5</v>
      </c>
      <c r="FH36" s="375">
        <v>1</v>
      </c>
      <c r="FI36" s="375">
        <f t="shared" si="94"/>
        <v>1.125</v>
      </c>
      <c r="FJ36" s="375">
        <v>0</v>
      </c>
      <c r="FK36" s="375">
        <f t="shared" si="95"/>
        <v>0</v>
      </c>
      <c r="FL36" s="375">
        <f t="shared" si="165"/>
        <v>4.625</v>
      </c>
      <c r="FM36" s="376">
        <f t="shared" si="97"/>
        <v>67.375</v>
      </c>
      <c r="FN36" s="31"/>
      <c r="FO36" s="31"/>
      <c r="FP36" s="32"/>
      <c r="FQ36" s="32"/>
      <c r="FR36" s="32"/>
      <c r="FS36" s="32"/>
      <c r="FT36" s="32"/>
      <c r="FU36" s="32"/>
      <c r="FV36" s="31"/>
      <c r="FW36" s="31"/>
      <c r="FX36" s="31"/>
      <c r="FY36" s="31"/>
      <c r="FZ36" s="31"/>
      <c r="GA36" s="31"/>
      <c r="GB36" s="31"/>
      <c r="GC36" s="31"/>
      <c r="GD36" s="31"/>
      <c r="GE36" s="31"/>
      <c r="GF36" s="31"/>
      <c r="GG36" s="31"/>
      <c r="GH36" s="31"/>
      <c r="GI36" s="31"/>
      <c r="GJ36" s="32"/>
      <c r="GK36" s="32"/>
      <c r="GL36" s="32"/>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2"/>
      <c r="HQ36" s="32"/>
      <c r="HR36" s="32"/>
      <c r="HS36" s="32"/>
      <c r="HT36" s="32"/>
      <c r="HU36" s="32"/>
      <c r="HV36" s="32"/>
      <c r="HW36" s="32"/>
      <c r="HX36" s="32"/>
      <c r="HY36" s="32"/>
      <c r="HZ36" s="32"/>
      <c r="IA36" s="32"/>
      <c r="IB36" s="32"/>
      <c r="IC36" s="32"/>
      <c r="ID36" s="32"/>
      <c r="IE36" s="32"/>
      <c r="IF36" s="31"/>
      <c r="IG36" s="31"/>
      <c r="IH36" s="32"/>
      <c r="II36" s="32"/>
      <c r="IJ36" s="32"/>
      <c r="IK36" s="32"/>
      <c r="IL36" s="32"/>
      <c r="IM36" s="32"/>
      <c r="IN36" s="33"/>
      <c r="IO36" s="33"/>
      <c r="IP36" s="33"/>
      <c r="IQ36" s="25">
        <f t="shared" si="146"/>
        <v>17</v>
      </c>
      <c r="IR36" s="26">
        <v>2.5</v>
      </c>
      <c r="IS36" s="26">
        <v>2.8780000000000001</v>
      </c>
      <c r="IT36" s="26">
        <f>0.458+2.483</f>
        <v>2.9410000000000003</v>
      </c>
      <c r="IU36" s="26">
        <v>1.75</v>
      </c>
      <c r="IV36" s="26">
        <v>1</v>
      </c>
      <c r="IW36" s="26">
        <v>1.125</v>
      </c>
      <c r="IX36" s="8"/>
    </row>
    <row r="37" spans="2:258" ht="15.75" thickBot="1" x14ac:dyDescent="0.3">
      <c r="B37" s="103">
        <f>B36+6</f>
        <v>114</v>
      </c>
      <c r="C37" s="221">
        <v>20</v>
      </c>
      <c r="D37" s="98">
        <f t="shared" si="1"/>
        <v>0.33457261208576999</v>
      </c>
      <c r="E37" s="96">
        <f t="shared" si="2"/>
        <v>0.38780007309941517</v>
      </c>
      <c r="F37" s="96">
        <f t="shared" si="3"/>
        <v>0.44102753411306045</v>
      </c>
      <c r="G37" s="96">
        <f t="shared" si="4"/>
        <v>0.46764126461988303</v>
      </c>
      <c r="H37" s="96">
        <f t="shared" si="5"/>
        <v>0.48360950292397664</v>
      </c>
      <c r="I37" s="96">
        <f t="shared" si="6"/>
        <v>0.49425499512670568</v>
      </c>
      <c r="J37" s="96">
        <f t="shared" si="7"/>
        <v>0.50185891812865502</v>
      </c>
      <c r="K37" s="96">
        <f t="shared" si="8"/>
        <v>0.50756186038011697</v>
      </c>
      <c r="L37" s="96">
        <f t="shared" si="9"/>
        <v>0.50185891812865502</v>
      </c>
      <c r="M37" s="96">
        <f t="shared" si="10"/>
        <v>0.50642127192982456</v>
      </c>
      <c r="N37" s="96">
        <f t="shared" si="11"/>
        <v>0.51015410685805429</v>
      </c>
      <c r="O37" s="96">
        <f t="shared" si="12"/>
        <v>0.51231431225633539</v>
      </c>
      <c r="P37" s="238"/>
      <c r="Q37" s="238"/>
      <c r="R37" s="238"/>
      <c r="S37" s="238"/>
      <c r="T37" s="238"/>
      <c r="U37" s="238"/>
      <c r="V37" s="238"/>
      <c r="W37" s="238"/>
      <c r="X37" s="96"/>
      <c r="Y37" s="65"/>
      <c r="AT37" s="235"/>
      <c r="AU37" s="27">
        <f t="shared" si="181"/>
        <v>96</v>
      </c>
      <c r="AV37" s="28" t="str">
        <f t="shared" si="147"/>
        <v>(2450)</v>
      </c>
      <c r="AW37" s="236">
        <f t="shared" si="182"/>
        <v>22</v>
      </c>
      <c r="AX37" s="193">
        <f>($IR37+(($IQ37-1)*$IS37)+$IT37)*BG37/144</f>
        <v>1.9964236111111111</v>
      </c>
      <c r="AY37" s="29" t="str">
        <f t="shared" si="183"/>
        <v>(0.19)</v>
      </c>
      <c r="AZ37" s="30">
        <v>2</v>
      </c>
      <c r="BA37" s="30">
        <f t="shared" si="27"/>
        <v>3.5</v>
      </c>
      <c r="BB37" s="30">
        <v>0</v>
      </c>
      <c r="BC37" s="30">
        <f t="shared" si="28"/>
        <v>0</v>
      </c>
      <c r="BD37" s="30">
        <v>0</v>
      </c>
      <c r="BE37" s="30">
        <f t="shared" si="29"/>
        <v>0</v>
      </c>
      <c r="BF37" s="30">
        <f t="shared" si="149"/>
        <v>3.5</v>
      </c>
      <c r="BG37" s="194">
        <f t="shared" si="31"/>
        <v>5.5</v>
      </c>
      <c r="BH37" s="373">
        <f>($IR37+(($IQ37-1)*$IS37)+$IT37)*BQ37/144</f>
        <v>3.0853819444444444</v>
      </c>
      <c r="BI37" s="374" t="str">
        <f t="shared" si="150"/>
        <v>(0.29)</v>
      </c>
      <c r="BJ37" s="375">
        <v>2</v>
      </c>
      <c r="BK37" s="375">
        <f t="shared" si="33"/>
        <v>3.5</v>
      </c>
      <c r="BL37" s="375">
        <v>0</v>
      </c>
      <c r="BM37" s="375">
        <f t="shared" si="34"/>
        <v>0</v>
      </c>
      <c r="BN37" s="375">
        <v>0</v>
      </c>
      <c r="BO37" s="375">
        <f t="shared" si="35"/>
        <v>0</v>
      </c>
      <c r="BP37" s="375">
        <f t="shared" si="151"/>
        <v>3.5</v>
      </c>
      <c r="BQ37" s="376">
        <f t="shared" si="37"/>
        <v>8.5</v>
      </c>
      <c r="BR37" s="373">
        <f>($IR37+(($IQ37-1)*$IS37)+$IT37)*CA37/144</f>
        <v>5.2632986111111117</v>
      </c>
      <c r="BS37" s="374" t="str">
        <f t="shared" si="38"/>
        <v>(0.49)</v>
      </c>
      <c r="BT37" s="375">
        <v>2</v>
      </c>
      <c r="BU37" s="375">
        <f t="shared" si="39"/>
        <v>3.5</v>
      </c>
      <c r="BV37" s="375">
        <v>0</v>
      </c>
      <c r="BW37" s="375">
        <f t="shared" si="40"/>
        <v>0</v>
      </c>
      <c r="BX37" s="375">
        <v>0</v>
      </c>
      <c r="BY37" s="375">
        <f t="shared" si="41"/>
        <v>0</v>
      </c>
      <c r="BZ37" s="375">
        <f t="shared" si="152"/>
        <v>3.5</v>
      </c>
      <c r="CA37" s="376">
        <f t="shared" si="43"/>
        <v>14.5</v>
      </c>
      <c r="CB37" s="373">
        <f>($IR37+(($IQ37-1)*$IS37)+$IT37)*CK37/144</f>
        <v>7.4412152777777782</v>
      </c>
      <c r="CC37" s="374" t="str">
        <f t="shared" si="44"/>
        <v>(0.69)</v>
      </c>
      <c r="CD37" s="375">
        <v>2</v>
      </c>
      <c r="CE37" s="375">
        <f t="shared" si="45"/>
        <v>3.5</v>
      </c>
      <c r="CF37" s="375">
        <v>0</v>
      </c>
      <c r="CG37" s="375">
        <f t="shared" si="46"/>
        <v>0</v>
      </c>
      <c r="CH37" s="375">
        <v>0</v>
      </c>
      <c r="CI37" s="375">
        <f t="shared" si="47"/>
        <v>0</v>
      </c>
      <c r="CJ37" s="375">
        <f t="shared" si="153"/>
        <v>3.5</v>
      </c>
      <c r="CK37" s="376">
        <f t="shared" si="49"/>
        <v>20.5</v>
      </c>
      <c r="CL37" s="373">
        <f>($IR37+(($IQ37-1)*$IS37)+$IT37)*CU37/144</f>
        <v>9.6191319444444439</v>
      </c>
      <c r="CM37" s="374" t="str">
        <f t="shared" si="50"/>
        <v>(0.89)</v>
      </c>
      <c r="CN37" s="375">
        <v>2</v>
      </c>
      <c r="CO37" s="375">
        <f t="shared" si="51"/>
        <v>3.5</v>
      </c>
      <c r="CP37" s="375">
        <v>0</v>
      </c>
      <c r="CQ37" s="375">
        <f t="shared" si="52"/>
        <v>0</v>
      </c>
      <c r="CR37" s="375">
        <v>0</v>
      </c>
      <c r="CS37" s="375">
        <f t="shared" si="53"/>
        <v>0</v>
      </c>
      <c r="CT37" s="375">
        <f t="shared" si="154"/>
        <v>3.5</v>
      </c>
      <c r="CU37" s="376">
        <f t="shared" si="55"/>
        <v>26.5</v>
      </c>
      <c r="CV37" s="373">
        <f>($IR37+(($IQ37-1)*$IS37)+$IT37)*DE37/144</f>
        <v>11.797048611111112</v>
      </c>
      <c r="CW37" s="374" t="str">
        <f t="shared" si="56"/>
        <v>(1.1)</v>
      </c>
      <c r="CX37" s="375">
        <v>2</v>
      </c>
      <c r="CY37" s="375">
        <f t="shared" si="57"/>
        <v>3.5</v>
      </c>
      <c r="CZ37" s="375">
        <v>0</v>
      </c>
      <c r="DA37" s="375">
        <f t="shared" si="58"/>
        <v>0</v>
      </c>
      <c r="DB37" s="375">
        <v>0</v>
      </c>
      <c r="DC37" s="375">
        <f t="shared" si="59"/>
        <v>0</v>
      </c>
      <c r="DD37" s="375">
        <f t="shared" si="155"/>
        <v>3.5</v>
      </c>
      <c r="DE37" s="376">
        <f t="shared" si="61"/>
        <v>32.5</v>
      </c>
      <c r="DF37" s="373">
        <f>($IR37+(($IQ37-1)*$IS37)+$IT37)*DO37/144</f>
        <v>13.974965277777779</v>
      </c>
      <c r="DG37" s="374" t="str">
        <f t="shared" si="62"/>
        <v>(1.3)</v>
      </c>
      <c r="DH37" s="375">
        <v>2</v>
      </c>
      <c r="DI37" s="375">
        <f t="shared" si="63"/>
        <v>3.5</v>
      </c>
      <c r="DJ37" s="375">
        <v>0</v>
      </c>
      <c r="DK37" s="375">
        <f t="shared" si="64"/>
        <v>0</v>
      </c>
      <c r="DL37" s="375">
        <v>0</v>
      </c>
      <c r="DM37" s="375">
        <f t="shared" si="65"/>
        <v>0</v>
      </c>
      <c r="DN37" s="375">
        <f t="shared" si="156"/>
        <v>3.5</v>
      </c>
      <c r="DO37" s="376">
        <f t="shared" si="67"/>
        <v>38.5</v>
      </c>
      <c r="DP37" s="373">
        <f>($IR37+(($IQ37-1)*$IS37)+$IT37)*DY37/144</f>
        <v>16.152881944444445</v>
      </c>
      <c r="DQ37" s="374" t="str">
        <f t="shared" si="68"/>
        <v>(1.5)</v>
      </c>
      <c r="DR37" s="375">
        <v>2</v>
      </c>
      <c r="DS37" s="375">
        <f t="shared" si="69"/>
        <v>3.5</v>
      </c>
      <c r="DT37" s="375">
        <v>0</v>
      </c>
      <c r="DU37" s="375">
        <f t="shared" si="70"/>
        <v>0</v>
      </c>
      <c r="DV37" s="375">
        <v>0</v>
      </c>
      <c r="DW37" s="375">
        <f t="shared" si="71"/>
        <v>0</v>
      </c>
      <c r="DX37" s="375">
        <f t="shared" si="157"/>
        <v>3.5</v>
      </c>
      <c r="DY37" s="376">
        <f t="shared" si="73"/>
        <v>44.5</v>
      </c>
      <c r="DZ37" s="373">
        <f>($IR37+(($IQ37-1)*$IS37)+$IT37)*EI37/144</f>
        <v>17.967812500000001</v>
      </c>
      <c r="EA37" s="374" t="str">
        <f t="shared" si="158"/>
        <v>(1.67)</v>
      </c>
      <c r="EB37" s="375">
        <v>2</v>
      </c>
      <c r="EC37" s="375">
        <f t="shared" si="75"/>
        <v>3.5</v>
      </c>
      <c r="ED37" s="375">
        <v>0</v>
      </c>
      <c r="EE37" s="375">
        <f t="shared" si="76"/>
        <v>0</v>
      </c>
      <c r="EF37" s="375">
        <v>1</v>
      </c>
      <c r="EG37" s="375">
        <f t="shared" si="77"/>
        <v>1</v>
      </c>
      <c r="EH37" s="375">
        <f t="shared" si="159"/>
        <v>4.5</v>
      </c>
      <c r="EI37" s="376">
        <f t="shared" si="79"/>
        <v>49.5</v>
      </c>
      <c r="EJ37" s="373">
        <f>($IR37+(($IQ37-1)*$IS37)+$IT37)*ES37/144</f>
        <v>20.145729166666669</v>
      </c>
      <c r="EK37" s="374" t="str">
        <f t="shared" si="184"/>
        <v>(1.87)</v>
      </c>
      <c r="EL37" s="375">
        <v>2</v>
      </c>
      <c r="EM37" s="375">
        <f t="shared" si="81"/>
        <v>3.5</v>
      </c>
      <c r="EN37" s="375">
        <v>0</v>
      </c>
      <c r="EO37" s="375">
        <f t="shared" si="82"/>
        <v>0</v>
      </c>
      <c r="EP37" s="375">
        <v>1</v>
      </c>
      <c r="EQ37" s="375">
        <f t="shared" si="83"/>
        <v>1</v>
      </c>
      <c r="ER37" s="375">
        <f t="shared" si="161"/>
        <v>4.5</v>
      </c>
      <c r="ES37" s="376">
        <f t="shared" si="85"/>
        <v>55.5</v>
      </c>
      <c r="ET37" s="373">
        <f>($IR37+(($IQ37-1)*$IS37)+$IT37)*FC37/144</f>
        <v>22.323645833333334</v>
      </c>
      <c r="EU37" s="374" t="str">
        <f t="shared" si="185"/>
        <v>(2.07)</v>
      </c>
      <c r="EV37" s="375">
        <v>2</v>
      </c>
      <c r="EW37" s="375">
        <f t="shared" si="87"/>
        <v>3.5</v>
      </c>
      <c r="EX37" s="375">
        <v>0</v>
      </c>
      <c r="EY37" s="375">
        <f t="shared" si="88"/>
        <v>0</v>
      </c>
      <c r="EZ37" s="375">
        <v>1</v>
      </c>
      <c r="FA37" s="375">
        <f t="shared" si="89"/>
        <v>1</v>
      </c>
      <c r="FB37" s="375">
        <f t="shared" si="163"/>
        <v>4.5</v>
      </c>
      <c r="FC37" s="376">
        <f t="shared" si="91"/>
        <v>61.5</v>
      </c>
      <c r="FD37" s="373">
        <f>($IR37+(($IQ37-1)*$IS37)+$IT37)*FM37/144</f>
        <v>24.456189236111115</v>
      </c>
      <c r="FE37" s="374" t="str">
        <f t="shared" si="164"/>
        <v>(2.27)</v>
      </c>
      <c r="FF37" s="375">
        <v>2</v>
      </c>
      <c r="FG37" s="375">
        <f t="shared" si="93"/>
        <v>3.5</v>
      </c>
      <c r="FH37" s="375">
        <v>1</v>
      </c>
      <c r="FI37" s="375">
        <f t="shared" si="94"/>
        <v>1.125</v>
      </c>
      <c r="FJ37" s="375">
        <v>0</v>
      </c>
      <c r="FK37" s="375">
        <f t="shared" si="95"/>
        <v>0</v>
      </c>
      <c r="FL37" s="375">
        <f t="shared" si="165"/>
        <v>4.625</v>
      </c>
      <c r="FM37" s="376">
        <f t="shared" si="97"/>
        <v>67.375</v>
      </c>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5">
        <f t="shared" si="146"/>
        <v>18</v>
      </c>
      <c r="IR37" s="26">
        <v>2.5</v>
      </c>
      <c r="IS37" s="26">
        <v>2.8780000000000001</v>
      </c>
      <c r="IT37" s="26">
        <v>0.84399999999999997</v>
      </c>
      <c r="IU37" s="26">
        <v>1.75</v>
      </c>
      <c r="IV37" s="26">
        <v>1</v>
      </c>
      <c r="IW37" s="26">
        <v>1.125</v>
      </c>
      <c r="IX37" s="8"/>
    </row>
    <row r="38" spans="2:258" ht="15.75" thickBot="1" x14ac:dyDescent="0.3">
      <c r="B38" s="103">
        <f t="shared" si="25"/>
        <v>120</v>
      </c>
      <c r="C38" s="227">
        <v>21</v>
      </c>
      <c r="D38" s="98">
        <f t="shared" si="1"/>
        <v>0.33549490740740745</v>
      </c>
      <c r="E38" s="96">
        <f t="shared" si="2"/>
        <v>0.38886909722222224</v>
      </c>
      <c r="F38" s="96">
        <f t="shared" si="3"/>
        <v>0.44224328703703708</v>
      </c>
      <c r="G38" s="96">
        <f t="shared" si="4"/>
        <v>0.46893038194444447</v>
      </c>
      <c r="H38" s="96">
        <f t="shared" si="5"/>
        <v>0.48494263888888894</v>
      </c>
      <c r="I38" s="96">
        <f t="shared" si="6"/>
        <v>0.49561747685185187</v>
      </c>
      <c r="J38" s="96">
        <f t="shared" si="7"/>
        <v>0.50324236111111109</v>
      </c>
      <c r="K38" s="96">
        <f t="shared" si="8"/>
        <v>0.50896102430555568</v>
      </c>
      <c r="L38" s="96">
        <f t="shared" si="9"/>
        <v>0.5032423611111112</v>
      </c>
      <c r="M38" s="96">
        <f t="shared" si="10"/>
        <v>0.50781729166666667</v>
      </c>
      <c r="N38" s="96">
        <f t="shared" si="11"/>
        <v>0.51156041666666674</v>
      </c>
      <c r="O38" s="96">
        <f t="shared" si="12"/>
        <v>0.51372657696759261</v>
      </c>
      <c r="P38" s="238"/>
      <c r="Q38" s="238"/>
      <c r="R38" s="238"/>
      <c r="S38" s="238"/>
      <c r="T38" s="238"/>
      <c r="U38" s="238"/>
      <c r="V38" s="238"/>
      <c r="W38" s="238"/>
      <c r="X38" s="96"/>
      <c r="Y38" s="65"/>
      <c r="AT38" s="235"/>
      <c r="AU38" s="27">
        <f t="shared" si="181"/>
        <v>102</v>
      </c>
      <c r="AV38" s="28" t="str">
        <f t="shared" si="147"/>
        <v>(2600)</v>
      </c>
      <c r="AW38" s="236">
        <f t="shared" si="182"/>
        <v>23</v>
      </c>
      <c r="AX38" s="193">
        <f>($IR38+(($IQ38-1)*$IS38)+$IT38)*BG38/144</f>
        <v>2.1431666666666667</v>
      </c>
      <c r="AY38" s="29" t="str">
        <f t="shared" si="183"/>
        <v>(0.20)</v>
      </c>
      <c r="AZ38" s="30">
        <v>2</v>
      </c>
      <c r="BA38" s="30">
        <f t="shared" si="27"/>
        <v>3.5</v>
      </c>
      <c r="BB38" s="30">
        <v>0</v>
      </c>
      <c r="BC38" s="30">
        <f t="shared" si="28"/>
        <v>0</v>
      </c>
      <c r="BD38" s="30">
        <v>0</v>
      </c>
      <c r="BE38" s="30">
        <f t="shared" si="29"/>
        <v>0</v>
      </c>
      <c r="BF38" s="30">
        <f t="shared" si="149"/>
        <v>3.5</v>
      </c>
      <c r="BG38" s="194">
        <f t="shared" si="31"/>
        <v>5.5</v>
      </c>
      <c r="BH38" s="373">
        <f>($IR38+(($IQ38-1)*$IS38)+$IT38)*BQ38/144</f>
        <v>3.3121666666666667</v>
      </c>
      <c r="BI38" s="374" t="str">
        <f t="shared" si="150"/>
        <v>(0.31)</v>
      </c>
      <c r="BJ38" s="375">
        <v>2</v>
      </c>
      <c r="BK38" s="375">
        <f t="shared" si="33"/>
        <v>3.5</v>
      </c>
      <c r="BL38" s="375">
        <v>0</v>
      </c>
      <c r="BM38" s="375">
        <f t="shared" si="34"/>
        <v>0</v>
      </c>
      <c r="BN38" s="375">
        <v>0</v>
      </c>
      <c r="BO38" s="375">
        <f t="shared" si="35"/>
        <v>0</v>
      </c>
      <c r="BP38" s="375">
        <f t="shared" si="151"/>
        <v>3.5</v>
      </c>
      <c r="BQ38" s="376">
        <f t="shared" si="37"/>
        <v>8.5</v>
      </c>
      <c r="BR38" s="373">
        <f>($IR38+(($IQ38-1)*$IS38)+$IT38)*CA38/144</f>
        <v>5.6501666666666672</v>
      </c>
      <c r="BS38" s="374" t="str">
        <f t="shared" si="38"/>
        <v>(0.52)</v>
      </c>
      <c r="BT38" s="375">
        <v>2</v>
      </c>
      <c r="BU38" s="375">
        <f t="shared" si="39"/>
        <v>3.5</v>
      </c>
      <c r="BV38" s="375">
        <v>0</v>
      </c>
      <c r="BW38" s="375">
        <f t="shared" si="40"/>
        <v>0</v>
      </c>
      <c r="BX38" s="375">
        <v>0</v>
      </c>
      <c r="BY38" s="375">
        <f t="shared" si="41"/>
        <v>0</v>
      </c>
      <c r="BZ38" s="375">
        <f t="shared" si="152"/>
        <v>3.5</v>
      </c>
      <c r="CA38" s="376">
        <f t="shared" si="43"/>
        <v>14.5</v>
      </c>
      <c r="CB38" s="373">
        <f>($IR38+(($IQ38-1)*$IS38)+$IT38)*CK38/144</f>
        <v>7.9881666666666673</v>
      </c>
      <c r="CC38" s="374" t="str">
        <f t="shared" si="44"/>
        <v>(0.74)</v>
      </c>
      <c r="CD38" s="375">
        <v>2</v>
      </c>
      <c r="CE38" s="375">
        <f t="shared" si="45"/>
        <v>3.5</v>
      </c>
      <c r="CF38" s="375">
        <v>0</v>
      </c>
      <c r="CG38" s="375">
        <f t="shared" si="46"/>
        <v>0</v>
      </c>
      <c r="CH38" s="375">
        <v>0</v>
      </c>
      <c r="CI38" s="375">
        <f t="shared" si="47"/>
        <v>0</v>
      </c>
      <c r="CJ38" s="375">
        <f t="shared" si="153"/>
        <v>3.5</v>
      </c>
      <c r="CK38" s="376">
        <f t="shared" si="49"/>
        <v>20.5</v>
      </c>
      <c r="CL38" s="373">
        <f>($IR38+(($IQ38-1)*$IS38)+$IT38)*CU38/144</f>
        <v>10.326166666666667</v>
      </c>
      <c r="CM38" s="374" t="str">
        <f t="shared" si="50"/>
        <v>(0.96)</v>
      </c>
      <c r="CN38" s="375">
        <v>2</v>
      </c>
      <c r="CO38" s="375">
        <f t="shared" si="51"/>
        <v>3.5</v>
      </c>
      <c r="CP38" s="375">
        <v>0</v>
      </c>
      <c r="CQ38" s="375">
        <f t="shared" si="52"/>
        <v>0</v>
      </c>
      <c r="CR38" s="375">
        <v>0</v>
      </c>
      <c r="CS38" s="375">
        <f t="shared" si="53"/>
        <v>0</v>
      </c>
      <c r="CT38" s="375">
        <f t="shared" si="154"/>
        <v>3.5</v>
      </c>
      <c r="CU38" s="376">
        <f t="shared" si="55"/>
        <v>26.5</v>
      </c>
      <c r="CV38" s="373">
        <f>($IR38+(($IQ38-1)*$IS38)+$IT38)*DE38/144</f>
        <v>12.664166666666667</v>
      </c>
      <c r="CW38" s="374" t="str">
        <f t="shared" si="56"/>
        <v>(1.18)</v>
      </c>
      <c r="CX38" s="375">
        <v>2</v>
      </c>
      <c r="CY38" s="375">
        <f t="shared" si="57"/>
        <v>3.5</v>
      </c>
      <c r="CZ38" s="375">
        <v>0</v>
      </c>
      <c r="DA38" s="375">
        <f t="shared" si="58"/>
        <v>0</v>
      </c>
      <c r="DB38" s="375">
        <v>0</v>
      </c>
      <c r="DC38" s="375">
        <f t="shared" si="59"/>
        <v>0</v>
      </c>
      <c r="DD38" s="375">
        <f t="shared" si="155"/>
        <v>3.5</v>
      </c>
      <c r="DE38" s="376">
        <f t="shared" si="61"/>
        <v>32.5</v>
      </c>
      <c r="DF38" s="373">
        <f>($IR38+(($IQ38-1)*$IS38)+$IT38)*DO38/144</f>
        <v>15.002166666666666</v>
      </c>
      <c r="DG38" s="374" t="str">
        <f t="shared" si="62"/>
        <v>(1.39)</v>
      </c>
      <c r="DH38" s="375">
        <v>2</v>
      </c>
      <c r="DI38" s="375">
        <f t="shared" si="63"/>
        <v>3.5</v>
      </c>
      <c r="DJ38" s="375">
        <v>0</v>
      </c>
      <c r="DK38" s="375">
        <f t="shared" si="64"/>
        <v>0</v>
      </c>
      <c r="DL38" s="375">
        <v>0</v>
      </c>
      <c r="DM38" s="375">
        <f t="shared" si="65"/>
        <v>0</v>
      </c>
      <c r="DN38" s="375">
        <f t="shared" si="156"/>
        <v>3.5</v>
      </c>
      <c r="DO38" s="376">
        <f t="shared" si="67"/>
        <v>38.5</v>
      </c>
      <c r="DP38" s="373">
        <f>($IR38+(($IQ38-1)*$IS38)+$IT38)*DY38/144</f>
        <v>17.340166666666665</v>
      </c>
      <c r="DQ38" s="374" t="str">
        <f t="shared" si="68"/>
        <v>(1.61)</v>
      </c>
      <c r="DR38" s="375">
        <v>2</v>
      </c>
      <c r="DS38" s="375">
        <f t="shared" si="69"/>
        <v>3.5</v>
      </c>
      <c r="DT38" s="375">
        <v>0</v>
      </c>
      <c r="DU38" s="375">
        <f t="shared" si="70"/>
        <v>0</v>
      </c>
      <c r="DV38" s="375">
        <v>0</v>
      </c>
      <c r="DW38" s="375">
        <f t="shared" si="71"/>
        <v>0</v>
      </c>
      <c r="DX38" s="375">
        <f t="shared" si="157"/>
        <v>3.5</v>
      </c>
      <c r="DY38" s="376">
        <f t="shared" si="73"/>
        <v>44.5</v>
      </c>
      <c r="DZ38" s="373">
        <f>($IR38+(($IQ38-1)*$IS38)+$IT38)*EI38/144</f>
        <v>19.288499999999999</v>
      </c>
      <c r="EA38" s="374" t="str">
        <f t="shared" si="158"/>
        <v>(1.79)</v>
      </c>
      <c r="EB38" s="375">
        <v>2</v>
      </c>
      <c r="EC38" s="375">
        <f t="shared" si="75"/>
        <v>3.5</v>
      </c>
      <c r="ED38" s="375">
        <v>0</v>
      </c>
      <c r="EE38" s="375">
        <f t="shared" si="76"/>
        <v>0</v>
      </c>
      <c r="EF38" s="375">
        <v>1</v>
      </c>
      <c r="EG38" s="375">
        <f t="shared" si="77"/>
        <v>1</v>
      </c>
      <c r="EH38" s="375">
        <f t="shared" si="159"/>
        <v>4.5</v>
      </c>
      <c r="EI38" s="376">
        <f t="shared" si="79"/>
        <v>49.5</v>
      </c>
      <c r="EJ38" s="373">
        <f>($IR38+(($IQ38-1)*$IS38)+$IT38)*ES38/144</f>
        <v>21.6265</v>
      </c>
      <c r="EK38" s="374" t="str">
        <f t="shared" si="184"/>
        <v>(2.01)</v>
      </c>
      <c r="EL38" s="375">
        <v>2</v>
      </c>
      <c r="EM38" s="375">
        <f t="shared" si="81"/>
        <v>3.5</v>
      </c>
      <c r="EN38" s="375">
        <v>0</v>
      </c>
      <c r="EO38" s="375">
        <f t="shared" si="82"/>
        <v>0</v>
      </c>
      <c r="EP38" s="375">
        <v>1</v>
      </c>
      <c r="EQ38" s="375">
        <f t="shared" si="83"/>
        <v>1</v>
      </c>
      <c r="ER38" s="375">
        <f t="shared" si="161"/>
        <v>4.5</v>
      </c>
      <c r="ES38" s="376">
        <f t="shared" si="85"/>
        <v>55.5</v>
      </c>
      <c r="ET38" s="373">
        <f>($IR38+(($IQ38-1)*$IS38)+$IT38)*FC38/144</f>
        <v>23.964500000000001</v>
      </c>
      <c r="EU38" s="374" t="str">
        <f t="shared" si="185"/>
        <v>(2.23)</v>
      </c>
      <c r="EV38" s="375">
        <v>2</v>
      </c>
      <c r="EW38" s="375">
        <f t="shared" si="87"/>
        <v>3.5</v>
      </c>
      <c r="EX38" s="375">
        <v>0</v>
      </c>
      <c r="EY38" s="375">
        <f t="shared" si="88"/>
        <v>0</v>
      </c>
      <c r="EZ38" s="375">
        <v>1</v>
      </c>
      <c r="FA38" s="375">
        <f t="shared" si="89"/>
        <v>1</v>
      </c>
      <c r="FB38" s="375">
        <f t="shared" si="163"/>
        <v>4.5</v>
      </c>
      <c r="FC38" s="376">
        <f t="shared" si="91"/>
        <v>61.5</v>
      </c>
      <c r="FD38" s="373">
        <f>($IR38+(($IQ38-1)*$IS38)+$IT38)*FM38/144</f>
        <v>26.253791666666668</v>
      </c>
      <c r="FE38" s="374" t="str">
        <f t="shared" si="164"/>
        <v>(2.44)</v>
      </c>
      <c r="FF38" s="375">
        <v>2</v>
      </c>
      <c r="FG38" s="375">
        <f t="shared" si="93"/>
        <v>3.5</v>
      </c>
      <c r="FH38" s="375">
        <v>1</v>
      </c>
      <c r="FI38" s="375">
        <f t="shared" si="94"/>
        <v>1.125</v>
      </c>
      <c r="FJ38" s="375">
        <v>0</v>
      </c>
      <c r="FK38" s="375">
        <f t="shared" si="95"/>
        <v>0</v>
      </c>
      <c r="FL38" s="375">
        <f t="shared" si="165"/>
        <v>4.625</v>
      </c>
      <c r="FM38" s="376">
        <f t="shared" si="97"/>
        <v>67.375</v>
      </c>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5">
        <f t="shared" si="146"/>
        <v>19</v>
      </c>
      <c r="IR38" s="26">
        <v>2.5</v>
      </c>
      <c r="IS38" s="26">
        <v>2.8780000000000001</v>
      </c>
      <c r="IT38" s="26">
        <v>1.8080000000000001</v>
      </c>
      <c r="IU38" s="26">
        <v>1.75</v>
      </c>
      <c r="IV38" s="26">
        <v>1</v>
      </c>
      <c r="IW38" s="26">
        <v>1.125</v>
      </c>
      <c r="IX38" s="8"/>
    </row>
    <row r="39" spans="2: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96"/>
      <c r="Y39" s="65"/>
      <c r="AT39" s="235"/>
      <c r="AU39" s="27">
        <f t="shared" si="181"/>
        <v>108</v>
      </c>
      <c r="AV39" s="28" t="str">
        <f t="shared" si="147"/>
        <v>(2750)</v>
      </c>
      <c r="AW39" s="236">
        <f t="shared" si="182"/>
        <v>24</v>
      </c>
      <c r="AX39" s="193">
        <f>($IR39+(($IQ39-1)*$IS39)+$IT39)*BG39/144</f>
        <v>2.2843715277777776</v>
      </c>
      <c r="AY39" s="29" t="str">
        <f t="shared" si="183"/>
        <v>(0.21)</v>
      </c>
      <c r="AZ39" s="30">
        <v>2</v>
      </c>
      <c r="BA39" s="30">
        <f t="shared" si="27"/>
        <v>3.5</v>
      </c>
      <c r="BB39" s="30">
        <v>0</v>
      </c>
      <c r="BC39" s="30">
        <f t="shared" si="28"/>
        <v>0</v>
      </c>
      <c r="BD39" s="30">
        <v>0</v>
      </c>
      <c r="BE39" s="30">
        <f t="shared" si="29"/>
        <v>0</v>
      </c>
      <c r="BF39" s="30">
        <f t="shared" si="149"/>
        <v>3.5</v>
      </c>
      <c r="BG39" s="194">
        <f t="shared" si="31"/>
        <v>5.5</v>
      </c>
      <c r="BH39" s="373">
        <f>($IR39+(($IQ39-1)*$IS39)+$IT39)*BQ39/144</f>
        <v>3.5303923611111112</v>
      </c>
      <c r="BI39" s="374" t="str">
        <f t="shared" si="150"/>
        <v>(0.33)</v>
      </c>
      <c r="BJ39" s="375">
        <v>2</v>
      </c>
      <c r="BK39" s="375">
        <f t="shared" si="33"/>
        <v>3.5</v>
      </c>
      <c r="BL39" s="375">
        <v>0</v>
      </c>
      <c r="BM39" s="375">
        <f t="shared" si="34"/>
        <v>0</v>
      </c>
      <c r="BN39" s="375">
        <v>0</v>
      </c>
      <c r="BO39" s="375">
        <f t="shared" si="35"/>
        <v>0</v>
      </c>
      <c r="BP39" s="375">
        <f t="shared" si="151"/>
        <v>3.5</v>
      </c>
      <c r="BQ39" s="376">
        <f t="shared" si="37"/>
        <v>8.5</v>
      </c>
      <c r="BR39" s="373">
        <f>($IR39+(($IQ39-1)*$IS39)+$IT39)*CA39/144</f>
        <v>6.0224340277777788</v>
      </c>
      <c r="BS39" s="374" t="str">
        <f t="shared" si="38"/>
        <v>(0.56)</v>
      </c>
      <c r="BT39" s="375">
        <v>2</v>
      </c>
      <c r="BU39" s="375">
        <f t="shared" si="39"/>
        <v>3.5</v>
      </c>
      <c r="BV39" s="375">
        <v>0</v>
      </c>
      <c r="BW39" s="375">
        <f t="shared" si="40"/>
        <v>0</v>
      </c>
      <c r="BX39" s="375">
        <v>0</v>
      </c>
      <c r="BY39" s="375">
        <f t="shared" si="41"/>
        <v>0</v>
      </c>
      <c r="BZ39" s="375">
        <f t="shared" si="152"/>
        <v>3.5</v>
      </c>
      <c r="CA39" s="376">
        <f t="shared" si="43"/>
        <v>14.5</v>
      </c>
      <c r="CB39" s="373">
        <f>($IR39+(($IQ39-1)*$IS39)+$IT39)*CK39/144</f>
        <v>8.514475694444446</v>
      </c>
      <c r="CC39" s="374" t="str">
        <f t="shared" si="44"/>
        <v>(0.79)</v>
      </c>
      <c r="CD39" s="375">
        <v>2</v>
      </c>
      <c r="CE39" s="375">
        <f t="shared" si="45"/>
        <v>3.5</v>
      </c>
      <c r="CF39" s="375">
        <v>0</v>
      </c>
      <c r="CG39" s="375">
        <f t="shared" si="46"/>
        <v>0</v>
      </c>
      <c r="CH39" s="375">
        <v>0</v>
      </c>
      <c r="CI39" s="375">
        <f t="shared" si="47"/>
        <v>0</v>
      </c>
      <c r="CJ39" s="375">
        <f t="shared" si="153"/>
        <v>3.5</v>
      </c>
      <c r="CK39" s="376">
        <f t="shared" si="49"/>
        <v>20.5</v>
      </c>
      <c r="CL39" s="373">
        <f>($IR39+(($IQ39-1)*$IS39)+$IT39)*CU39/144</f>
        <v>11.006517361111113</v>
      </c>
      <c r="CM39" s="374" t="str">
        <f t="shared" si="50"/>
        <v>(1.02)</v>
      </c>
      <c r="CN39" s="375">
        <v>2</v>
      </c>
      <c r="CO39" s="375">
        <f t="shared" si="51"/>
        <v>3.5</v>
      </c>
      <c r="CP39" s="375">
        <v>0</v>
      </c>
      <c r="CQ39" s="375">
        <f t="shared" si="52"/>
        <v>0</v>
      </c>
      <c r="CR39" s="375">
        <v>0</v>
      </c>
      <c r="CS39" s="375">
        <f t="shared" si="53"/>
        <v>0</v>
      </c>
      <c r="CT39" s="375">
        <f t="shared" si="154"/>
        <v>3.5</v>
      </c>
      <c r="CU39" s="376">
        <f t="shared" si="55"/>
        <v>26.5</v>
      </c>
      <c r="CV39" s="373">
        <f>($IR39+(($IQ39-1)*$IS39)+$IT39)*DE39/144</f>
        <v>13.49855902777778</v>
      </c>
      <c r="CW39" s="374" t="str">
        <f t="shared" si="56"/>
        <v>(1.25)</v>
      </c>
      <c r="CX39" s="375">
        <v>2</v>
      </c>
      <c r="CY39" s="375">
        <f t="shared" si="57"/>
        <v>3.5</v>
      </c>
      <c r="CZ39" s="375">
        <v>0</v>
      </c>
      <c r="DA39" s="375">
        <f t="shared" si="58"/>
        <v>0</v>
      </c>
      <c r="DB39" s="375">
        <v>0</v>
      </c>
      <c r="DC39" s="375">
        <f t="shared" si="59"/>
        <v>0</v>
      </c>
      <c r="DD39" s="375">
        <f t="shared" si="155"/>
        <v>3.5</v>
      </c>
      <c r="DE39" s="376">
        <f t="shared" si="61"/>
        <v>32.5</v>
      </c>
      <c r="DF39" s="373">
        <f>($IR39+(($IQ39-1)*$IS39)+$IT39)*DO39/144</f>
        <v>15.990600694444446</v>
      </c>
      <c r="DG39" s="374" t="str">
        <f t="shared" si="62"/>
        <v>(1.49)</v>
      </c>
      <c r="DH39" s="375">
        <v>2</v>
      </c>
      <c r="DI39" s="375">
        <f t="shared" si="63"/>
        <v>3.5</v>
      </c>
      <c r="DJ39" s="375">
        <v>0</v>
      </c>
      <c r="DK39" s="375">
        <f t="shared" si="64"/>
        <v>0</v>
      </c>
      <c r="DL39" s="375">
        <v>0</v>
      </c>
      <c r="DM39" s="375">
        <f t="shared" si="65"/>
        <v>0</v>
      </c>
      <c r="DN39" s="375">
        <f t="shared" si="156"/>
        <v>3.5</v>
      </c>
      <c r="DO39" s="376">
        <f t="shared" si="67"/>
        <v>38.5</v>
      </c>
      <c r="DP39" s="373">
        <f>($IR39+(($IQ39-1)*$IS39)+$IT39)*DY39/144</f>
        <v>18.482642361111111</v>
      </c>
      <c r="DQ39" s="374" t="str">
        <f t="shared" si="68"/>
        <v>(1.72)</v>
      </c>
      <c r="DR39" s="375">
        <v>2</v>
      </c>
      <c r="DS39" s="375">
        <f t="shared" si="69"/>
        <v>3.5</v>
      </c>
      <c r="DT39" s="375">
        <v>0</v>
      </c>
      <c r="DU39" s="375">
        <f t="shared" si="70"/>
        <v>0</v>
      </c>
      <c r="DV39" s="375">
        <v>0</v>
      </c>
      <c r="DW39" s="375">
        <f t="shared" si="71"/>
        <v>0</v>
      </c>
      <c r="DX39" s="375">
        <f t="shared" si="157"/>
        <v>3.5</v>
      </c>
      <c r="DY39" s="376">
        <f t="shared" si="73"/>
        <v>44.5</v>
      </c>
      <c r="DZ39" s="373">
        <f>($IR39+(($IQ39-1)*$IS39)+$IT39)*EI39/144</f>
        <v>20.55934375</v>
      </c>
      <c r="EA39" s="374" t="str">
        <f t="shared" si="158"/>
        <v>(1.91)</v>
      </c>
      <c r="EB39" s="375">
        <v>2</v>
      </c>
      <c r="EC39" s="375">
        <f t="shared" si="75"/>
        <v>3.5</v>
      </c>
      <c r="ED39" s="375">
        <v>0</v>
      </c>
      <c r="EE39" s="375">
        <f t="shared" si="76"/>
        <v>0</v>
      </c>
      <c r="EF39" s="375">
        <v>1</v>
      </c>
      <c r="EG39" s="375">
        <f t="shared" si="77"/>
        <v>1</v>
      </c>
      <c r="EH39" s="375">
        <f t="shared" si="159"/>
        <v>4.5</v>
      </c>
      <c r="EI39" s="376">
        <f t="shared" si="79"/>
        <v>49.5</v>
      </c>
      <c r="EJ39" s="373">
        <f>($IR39+(($IQ39-1)*$IS39)+$IT39)*ES39/144</f>
        <v>23.051385416666669</v>
      </c>
      <c r="EK39" s="374" t="str">
        <f t="shared" si="184"/>
        <v>(2.14)</v>
      </c>
      <c r="EL39" s="375">
        <v>2</v>
      </c>
      <c r="EM39" s="375">
        <f t="shared" si="81"/>
        <v>3.5</v>
      </c>
      <c r="EN39" s="375">
        <v>0</v>
      </c>
      <c r="EO39" s="375">
        <f t="shared" si="82"/>
        <v>0</v>
      </c>
      <c r="EP39" s="375">
        <v>1</v>
      </c>
      <c r="EQ39" s="375">
        <f t="shared" si="83"/>
        <v>1</v>
      </c>
      <c r="ER39" s="375">
        <f t="shared" si="161"/>
        <v>4.5</v>
      </c>
      <c r="ES39" s="376">
        <f t="shared" si="85"/>
        <v>55.5</v>
      </c>
      <c r="ET39" s="373">
        <f>($IR39+(($IQ39-1)*$IS39)+$IT39)*FC39/144</f>
        <v>25.543427083333334</v>
      </c>
      <c r="EU39" s="374" t="str">
        <f t="shared" si="185"/>
        <v>(2.37)</v>
      </c>
      <c r="EV39" s="375">
        <v>2</v>
      </c>
      <c r="EW39" s="375">
        <f t="shared" si="87"/>
        <v>3.5</v>
      </c>
      <c r="EX39" s="375">
        <v>0</v>
      </c>
      <c r="EY39" s="375">
        <f t="shared" si="88"/>
        <v>0</v>
      </c>
      <c r="EZ39" s="375">
        <v>1</v>
      </c>
      <c r="FA39" s="375">
        <f t="shared" si="89"/>
        <v>1</v>
      </c>
      <c r="FB39" s="375">
        <f t="shared" si="163"/>
        <v>4.5</v>
      </c>
      <c r="FC39" s="376">
        <f t="shared" si="91"/>
        <v>61.5</v>
      </c>
      <c r="FD39" s="373">
        <f>($IR39+(($IQ39-1)*$IS39)+$IT39)*FM39/144</f>
        <v>27.983551215277782</v>
      </c>
      <c r="FE39" s="374" t="str">
        <f t="shared" si="164"/>
        <v>(2.60)</v>
      </c>
      <c r="FF39" s="375">
        <v>2</v>
      </c>
      <c r="FG39" s="375">
        <f t="shared" si="93"/>
        <v>3.5</v>
      </c>
      <c r="FH39" s="375">
        <v>1</v>
      </c>
      <c r="FI39" s="375">
        <f t="shared" si="94"/>
        <v>1.125</v>
      </c>
      <c r="FJ39" s="375">
        <v>0</v>
      </c>
      <c r="FK39" s="375">
        <f t="shared" si="95"/>
        <v>0</v>
      </c>
      <c r="FL39" s="375">
        <f t="shared" si="165"/>
        <v>4.625</v>
      </c>
      <c r="FM39" s="376">
        <f t="shared" si="97"/>
        <v>67.375</v>
      </c>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5">
        <f t="shared" si="146"/>
        <v>20</v>
      </c>
      <c r="IR39" s="26">
        <v>2.5</v>
      </c>
      <c r="IS39" s="26">
        <v>2.8780000000000001</v>
      </c>
      <c r="IT39" s="26">
        <v>2.6269999999999998</v>
      </c>
      <c r="IU39" s="26">
        <v>1.75</v>
      </c>
      <c r="IV39" s="26">
        <v>1</v>
      </c>
      <c r="IW39" s="26">
        <v>1.125</v>
      </c>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235"/>
      <c r="AU40" s="27">
        <f t="shared" si="181"/>
        <v>114</v>
      </c>
      <c r="AV40" s="28" t="str">
        <f t="shared" si="147"/>
        <v>(2900)</v>
      </c>
      <c r="AW40" s="236">
        <f t="shared" si="182"/>
        <v>25</v>
      </c>
      <c r="AX40" s="193">
        <f>($IR40+(($IQ40-1)*$IS40)+$IT40)*BG40/144</f>
        <v>2.3838298611111113</v>
      </c>
      <c r="AY40" s="29" t="str">
        <f t="shared" si="183"/>
        <v>(0.22)</v>
      </c>
      <c r="AZ40" s="30">
        <v>2</v>
      </c>
      <c r="BA40" s="30">
        <f t="shared" si="27"/>
        <v>3.5</v>
      </c>
      <c r="BB40" s="30">
        <v>0</v>
      </c>
      <c r="BC40" s="30">
        <f t="shared" si="28"/>
        <v>0</v>
      </c>
      <c r="BD40" s="30">
        <v>0</v>
      </c>
      <c r="BE40" s="30">
        <f t="shared" si="29"/>
        <v>0</v>
      </c>
      <c r="BF40" s="30">
        <f t="shared" si="149"/>
        <v>3.5</v>
      </c>
      <c r="BG40" s="194">
        <f t="shared" si="31"/>
        <v>5.5</v>
      </c>
      <c r="BH40" s="373">
        <f>($IR40+(($IQ40-1)*$IS40)+$IT40)*BQ40/144</f>
        <v>3.6841006944444441</v>
      </c>
      <c r="BI40" s="374" t="str">
        <f t="shared" si="150"/>
        <v>(0.34)</v>
      </c>
      <c r="BJ40" s="375">
        <v>2</v>
      </c>
      <c r="BK40" s="375">
        <f t="shared" si="33"/>
        <v>3.5</v>
      </c>
      <c r="BL40" s="375">
        <v>0</v>
      </c>
      <c r="BM40" s="375">
        <f t="shared" si="34"/>
        <v>0</v>
      </c>
      <c r="BN40" s="375">
        <v>0</v>
      </c>
      <c r="BO40" s="375">
        <f t="shared" si="35"/>
        <v>0</v>
      </c>
      <c r="BP40" s="375">
        <f t="shared" si="151"/>
        <v>3.5</v>
      </c>
      <c r="BQ40" s="376">
        <f t="shared" si="37"/>
        <v>8.5</v>
      </c>
      <c r="BR40" s="373">
        <f>($IR40+(($IQ40-1)*$IS40)+$IT40)*CA40/144</f>
        <v>6.2846423611111115</v>
      </c>
      <c r="BS40" s="374" t="str">
        <f t="shared" si="38"/>
        <v>(0.58)</v>
      </c>
      <c r="BT40" s="375">
        <v>2</v>
      </c>
      <c r="BU40" s="375">
        <f t="shared" si="39"/>
        <v>3.5</v>
      </c>
      <c r="BV40" s="375">
        <v>0</v>
      </c>
      <c r="BW40" s="375">
        <f t="shared" si="40"/>
        <v>0</v>
      </c>
      <c r="BX40" s="375">
        <v>0</v>
      </c>
      <c r="BY40" s="375">
        <f t="shared" si="41"/>
        <v>0</v>
      </c>
      <c r="BZ40" s="375">
        <f t="shared" si="152"/>
        <v>3.5</v>
      </c>
      <c r="CA40" s="376">
        <f t="shared" si="43"/>
        <v>14.5</v>
      </c>
      <c r="CB40" s="373">
        <f>($IR40+(($IQ40-1)*$IS40)+$IT40)*CK40/144</f>
        <v>8.8851840277777772</v>
      </c>
      <c r="CC40" s="374" t="str">
        <f t="shared" si="44"/>
        <v>(0.83)</v>
      </c>
      <c r="CD40" s="375">
        <v>2</v>
      </c>
      <c r="CE40" s="375">
        <f t="shared" si="45"/>
        <v>3.5</v>
      </c>
      <c r="CF40" s="375">
        <v>0</v>
      </c>
      <c r="CG40" s="375">
        <f t="shared" si="46"/>
        <v>0</v>
      </c>
      <c r="CH40" s="375">
        <v>0</v>
      </c>
      <c r="CI40" s="375">
        <f t="shared" si="47"/>
        <v>0</v>
      </c>
      <c r="CJ40" s="375">
        <f t="shared" si="153"/>
        <v>3.5</v>
      </c>
      <c r="CK40" s="376">
        <f t="shared" si="49"/>
        <v>20.5</v>
      </c>
      <c r="CL40" s="373">
        <f>($IR40+(($IQ40-1)*$IS40)+$IT40)*CU40/144</f>
        <v>11.485725694444445</v>
      </c>
      <c r="CM40" s="374" t="str">
        <f t="shared" si="50"/>
        <v>(1.07)</v>
      </c>
      <c r="CN40" s="375">
        <v>2</v>
      </c>
      <c r="CO40" s="375">
        <f t="shared" si="51"/>
        <v>3.5</v>
      </c>
      <c r="CP40" s="375">
        <v>0</v>
      </c>
      <c r="CQ40" s="375">
        <f t="shared" si="52"/>
        <v>0</v>
      </c>
      <c r="CR40" s="375">
        <v>0</v>
      </c>
      <c r="CS40" s="375">
        <f t="shared" si="53"/>
        <v>0</v>
      </c>
      <c r="CT40" s="375">
        <f t="shared" si="154"/>
        <v>3.5</v>
      </c>
      <c r="CU40" s="376">
        <f t="shared" si="55"/>
        <v>26.5</v>
      </c>
      <c r="CV40" s="373">
        <f>($IR40+(($IQ40-1)*$IS40)+$IT40)*DE40/144</f>
        <v>14.086267361111112</v>
      </c>
      <c r="CW40" s="374" t="str">
        <f t="shared" si="56"/>
        <v>(1.31)</v>
      </c>
      <c r="CX40" s="375">
        <v>2</v>
      </c>
      <c r="CY40" s="375">
        <f t="shared" si="57"/>
        <v>3.5</v>
      </c>
      <c r="CZ40" s="375">
        <v>0</v>
      </c>
      <c r="DA40" s="375">
        <f t="shared" si="58"/>
        <v>0</v>
      </c>
      <c r="DB40" s="375">
        <v>0</v>
      </c>
      <c r="DC40" s="375">
        <f t="shared" si="59"/>
        <v>0</v>
      </c>
      <c r="DD40" s="375">
        <f t="shared" si="155"/>
        <v>3.5</v>
      </c>
      <c r="DE40" s="376">
        <f t="shared" si="61"/>
        <v>32.5</v>
      </c>
      <c r="DF40" s="373">
        <f>($IR40+(($IQ40-1)*$IS40)+$IT40)*DO40/144</f>
        <v>16.68680902777778</v>
      </c>
      <c r="DG40" s="374" t="str">
        <f t="shared" si="62"/>
        <v>(1.55)</v>
      </c>
      <c r="DH40" s="375">
        <v>2</v>
      </c>
      <c r="DI40" s="375">
        <f t="shared" si="63"/>
        <v>3.5</v>
      </c>
      <c r="DJ40" s="375">
        <v>0</v>
      </c>
      <c r="DK40" s="375">
        <f t="shared" si="64"/>
        <v>0</v>
      </c>
      <c r="DL40" s="375">
        <v>0</v>
      </c>
      <c r="DM40" s="375">
        <f t="shared" si="65"/>
        <v>0</v>
      </c>
      <c r="DN40" s="375">
        <f t="shared" si="156"/>
        <v>3.5</v>
      </c>
      <c r="DO40" s="376">
        <f t="shared" si="67"/>
        <v>38.5</v>
      </c>
      <c r="DP40" s="373">
        <f>($IR40+(($IQ40-1)*$IS40)+$IT40)*DY40/144</f>
        <v>19.287350694444445</v>
      </c>
      <c r="DQ40" s="374" t="str">
        <f t="shared" si="68"/>
        <v>(1.79)</v>
      </c>
      <c r="DR40" s="375">
        <v>2</v>
      </c>
      <c r="DS40" s="375">
        <f t="shared" si="69"/>
        <v>3.5</v>
      </c>
      <c r="DT40" s="375">
        <v>0</v>
      </c>
      <c r="DU40" s="375">
        <f t="shared" si="70"/>
        <v>0</v>
      </c>
      <c r="DV40" s="375">
        <v>0</v>
      </c>
      <c r="DW40" s="375">
        <f t="shared" si="71"/>
        <v>0</v>
      </c>
      <c r="DX40" s="375">
        <f t="shared" si="157"/>
        <v>3.5</v>
      </c>
      <c r="DY40" s="376">
        <f t="shared" si="73"/>
        <v>44.5</v>
      </c>
      <c r="DZ40" s="373">
        <f>($IR40+(($IQ40-1)*$IS40)+$IT40)*EI40/144</f>
        <v>21.454468750000004</v>
      </c>
      <c r="EA40" s="374" t="str">
        <f t="shared" si="158"/>
        <v>(1.99)</v>
      </c>
      <c r="EB40" s="375">
        <v>2</v>
      </c>
      <c r="EC40" s="375">
        <f t="shared" si="75"/>
        <v>3.5</v>
      </c>
      <c r="ED40" s="375">
        <v>0</v>
      </c>
      <c r="EE40" s="375">
        <f t="shared" si="76"/>
        <v>0</v>
      </c>
      <c r="EF40" s="375">
        <v>1</v>
      </c>
      <c r="EG40" s="375">
        <f t="shared" si="77"/>
        <v>1</v>
      </c>
      <c r="EH40" s="375">
        <f t="shared" si="159"/>
        <v>4.5</v>
      </c>
      <c r="EI40" s="376">
        <f t="shared" si="79"/>
        <v>49.5</v>
      </c>
      <c r="EJ40" s="373">
        <f>($IR40+(($IQ40-1)*$IS40)+$IT40)*ES40/144</f>
        <v>24.055010416666669</v>
      </c>
      <c r="EK40" s="374" t="str">
        <f t="shared" si="184"/>
        <v>(2.23)</v>
      </c>
      <c r="EL40" s="375">
        <v>2</v>
      </c>
      <c r="EM40" s="375">
        <f t="shared" si="81"/>
        <v>3.5</v>
      </c>
      <c r="EN40" s="375">
        <v>0</v>
      </c>
      <c r="EO40" s="375">
        <f t="shared" si="82"/>
        <v>0</v>
      </c>
      <c r="EP40" s="375">
        <v>1</v>
      </c>
      <c r="EQ40" s="375">
        <f t="shared" si="83"/>
        <v>1</v>
      </c>
      <c r="ER40" s="375">
        <f t="shared" si="161"/>
        <v>4.5</v>
      </c>
      <c r="ES40" s="376">
        <f t="shared" si="85"/>
        <v>55.5</v>
      </c>
      <c r="ET40" s="373">
        <f>($IR40+(($IQ40-1)*$IS40)+$IT40)*FC40/144</f>
        <v>26.655552083333337</v>
      </c>
      <c r="EU40" s="374" t="str">
        <f t="shared" si="185"/>
        <v>(2.48)</v>
      </c>
      <c r="EV40" s="375">
        <v>2</v>
      </c>
      <c r="EW40" s="375">
        <f t="shared" si="87"/>
        <v>3.5</v>
      </c>
      <c r="EX40" s="375">
        <v>0</v>
      </c>
      <c r="EY40" s="375">
        <f t="shared" si="88"/>
        <v>0</v>
      </c>
      <c r="EZ40" s="375">
        <v>1</v>
      </c>
      <c r="FA40" s="375">
        <f t="shared" si="89"/>
        <v>1</v>
      </c>
      <c r="FB40" s="375">
        <f t="shared" si="163"/>
        <v>4.5</v>
      </c>
      <c r="FC40" s="376">
        <f t="shared" si="91"/>
        <v>61.5</v>
      </c>
      <c r="FD40" s="373">
        <f>($IR40+(($IQ40-1)*$IS40)+$IT40)*FM40/144</f>
        <v>29.201915798611115</v>
      </c>
      <c r="FE40" s="374" t="str">
        <f t="shared" si="164"/>
        <v>(2.71)</v>
      </c>
      <c r="FF40" s="375">
        <v>2</v>
      </c>
      <c r="FG40" s="375">
        <f t="shared" si="93"/>
        <v>3.5</v>
      </c>
      <c r="FH40" s="375">
        <v>1</v>
      </c>
      <c r="FI40" s="375">
        <f t="shared" si="94"/>
        <v>1.125</v>
      </c>
      <c r="FJ40" s="375">
        <v>0</v>
      </c>
      <c r="FK40" s="375">
        <f t="shared" si="95"/>
        <v>0</v>
      </c>
      <c r="FL40" s="375">
        <f t="shared" si="165"/>
        <v>4.625</v>
      </c>
      <c r="FM40" s="376">
        <f t="shared" si="97"/>
        <v>67.375</v>
      </c>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5">
        <f t="shared" si="146"/>
        <v>21</v>
      </c>
      <c r="IR40" s="26">
        <v>2.5</v>
      </c>
      <c r="IS40" s="26">
        <v>2.8780000000000001</v>
      </c>
      <c r="IT40" s="26">
        <v>2.3530000000000002</v>
      </c>
      <c r="IU40" s="26">
        <v>1.75</v>
      </c>
      <c r="IV40" s="26">
        <v>1</v>
      </c>
      <c r="IW40" s="26">
        <v>1.125</v>
      </c>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235"/>
      <c r="AU41" s="27">
        <f t="shared" si="181"/>
        <v>120</v>
      </c>
      <c r="AV41" s="28" t="str">
        <f t="shared" si="147"/>
        <v>(3050)</v>
      </c>
      <c r="AW41" s="236">
        <f t="shared" si="182"/>
        <v>26</v>
      </c>
      <c r="AX41" s="193">
        <f>($IR41+(($IQ41-2)*$IS41)+$IT41)*BG41/144</f>
        <v>2.5162118055555558</v>
      </c>
      <c r="AY41" s="29" t="str">
        <f>"("&amp;FIXED(AX41*0.092903,2)&amp;")"</f>
        <v>(0.23)</v>
      </c>
      <c r="AZ41" s="30">
        <v>2</v>
      </c>
      <c r="BA41" s="30">
        <f t="shared" si="27"/>
        <v>3.5</v>
      </c>
      <c r="BB41" s="30">
        <v>0</v>
      </c>
      <c r="BC41" s="30">
        <f t="shared" si="28"/>
        <v>0</v>
      </c>
      <c r="BD41" s="30">
        <v>0</v>
      </c>
      <c r="BE41" s="30">
        <f t="shared" si="29"/>
        <v>0</v>
      </c>
      <c r="BF41" s="30">
        <f t="shared" si="149"/>
        <v>3.5</v>
      </c>
      <c r="BG41" s="194">
        <f t="shared" si="31"/>
        <v>5.5</v>
      </c>
      <c r="BH41" s="373">
        <f>($IR41+(($IQ41-2)*$IS41)+$IT41)*BQ41/144</f>
        <v>3.8886909722222223</v>
      </c>
      <c r="BI41" s="374" t="str">
        <f>"("&amp;FIXED(BH41*0.092903,2)&amp;")"</f>
        <v>(0.36)</v>
      </c>
      <c r="BJ41" s="375">
        <v>2</v>
      </c>
      <c r="BK41" s="375">
        <f t="shared" si="33"/>
        <v>3.5</v>
      </c>
      <c r="BL41" s="375">
        <v>0</v>
      </c>
      <c r="BM41" s="375">
        <f t="shared" si="34"/>
        <v>0</v>
      </c>
      <c r="BN41" s="375">
        <v>0</v>
      </c>
      <c r="BO41" s="375">
        <f t="shared" si="35"/>
        <v>0</v>
      </c>
      <c r="BP41" s="375">
        <f t="shared" si="151"/>
        <v>3.5</v>
      </c>
      <c r="BQ41" s="376">
        <f t="shared" si="37"/>
        <v>8.5</v>
      </c>
      <c r="BR41" s="373">
        <f>($IR41+(($IQ41-2)*$IS41)+$IT41)*CA41/144</f>
        <v>6.6336493055555561</v>
      </c>
      <c r="BS41" s="374" t="str">
        <f t="shared" si="38"/>
        <v>(0.62)</v>
      </c>
      <c r="BT41" s="375">
        <v>2</v>
      </c>
      <c r="BU41" s="375">
        <f t="shared" si="39"/>
        <v>3.5</v>
      </c>
      <c r="BV41" s="375">
        <v>0</v>
      </c>
      <c r="BW41" s="375">
        <f t="shared" si="40"/>
        <v>0</v>
      </c>
      <c r="BX41" s="375">
        <v>0</v>
      </c>
      <c r="BY41" s="375">
        <f t="shared" si="41"/>
        <v>0</v>
      </c>
      <c r="BZ41" s="375">
        <f t="shared" si="152"/>
        <v>3.5</v>
      </c>
      <c r="CA41" s="376">
        <f t="shared" si="43"/>
        <v>14.5</v>
      </c>
      <c r="CB41" s="373">
        <f>($IR41+(($IQ41-2)*$IS41)+$IT41)*CK41/144</f>
        <v>9.378607638888889</v>
      </c>
      <c r="CC41" s="374" t="str">
        <f t="shared" si="44"/>
        <v>(0.87)</v>
      </c>
      <c r="CD41" s="375">
        <v>2</v>
      </c>
      <c r="CE41" s="375">
        <f t="shared" si="45"/>
        <v>3.5</v>
      </c>
      <c r="CF41" s="375">
        <v>0</v>
      </c>
      <c r="CG41" s="375">
        <f t="shared" si="46"/>
        <v>0</v>
      </c>
      <c r="CH41" s="375">
        <v>0</v>
      </c>
      <c r="CI41" s="375">
        <f t="shared" si="47"/>
        <v>0</v>
      </c>
      <c r="CJ41" s="375">
        <f t="shared" si="153"/>
        <v>3.5</v>
      </c>
      <c r="CK41" s="376">
        <f t="shared" si="49"/>
        <v>20.5</v>
      </c>
      <c r="CL41" s="373">
        <f>($IR41+(($IQ41-2)*$IS41)+$IT41)*CU41/144</f>
        <v>12.123565972222224</v>
      </c>
      <c r="CM41" s="374" t="str">
        <f t="shared" si="50"/>
        <v>(1.13)</v>
      </c>
      <c r="CN41" s="375">
        <v>2</v>
      </c>
      <c r="CO41" s="375">
        <f t="shared" si="51"/>
        <v>3.5</v>
      </c>
      <c r="CP41" s="375">
        <v>0</v>
      </c>
      <c r="CQ41" s="375">
        <f t="shared" si="52"/>
        <v>0</v>
      </c>
      <c r="CR41" s="375">
        <v>0</v>
      </c>
      <c r="CS41" s="375">
        <f t="shared" si="53"/>
        <v>0</v>
      </c>
      <c r="CT41" s="375">
        <f t="shared" si="154"/>
        <v>3.5</v>
      </c>
      <c r="CU41" s="376">
        <f t="shared" si="55"/>
        <v>26.5</v>
      </c>
      <c r="CV41" s="373">
        <f>($IR41+(($IQ41-2)*$IS41)+$IT41)*DE41/144</f>
        <v>14.868524305555557</v>
      </c>
      <c r="CW41" s="374" t="str">
        <f t="shared" si="56"/>
        <v>(1.38)</v>
      </c>
      <c r="CX41" s="375">
        <v>2</v>
      </c>
      <c r="CY41" s="375">
        <f t="shared" si="57"/>
        <v>3.5</v>
      </c>
      <c r="CZ41" s="375">
        <v>0</v>
      </c>
      <c r="DA41" s="375">
        <f t="shared" si="58"/>
        <v>0</v>
      </c>
      <c r="DB41" s="375">
        <v>0</v>
      </c>
      <c r="DC41" s="375">
        <f t="shared" si="59"/>
        <v>0</v>
      </c>
      <c r="DD41" s="375">
        <f t="shared" si="155"/>
        <v>3.5</v>
      </c>
      <c r="DE41" s="376">
        <f t="shared" si="61"/>
        <v>32.5</v>
      </c>
      <c r="DF41" s="373">
        <f>($IR41+(($IQ41-2)*$IS41)+$IT41)*DO41/144</f>
        <v>17.61348263888889</v>
      </c>
      <c r="DG41" s="374" t="str">
        <f t="shared" si="62"/>
        <v>(1.64)</v>
      </c>
      <c r="DH41" s="375">
        <v>2</v>
      </c>
      <c r="DI41" s="375">
        <f t="shared" si="63"/>
        <v>3.5</v>
      </c>
      <c r="DJ41" s="375">
        <v>0</v>
      </c>
      <c r="DK41" s="375">
        <f t="shared" si="64"/>
        <v>0</v>
      </c>
      <c r="DL41" s="375">
        <v>0</v>
      </c>
      <c r="DM41" s="375">
        <f t="shared" si="65"/>
        <v>0</v>
      </c>
      <c r="DN41" s="375">
        <f t="shared" si="156"/>
        <v>3.5</v>
      </c>
      <c r="DO41" s="376">
        <f t="shared" si="67"/>
        <v>38.5</v>
      </c>
      <c r="DP41" s="373">
        <f>($IR41+(($IQ41-2)*$IS41)+$IT41)*DY41/144</f>
        <v>20.358440972222226</v>
      </c>
      <c r="DQ41" s="374" t="str">
        <f t="shared" si="68"/>
        <v>(1.89)</v>
      </c>
      <c r="DR41" s="375">
        <v>2</v>
      </c>
      <c r="DS41" s="375">
        <f t="shared" si="69"/>
        <v>3.5</v>
      </c>
      <c r="DT41" s="375">
        <v>0</v>
      </c>
      <c r="DU41" s="375">
        <f t="shared" si="70"/>
        <v>0</v>
      </c>
      <c r="DV41" s="375">
        <v>0</v>
      </c>
      <c r="DW41" s="375">
        <f t="shared" si="71"/>
        <v>0</v>
      </c>
      <c r="DX41" s="375">
        <f t="shared" si="157"/>
        <v>3.5</v>
      </c>
      <c r="DY41" s="376">
        <f t="shared" si="73"/>
        <v>44.5</v>
      </c>
      <c r="DZ41" s="373">
        <f>($IR41+(($IQ41-2)*$IS41)+$IT41)*EI41/144</f>
        <v>22.645906250000003</v>
      </c>
      <c r="EA41" s="374" t="str">
        <f>"("&amp;FIXED(DZ41*0.092903,2)&amp;")"</f>
        <v>(2.10)</v>
      </c>
      <c r="EB41" s="375">
        <v>2</v>
      </c>
      <c r="EC41" s="375">
        <f t="shared" si="75"/>
        <v>3.5</v>
      </c>
      <c r="ED41" s="375">
        <v>0</v>
      </c>
      <c r="EE41" s="375">
        <f t="shared" si="76"/>
        <v>0</v>
      </c>
      <c r="EF41" s="375">
        <v>1</v>
      </c>
      <c r="EG41" s="375">
        <f t="shared" si="77"/>
        <v>1</v>
      </c>
      <c r="EH41" s="375">
        <f t="shared" si="159"/>
        <v>4.5</v>
      </c>
      <c r="EI41" s="376">
        <f t="shared" si="79"/>
        <v>49.5</v>
      </c>
      <c r="EJ41" s="373">
        <f>($IR41+(($IQ41-2)*$IS41)+$IT41)*ES41/144</f>
        <v>25.390864583333336</v>
      </c>
      <c r="EK41" s="374" t="str">
        <f>"("&amp;FIXED(EJ41*0.092903,2)&amp;")"</f>
        <v>(2.36)</v>
      </c>
      <c r="EL41" s="375">
        <v>2</v>
      </c>
      <c r="EM41" s="375">
        <f t="shared" si="81"/>
        <v>3.5</v>
      </c>
      <c r="EN41" s="375">
        <v>0</v>
      </c>
      <c r="EO41" s="375">
        <f t="shared" si="82"/>
        <v>0</v>
      </c>
      <c r="EP41" s="375">
        <v>1</v>
      </c>
      <c r="EQ41" s="375">
        <f t="shared" si="83"/>
        <v>1</v>
      </c>
      <c r="ER41" s="375">
        <f t="shared" si="161"/>
        <v>4.5</v>
      </c>
      <c r="ES41" s="376">
        <f t="shared" si="85"/>
        <v>55.5</v>
      </c>
      <c r="ET41" s="373">
        <f>($IR41+(($IQ41-2)*$IS41)+$IT41)*FC41/144</f>
        <v>28.135822916666669</v>
      </c>
      <c r="EU41" s="374" t="str">
        <f>"("&amp;FIXED(ET41*0.092903,2)&amp;")"</f>
        <v>(2.61)</v>
      </c>
      <c r="EV41" s="375">
        <v>2</v>
      </c>
      <c r="EW41" s="375">
        <f t="shared" si="87"/>
        <v>3.5</v>
      </c>
      <c r="EX41" s="375">
        <v>0</v>
      </c>
      <c r="EY41" s="375">
        <f t="shared" si="88"/>
        <v>0</v>
      </c>
      <c r="EZ41" s="375">
        <v>1</v>
      </c>
      <c r="FA41" s="375">
        <f t="shared" si="89"/>
        <v>1</v>
      </c>
      <c r="FB41" s="375">
        <f t="shared" si="163"/>
        <v>4.5</v>
      </c>
      <c r="FC41" s="376">
        <f t="shared" si="91"/>
        <v>61.5</v>
      </c>
      <c r="FD41" s="373">
        <f>($IR41+(($IQ41-2)*$IS41)+$IT41)*FM41/144</f>
        <v>30.823594618055559</v>
      </c>
      <c r="FE41" s="374" t="str">
        <f>"("&amp;FIXED(FD41*0.092903,2)&amp;")"</f>
        <v>(2.86)</v>
      </c>
      <c r="FF41" s="375">
        <v>2</v>
      </c>
      <c r="FG41" s="375">
        <f t="shared" si="93"/>
        <v>3.5</v>
      </c>
      <c r="FH41" s="375">
        <v>1</v>
      </c>
      <c r="FI41" s="375">
        <f t="shared" si="94"/>
        <v>1.125</v>
      </c>
      <c r="FJ41" s="375">
        <v>0</v>
      </c>
      <c r="FK41" s="375">
        <f t="shared" si="95"/>
        <v>0</v>
      </c>
      <c r="FL41" s="375">
        <f t="shared" si="165"/>
        <v>4.625</v>
      </c>
      <c r="FM41" s="376">
        <f t="shared" si="97"/>
        <v>67.375</v>
      </c>
      <c r="FN41" s="31"/>
      <c r="FO41" s="31"/>
      <c r="FP41" s="32"/>
      <c r="FQ41" s="32"/>
      <c r="FR41" s="32"/>
      <c r="FS41" s="32"/>
      <c r="FT41" s="32"/>
      <c r="FU41" s="32"/>
      <c r="FV41" s="31"/>
      <c r="FW41" s="31"/>
      <c r="FX41" s="31"/>
      <c r="FY41" s="31"/>
      <c r="FZ41" s="31"/>
      <c r="GA41" s="31"/>
      <c r="GB41" s="31"/>
      <c r="GC41" s="31"/>
      <c r="GD41" s="31"/>
      <c r="GE41" s="31"/>
      <c r="GF41" s="31"/>
      <c r="GG41" s="31"/>
      <c r="GH41" s="31"/>
      <c r="GI41" s="31"/>
      <c r="GJ41" s="32"/>
      <c r="GK41" s="32"/>
      <c r="GL41" s="32"/>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2"/>
      <c r="HQ41" s="32"/>
      <c r="HR41" s="32"/>
      <c r="HS41" s="32"/>
      <c r="HT41" s="32"/>
      <c r="HU41" s="32"/>
      <c r="HV41" s="32"/>
      <c r="HW41" s="32"/>
      <c r="HX41" s="32"/>
      <c r="HY41" s="32"/>
      <c r="HZ41" s="32"/>
      <c r="IA41" s="32"/>
      <c r="IB41" s="32"/>
      <c r="IC41" s="32"/>
      <c r="ID41" s="32"/>
      <c r="IE41" s="32"/>
      <c r="IF41" s="31"/>
      <c r="IG41" s="31"/>
      <c r="IH41" s="32"/>
      <c r="II41" s="32"/>
      <c r="IJ41" s="32"/>
      <c r="IK41" s="32"/>
      <c r="IL41" s="32"/>
      <c r="IM41" s="32"/>
      <c r="IN41" s="33"/>
      <c r="IO41" s="33"/>
      <c r="IP41" s="33"/>
      <c r="IQ41" s="25">
        <f t="shared" si="146"/>
        <v>23</v>
      </c>
      <c r="IR41" s="26">
        <v>2.5</v>
      </c>
      <c r="IS41" s="26">
        <v>2.8780000000000001</v>
      </c>
      <c r="IT41" s="26">
        <f>0.458+2.483</f>
        <v>2.9410000000000003</v>
      </c>
      <c r="IU41" s="26">
        <v>1.75</v>
      </c>
      <c r="IV41" s="26">
        <v>1</v>
      </c>
      <c r="IW41" s="26">
        <v>1.125</v>
      </c>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28"/>
      <c r="BR42" s="329"/>
      <c r="BS42" s="328"/>
      <c r="BT42" s="328"/>
      <c r="BU42" s="328"/>
      <c r="BV42" s="328"/>
      <c r="BW42" s="328"/>
      <c r="BX42" s="328"/>
      <c r="BY42" s="328"/>
      <c r="BZ42" s="328"/>
      <c r="CA42" s="328"/>
      <c r="CB42" s="37"/>
      <c r="CC42" s="38"/>
      <c r="CD42" s="38"/>
      <c r="CE42" s="38"/>
      <c r="CF42" s="38"/>
      <c r="CG42" s="38"/>
      <c r="CH42" s="38"/>
      <c r="CI42" s="38"/>
      <c r="CJ42" s="38"/>
      <c r="CK42" s="38"/>
      <c r="CL42" s="37"/>
      <c r="CM42" s="38"/>
      <c r="CN42" s="38"/>
      <c r="CO42" s="38"/>
      <c r="CP42" s="38"/>
      <c r="CQ42" s="38"/>
      <c r="CR42" s="38"/>
      <c r="CS42" s="38"/>
      <c r="CT42" s="38"/>
      <c r="CU42" s="38"/>
      <c r="CV42" s="329"/>
      <c r="CW42" s="328"/>
      <c r="CX42" s="328"/>
      <c r="CY42" s="328"/>
      <c r="CZ42" s="328"/>
      <c r="DA42" s="328"/>
      <c r="DB42" s="328"/>
      <c r="DC42" s="328"/>
      <c r="DD42" s="328"/>
      <c r="DE42" s="328"/>
      <c r="DF42" s="329"/>
      <c r="DG42" s="328"/>
      <c r="DH42" s="328"/>
      <c r="DI42" s="328"/>
      <c r="DJ42" s="328"/>
      <c r="DK42" s="328"/>
      <c r="DL42" s="328"/>
      <c r="DM42" s="328"/>
      <c r="DN42" s="328"/>
      <c r="DO42" s="328"/>
      <c r="DP42" s="37"/>
      <c r="DQ42" s="38"/>
      <c r="DR42" s="38"/>
      <c r="DS42" s="38"/>
      <c r="DT42" s="38"/>
      <c r="DU42" s="38"/>
      <c r="DV42" s="38"/>
      <c r="DW42" s="38"/>
      <c r="DX42" s="38"/>
      <c r="DY42" s="38"/>
      <c r="DZ42" s="37"/>
      <c r="EA42" s="38"/>
      <c r="EB42" s="38"/>
      <c r="EC42" s="38"/>
      <c r="ED42" s="38"/>
      <c r="EE42" s="38"/>
      <c r="EF42" s="38"/>
      <c r="EG42" s="38"/>
      <c r="EH42" s="38"/>
      <c r="EI42" s="38"/>
      <c r="EJ42" s="329"/>
      <c r="EK42" s="328"/>
      <c r="EL42" s="328"/>
      <c r="EM42" s="328"/>
      <c r="EN42" s="328"/>
      <c r="EO42" s="328"/>
      <c r="EP42" s="328"/>
      <c r="EQ42" s="328"/>
      <c r="ER42" s="328"/>
      <c r="ES42" s="328"/>
      <c r="ET42" s="37"/>
      <c r="EU42" s="38"/>
      <c r="EV42" s="38"/>
      <c r="EW42" s="38"/>
      <c r="EX42" s="38"/>
      <c r="EY42" s="38"/>
      <c r="EZ42" s="38"/>
      <c r="FA42" s="38"/>
      <c r="FB42" s="38"/>
      <c r="FC42" s="38"/>
      <c r="FD42" s="329"/>
      <c r="FE42" s="328"/>
      <c r="FF42" s="328"/>
      <c r="FG42" s="328"/>
      <c r="FH42" s="328"/>
      <c r="FI42" s="328"/>
      <c r="FJ42" s="328"/>
      <c r="FK42" s="328"/>
      <c r="FL42" s="328"/>
      <c r="FM42" s="32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c r="BL44" s="196"/>
      <c r="BM44" s="196"/>
      <c r="BN44" s="195"/>
      <c r="BO44" s="196"/>
      <c r="BP44" s="196"/>
      <c r="BQ44" s="196"/>
      <c r="BR44" s="196"/>
      <c r="BS44" s="196"/>
      <c r="BT44" s="196"/>
      <c r="BU44" s="196"/>
      <c r="BV44" s="196"/>
      <c r="BW44" s="196"/>
      <c r="BX44" s="195"/>
      <c r="BY44" s="196"/>
      <c r="BZ44" s="196"/>
      <c r="CA44" s="196"/>
      <c r="CB44" s="196"/>
      <c r="CC44" s="196"/>
      <c r="CD44" s="196"/>
      <c r="CE44" s="196"/>
      <c r="CF44" s="196"/>
      <c r="CG44" s="196"/>
      <c r="CH44" s="195"/>
      <c r="CI44" s="196"/>
      <c r="CJ44" s="196"/>
      <c r="CK44" s="196"/>
      <c r="CL44" s="196"/>
      <c r="CM44" s="196"/>
      <c r="CN44" s="196"/>
      <c r="CO44" s="196"/>
      <c r="CP44" s="196"/>
      <c r="CQ44" s="196"/>
      <c r="CR44" s="195"/>
      <c r="CS44" s="196"/>
      <c r="CT44" s="196"/>
      <c r="CU44" s="196"/>
      <c r="CV44" s="196"/>
      <c r="CW44" s="196"/>
      <c r="CX44" s="196"/>
      <c r="CY44" s="196"/>
      <c r="CZ44" s="196"/>
      <c r="DA44" s="196"/>
      <c r="DB44" s="195"/>
      <c r="DC44" s="196"/>
      <c r="DD44" s="196"/>
      <c r="DE44" s="196"/>
      <c r="DF44" s="196"/>
      <c r="DG44" s="196"/>
      <c r="DH44" s="196"/>
      <c r="DI44" s="196"/>
      <c r="DJ44" s="196"/>
      <c r="DK44" s="196"/>
      <c r="DL44" s="195"/>
      <c r="DM44" s="196"/>
      <c r="DN44" s="196"/>
      <c r="DO44" s="196"/>
      <c r="DP44" s="196"/>
      <c r="DQ44" s="196"/>
      <c r="DR44" s="196"/>
      <c r="DS44" s="196"/>
      <c r="DT44" s="196"/>
      <c r="DU44" s="196"/>
      <c r="DV44" s="195"/>
      <c r="DW44" s="196"/>
      <c r="DX44" s="196"/>
      <c r="DY44" s="196"/>
      <c r="DZ44" s="196"/>
      <c r="EA44" s="196"/>
      <c r="EB44" s="196"/>
      <c r="EC44" s="196"/>
      <c r="ED44" s="196"/>
      <c r="EE44" s="196"/>
      <c r="EF44" s="195"/>
      <c r="EG44" s="196"/>
      <c r="EH44" s="196"/>
      <c r="EI44" s="196"/>
      <c r="EJ44" s="196"/>
      <c r="EK44" s="196"/>
      <c r="EL44" s="196"/>
      <c r="EM44" s="196"/>
      <c r="EN44" s="196"/>
      <c r="EO44" s="196"/>
      <c r="EP44" s="195"/>
      <c r="EQ44" s="196"/>
      <c r="ER44" s="196"/>
      <c r="ES44" s="196"/>
      <c r="ET44" s="196"/>
      <c r="EU44" s="196"/>
      <c r="EV44" s="196"/>
      <c r="EW44" s="196"/>
      <c r="EX44" s="196"/>
      <c r="EY44" s="196"/>
      <c r="EZ44" s="195"/>
      <c r="FA44" s="196"/>
      <c r="FB44" s="196"/>
      <c r="FC44" s="196"/>
      <c r="FD44" s="196"/>
      <c r="FE44" s="196"/>
      <c r="FF44" s="196"/>
      <c r="FG44" s="196"/>
      <c r="FH44" s="196"/>
      <c r="FI44" s="196"/>
      <c r="FJ44" s="195"/>
      <c r="FK44" s="196"/>
      <c r="FL44" s="196"/>
      <c r="FM44" s="196"/>
      <c r="FN44" s="196"/>
      <c r="FO44" s="196"/>
      <c r="FP44" s="196"/>
      <c r="FQ44" s="196"/>
      <c r="FR44" s="196"/>
      <c r="FS44" s="196"/>
      <c r="FT44" s="195"/>
      <c r="FU44" s="196"/>
      <c r="FV44" s="196"/>
      <c r="FW44" s="196"/>
      <c r="FX44" s="196"/>
      <c r="FY44" s="196"/>
      <c r="FZ44" s="196"/>
      <c r="GA44" s="196"/>
      <c r="GB44" s="196"/>
      <c r="GC44" s="196"/>
      <c r="GD44" s="195"/>
      <c r="GE44" s="196"/>
      <c r="GF44" s="196"/>
      <c r="GG44" s="196"/>
      <c r="GH44" s="196"/>
      <c r="GI44" s="196"/>
      <c r="GJ44" s="196"/>
      <c r="GK44" s="196"/>
      <c r="GL44" s="196"/>
      <c r="GM44" s="196"/>
      <c r="GN44" s="195"/>
      <c r="GO44" s="196"/>
      <c r="GP44" s="196"/>
      <c r="GQ44" s="196"/>
      <c r="GR44" s="196"/>
      <c r="GS44" s="196"/>
      <c r="GT44" s="196"/>
      <c r="GU44" s="196"/>
      <c r="GV44" s="337"/>
      <c r="GW44" s="337"/>
      <c r="GX44" s="337"/>
      <c r="GY44" s="337"/>
      <c r="GZ44" s="337"/>
      <c r="HA44" s="337"/>
      <c r="HB44" s="337"/>
      <c r="HC44" s="337"/>
      <c r="HD44" s="337"/>
      <c r="HE44" s="337"/>
      <c r="HF44" s="337"/>
    </row>
    <row r="45" spans="2:258" ht="19.5" thickBot="1" x14ac:dyDescent="0.35">
      <c r="B45" s="272" t="s">
        <v>41</v>
      </c>
      <c r="C45" s="147" t="e">
        <f>C9</f>
        <v>#VALUE!</v>
      </c>
      <c r="D45" s="73"/>
      <c r="E45" s="73"/>
      <c r="F45" s="73"/>
      <c r="G45" s="73"/>
      <c r="H45" s="73"/>
      <c r="I45" s="73"/>
      <c r="J45" s="73"/>
      <c r="K45" s="73"/>
      <c r="L45" s="273"/>
      <c r="N45" s="881" t="s">
        <v>191</v>
      </c>
      <c r="O45" s="151"/>
      <c r="P45" s="95"/>
      <c r="Q45" s="251">
        <v>9</v>
      </c>
      <c r="R45" s="157">
        <v>12</v>
      </c>
      <c r="S45" s="157">
        <f t="shared" ref="S45:AJ45" si="192">R45+6</f>
        <v>18</v>
      </c>
      <c r="T45" s="157">
        <f t="shared" si="192"/>
        <v>24</v>
      </c>
      <c r="U45" s="157">
        <f t="shared" si="192"/>
        <v>30</v>
      </c>
      <c r="V45" s="157">
        <f t="shared" si="192"/>
        <v>36</v>
      </c>
      <c r="W45" s="157">
        <f t="shared" si="192"/>
        <v>42</v>
      </c>
      <c r="X45" s="157">
        <f t="shared" si="192"/>
        <v>48</v>
      </c>
      <c r="Y45" s="157">
        <f t="shared" si="192"/>
        <v>54</v>
      </c>
      <c r="Z45" s="157">
        <f t="shared" si="192"/>
        <v>60</v>
      </c>
      <c r="AA45" s="157">
        <f t="shared" si="192"/>
        <v>66</v>
      </c>
      <c r="AB45" s="157">
        <f t="shared" si="192"/>
        <v>72</v>
      </c>
      <c r="AC45" s="157">
        <f t="shared" si="192"/>
        <v>78</v>
      </c>
      <c r="AD45" s="157">
        <f t="shared" si="192"/>
        <v>84</v>
      </c>
      <c r="AE45" s="157">
        <f t="shared" si="192"/>
        <v>90</v>
      </c>
      <c r="AF45" s="157">
        <f t="shared" si="192"/>
        <v>96</v>
      </c>
      <c r="AG45" s="157">
        <f t="shared" si="192"/>
        <v>102</v>
      </c>
      <c r="AH45" s="157">
        <f t="shared" si="192"/>
        <v>108</v>
      </c>
      <c r="AI45" s="157">
        <f t="shared" si="192"/>
        <v>114</v>
      </c>
      <c r="AJ45" s="157">
        <f t="shared" si="192"/>
        <v>120</v>
      </c>
      <c r="AK45" s="150"/>
      <c r="AL45" s="150"/>
      <c r="AM45" s="150"/>
      <c r="AN45" s="150"/>
      <c r="AO45" s="150"/>
      <c r="AP45" s="150"/>
      <c r="AQ45" s="158"/>
    </row>
    <row r="46" spans="2:258" ht="18.75" customHeight="1" thickBot="1" x14ac:dyDescent="0.35">
      <c r="B46" s="228" t="s">
        <v>42</v>
      </c>
      <c r="C46" s="148" t="e">
        <f>F9</f>
        <v>#VALUE!</v>
      </c>
      <c r="E46" s="71"/>
      <c r="F46" s="71"/>
      <c r="G46" s="71"/>
      <c r="H46" s="71"/>
      <c r="I46" s="71"/>
      <c r="J46" s="71"/>
      <c r="K46" s="71"/>
      <c r="L46" s="75"/>
      <c r="N46" s="882"/>
      <c r="O46" s="67"/>
      <c r="P46" s="300">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21.75" thickBot="1" x14ac:dyDescent="0.4">
      <c r="B47" s="234" t="s">
        <v>77</v>
      </c>
      <c r="C47" s="71"/>
      <c r="D47" s="71"/>
      <c r="E47" s="71"/>
      <c r="F47" s="71"/>
      <c r="G47" s="71"/>
      <c r="H47" s="71"/>
      <c r="I47" s="71"/>
      <c r="J47" s="71"/>
      <c r="K47" s="71"/>
      <c r="L47" s="75"/>
      <c r="N47" s="305">
        <v>1.57</v>
      </c>
      <c r="O47" s="251">
        <f>F12</f>
        <v>10.5</v>
      </c>
      <c r="P47" s="301">
        <v>2</v>
      </c>
      <c r="Q47" s="299">
        <v>2.92</v>
      </c>
      <c r="R47" s="255">
        <v>3.7</v>
      </c>
      <c r="S47" s="255">
        <v>5.27</v>
      </c>
      <c r="T47" s="255">
        <v>6.83</v>
      </c>
      <c r="U47" s="255">
        <v>8.4</v>
      </c>
      <c r="V47" s="255">
        <v>9.9700000000000006</v>
      </c>
      <c r="W47" s="255">
        <v>11.54</v>
      </c>
      <c r="X47" s="255">
        <v>13.1</v>
      </c>
      <c r="Y47" s="255">
        <v>14.67</v>
      </c>
      <c r="Z47" s="255">
        <v>16.239999999999998</v>
      </c>
      <c r="AA47" s="255">
        <v>17.809999999999999</v>
      </c>
      <c r="AB47" s="255">
        <v>19.37</v>
      </c>
      <c r="AC47" s="255">
        <v>20.94</v>
      </c>
      <c r="AD47" s="255">
        <v>22.51</v>
      </c>
      <c r="AE47" s="255">
        <v>24.08</v>
      </c>
      <c r="AF47" s="255">
        <v>25.64</v>
      </c>
      <c r="AG47" s="255">
        <v>27.21</v>
      </c>
      <c r="AH47" s="255">
        <v>28.78</v>
      </c>
      <c r="AI47" s="255">
        <v>30.34</v>
      </c>
      <c r="AJ47" s="255">
        <v>31.91</v>
      </c>
      <c r="AK47" s="150"/>
      <c r="AL47" s="150"/>
      <c r="AM47" s="150"/>
      <c r="AN47" s="150"/>
      <c r="AO47" s="150"/>
      <c r="AP47" s="150"/>
      <c r="AQ47" s="158"/>
    </row>
    <row r="48" spans="2:258" ht="15" customHeight="1" thickBot="1" x14ac:dyDescent="0.3">
      <c r="B48" s="78"/>
      <c r="D48" s="71"/>
      <c r="E48" s="71"/>
      <c r="F48" s="71"/>
      <c r="G48" s="71"/>
      <c r="H48" s="71"/>
      <c r="I48" s="71"/>
      <c r="J48" s="71"/>
      <c r="K48" s="71"/>
      <c r="L48" s="75"/>
      <c r="N48" s="176">
        <v>1.5699999999999998</v>
      </c>
      <c r="O48" s="162">
        <v>12</v>
      </c>
      <c r="P48" s="302">
        <v>3</v>
      </c>
      <c r="Q48" s="149">
        <v>3.12</v>
      </c>
      <c r="R48" s="153">
        <v>3.9</v>
      </c>
      <c r="S48" s="153">
        <v>5.47</v>
      </c>
      <c r="T48" s="153">
        <v>7.03</v>
      </c>
      <c r="U48" s="153">
        <f t="shared" ref="U48:AI48" si="193">T48+$N48</f>
        <v>8.6</v>
      </c>
      <c r="V48" s="153">
        <f t="shared" si="193"/>
        <v>10.17</v>
      </c>
      <c r="W48" s="153">
        <f t="shared" si="193"/>
        <v>11.74</v>
      </c>
      <c r="X48" s="153">
        <f t="shared" si="193"/>
        <v>13.31</v>
      </c>
      <c r="Y48" s="153">
        <f t="shared" si="193"/>
        <v>14.88</v>
      </c>
      <c r="Z48" s="153">
        <f t="shared" si="193"/>
        <v>16.45</v>
      </c>
      <c r="AA48" s="153">
        <f t="shared" si="193"/>
        <v>18.02</v>
      </c>
      <c r="AB48" s="153">
        <f t="shared" si="193"/>
        <v>19.59</v>
      </c>
      <c r="AC48" s="153">
        <f t="shared" si="193"/>
        <v>21.16</v>
      </c>
      <c r="AD48" s="153">
        <f t="shared" si="193"/>
        <v>22.73</v>
      </c>
      <c r="AE48" s="153">
        <f t="shared" si="193"/>
        <v>24.3</v>
      </c>
      <c r="AF48" s="153">
        <f t="shared" si="193"/>
        <v>25.87</v>
      </c>
      <c r="AG48" s="153">
        <f t="shared" si="193"/>
        <v>27.44</v>
      </c>
      <c r="AH48" s="153">
        <f t="shared" si="193"/>
        <v>29.01</v>
      </c>
      <c r="AI48" s="153">
        <f t="shared" si="193"/>
        <v>30.580000000000002</v>
      </c>
      <c r="AJ48" s="153">
        <v>32.11</v>
      </c>
      <c r="AK48" s="64"/>
      <c r="AL48" s="154"/>
      <c r="AM48" s="154" t="e">
        <f>D51</f>
        <v>#VALUE!</v>
      </c>
      <c r="AN48" s="155" t="e">
        <f>C45</f>
        <v>#VALUE!</v>
      </c>
      <c r="AO48" s="154" t="e">
        <f>E51</f>
        <v>#VALUE!</v>
      </c>
      <c r="AP48" s="64"/>
      <c r="AQ48" s="65"/>
      <c r="CL48" s="83"/>
      <c r="CM48" s="83"/>
      <c r="CN48" s="83"/>
      <c r="CO48" s="83"/>
      <c r="CP48" s="83"/>
      <c r="CQ48" s="83"/>
      <c r="CR48" s="83"/>
      <c r="CS48" s="83"/>
    </row>
    <row r="49" spans="2:98" ht="15" customHeight="1" thickBot="1" x14ac:dyDescent="0.3">
      <c r="B49" s="78"/>
      <c r="C49" s="124"/>
      <c r="D49" s="125" t="s">
        <v>35</v>
      </c>
      <c r="E49" s="126"/>
      <c r="F49" s="126"/>
      <c r="G49" s="128"/>
      <c r="H49" s="125" t="s">
        <v>36</v>
      </c>
      <c r="I49" s="127"/>
      <c r="J49" s="71"/>
      <c r="K49" s="71"/>
      <c r="L49" s="75"/>
      <c r="N49" s="103">
        <v>1.94</v>
      </c>
      <c r="O49" s="162">
        <f t="shared" ref="O49:O66" si="194">O48+6</f>
        <v>18</v>
      </c>
      <c r="P49" s="302">
        <v>4</v>
      </c>
      <c r="Q49" s="149">
        <v>4.28</v>
      </c>
      <c r="R49" s="153">
        <v>5.25</v>
      </c>
      <c r="S49" s="153">
        <v>7.18</v>
      </c>
      <c r="T49" s="153">
        <v>9.1199999999999992</v>
      </c>
      <c r="U49" s="153">
        <f t="shared" ref="U49:AI49" si="195">T49+$N49</f>
        <v>11.059999999999999</v>
      </c>
      <c r="V49" s="153">
        <f t="shared" si="195"/>
        <v>12.999999999999998</v>
      </c>
      <c r="W49" s="153">
        <f t="shared" si="195"/>
        <v>14.939999999999998</v>
      </c>
      <c r="X49" s="153">
        <f t="shared" si="195"/>
        <v>16.88</v>
      </c>
      <c r="Y49" s="153">
        <f t="shared" si="195"/>
        <v>18.82</v>
      </c>
      <c r="Z49" s="153">
        <f t="shared" si="195"/>
        <v>20.76</v>
      </c>
      <c r="AA49" s="153">
        <f t="shared" si="195"/>
        <v>22.700000000000003</v>
      </c>
      <c r="AB49" s="153">
        <f t="shared" si="195"/>
        <v>24.640000000000004</v>
      </c>
      <c r="AC49" s="153">
        <f t="shared" si="195"/>
        <v>26.580000000000005</v>
      </c>
      <c r="AD49" s="153">
        <f t="shared" si="195"/>
        <v>28.520000000000007</v>
      </c>
      <c r="AE49" s="153">
        <f t="shared" si="195"/>
        <v>30.460000000000008</v>
      </c>
      <c r="AF49" s="153">
        <f t="shared" si="195"/>
        <v>32.400000000000006</v>
      </c>
      <c r="AG49" s="153">
        <f t="shared" si="195"/>
        <v>34.340000000000003</v>
      </c>
      <c r="AH49" s="153">
        <f t="shared" si="195"/>
        <v>36.28</v>
      </c>
      <c r="AI49" s="153">
        <f t="shared" si="195"/>
        <v>38.22</v>
      </c>
      <c r="AJ49" s="153">
        <v>40.090000000000003</v>
      </c>
      <c r="AK49" s="96"/>
      <c r="AL49" s="154" t="e">
        <f>H51</f>
        <v>#VALUE!</v>
      </c>
      <c r="AM49" s="155" t="e">
        <f>INDEX(P46:AJ66,$H$52,$D$52)</f>
        <v>#VALUE!</v>
      </c>
      <c r="AN49" s="155" t="e">
        <f>(((AN48-AM48)/(AO48-AM48))*(AO49-AM49))+AM49</f>
        <v>#VALUE!</v>
      </c>
      <c r="AO49" s="155" t="e">
        <f>INDEX(P46:AJ66,$H$52,$E$52)</f>
        <v>#VALUE!</v>
      </c>
      <c r="AP49" s="64"/>
      <c r="AQ49" s="65"/>
      <c r="CL49" s="83"/>
      <c r="CM49" s="83"/>
      <c r="CN49" s="83"/>
      <c r="CO49" s="83"/>
      <c r="CP49" s="83"/>
      <c r="CQ49" s="83"/>
      <c r="CR49" s="83"/>
      <c r="CS49" s="83"/>
    </row>
    <row r="50" spans="2:98" ht="16.5" thickBot="1" x14ac:dyDescent="0.3">
      <c r="B50" s="78"/>
      <c r="C50" s="120"/>
      <c r="D50" s="121" t="s">
        <v>78</v>
      </c>
      <c r="E50" s="122" t="s">
        <v>79</v>
      </c>
      <c r="F50" s="122"/>
      <c r="G50" s="129"/>
      <c r="H50" s="121" t="s">
        <v>78</v>
      </c>
      <c r="I50" s="123" t="s">
        <v>79</v>
      </c>
      <c r="J50" s="71"/>
      <c r="K50" s="71"/>
      <c r="L50" s="75"/>
      <c r="N50" s="103">
        <v>2.2999999999999998</v>
      </c>
      <c r="O50" s="162">
        <f t="shared" si="194"/>
        <v>24</v>
      </c>
      <c r="P50" s="302">
        <v>5</v>
      </c>
      <c r="Q50" s="149">
        <v>5.44</v>
      </c>
      <c r="R50" s="153">
        <v>6.6</v>
      </c>
      <c r="S50" s="153">
        <v>8.9</v>
      </c>
      <c r="T50" s="153">
        <v>11.2</v>
      </c>
      <c r="U50" s="153">
        <f t="shared" ref="U50:AI50" si="196">T50+$N50</f>
        <v>13.5</v>
      </c>
      <c r="V50" s="153">
        <f t="shared" si="196"/>
        <v>15.8</v>
      </c>
      <c r="W50" s="153">
        <f t="shared" si="196"/>
        <v>18.100000000000001</v>
      </c>
      <c r="X50" s="153">
        <f t="shared" si="196"/>
        <v>20.400000000000002</v>
      </c>
      <c r="Y50" s="153">
        <f t="shared" si="196"/>
        <v>22.700000000000003</v>
      </c>
      <c r="Z50" s="153">
        <f t="shared" si="196"/>
        <v>25.000000000000004</v>
      </c>
      <c r="AA50" s="153">
        <f t="shared" si="196"/>
        <v>27.300000000000004</v>
      </c>
      <c r="AB50" s="153">
        <f t="shared" si="196"/>
        <v>29.600000000000005</v>
      </c>
      <c r="AC50" s="153">
        <f t="shared" si="196"/>
        <v>31.900000000000006</v>
      </c>
      <c r="AD50" s="153">
        <f t="shared" si="196"/>
        <v>34.200000000000003</v>
      </c>
      <c r="AE50" s="153">
        <f t="shared" si="196"/>
        <v>36.5</v>
      </c>
      <c r="AF50" s="153">
        <f t="shared" si="196"/>
        <v>38.799999999999997</v>
      </c>
      <c r="AG50" s="153">
        <f t="shared" si="196"/>
        <v>41.099999999999994</v>
      </c>
      <c r="AH50" s="153">
        <f t="shared" si="196"/>
        <v>43.399999999999991</v>
      </c>
      <c r="AI50" s="153">
        <f t="shared" si="196"/>
        <v>45.699999999999989</v>
      </c>
      <c r="AJ50" s="153">
        <v>48.08</v>
      </c>
      <c r="AK50" s="64"/>
      <c r="AL50" s="154" t="e">
        <f>C46</f>
        <v>#VALUE!</v>
      </c>
      <c r="AM50" s="155" t="e">
        <f>(((AL50-AL49)/(AL51-AL49))*(AM51-AM49))+AM49</f>
        <v>#VALUE!</v>
      </c>
      <c r="AN50" s="156" t="e">
        <f>IF(AND(AN48&gt;72,AL50&gt;72),5/0,IF(AN48=120,AM50,(((AN49-AM49)/(AO49-AM49))*(AO50-AM50))+AM50))</f>
        <v>#VALUE!</v>
      </c>
      <c r="AO50" s="155" t="e">
        <f>(((AL50-AL49)/(AL51-AL49))*(AO51-AO49))+AO49</f>
        <v>#VALUE!</v>
      </c>
      <c r="AP50" s="64"/>
      <c r="AQ50" s="65"/>
      <c r="CL50" s="83"/>
      <c r="CM50" s="83"/>
      <c r="CN50" s="83"/>
      <c r="CO50" s="83"/>
      <c r="CP50" s="83"/>
      <c r="CQ50" s="83"/>
      <c r="CR50" s="83"/>
      <c r="CS50" s="83"/>
    </row>
    <row r="51" spans="2:98" ht="16.5" thickBot="1" x14ac:dyDescent="0.3">
      <c r="B51" s="78"/>
      <c r="C51" s="118"/>
      <c r="D51" s="116" t="e">
        <f>IF(AND(C45&lt;12,C45&gt;=9),9,FLOOR(C45/6,1)*6)</f>
        <v>#VALUE!</v>
      </c>
      <c r="E51" s="112" t="e">
        <f>IF(D51&lt;12,12,D51+6)</f>
        <v>#VALUE!</v>
      </c>
      <c r="F51" s="112"/>
      <c r="G51" s="130"/>
      <c r="H51" s="116" t="e">
        <f>IF(AND(C46&lt;12,C46&gt;=F12),F12,FLOOR(C46/6,1)*6)</f>
        <v>#VALUE!</v>
      </c>
      <c r="I51" s="113" t="e">
        <f>IF(H51&lt;12,12,H51+6)</f>
        <v>#VALUE!</v>
      </c>
      <c r="J51" s="71"/>
      <c r="K51" s="71"/>
      <c r="L51" s="75"/>
      <c r="N51" s="103">
        <v>3.04</v>
      </c>
      <c r="O51" s="162">
        <f t="shared" si="194"/>
        <v>30</v>
      </c>
      <c r="P51" s="302">
        <v>6</v>
      </c>
      <c r="Q51" s="149">
        <v>6.98</v>
      </c>
      <c r="R51" s="153">
        <v>8.5</v>
      </c>
      <c r="S51" s="153">
        <v>11.54</v>
      </c>
      <c r="T51" s="153">
        <v>14.58</v>
      </c>
      <c r="U51" s="153">
        <f t="shared" ref="U51:AI51" si="197">T51+$N51</f>
        <v>17.62</v>
      </c>
      <c r="V51" s="153">
        <f t="shared" si="197"/>
        <v>20.66</v>
      </c>
      <c r="W51" s="153">
        <f t="shared" si="197"/>
        <v>23.7</v>
      </c>
      <c r="X51" s="153">
        <f t="shared" si="197"/>
        <v>26.74</v>
      </c>
      <c r="Y51" s="153">
        <f t="shared" si="197"/>
        <v>29.779999999999998</v>
      </c>
      <c r="Z51" s="153">
        <f t="shared" si="197"/>
        <v>32.82</v>
      </c>
      <c r="AA51" s="153">
        <f t="shared" si="197"/>
        <v>35.86</v>
      </c>
      <c r="AB51" s="153">
        <f t="shared" si="197"/>
        <v>38.9</v>
      </c>
      <c r="AC51" s="153">
        <f t="shared" si="197"/>
        <v>41.94</v>
      </c>
      <c r="AD51" s="153">
        <f t="shared" si="197"/>
        <v>44.98</v>
      </c>
      <c r="AE51" s="153">
        <f t="shared" si="197"/>
        <v>48.019999999999996</v>
      </c>
      <c r="AF51" s="153">
        <f t="shared" si="197"/>
        <v>51.059999999999995</v>
      </c>
      <c r="AG51" s="153">
        <f t="shared" si="197"/>
        <v>54.099999999999994</v>
      </c>
      <c r="AH51" s="153">
        <f t="shared" si="197"/>
        <v>57.139999999999993</v>
      </c>
      <c r="AI51" s="153">
        <f t="shared" si="197"/>
        <v>60.179999999999993</v>
      </c>
      <c r="AJ51" s="153">
        <v>63.25</v>
      </c>
      <c r="AK51" s="64"/>
      <c r="AL51" s="154" t="e">
        <f>I51</f>
        <v>#VALUE!</v>
      </c>
      <c r="AM51" s="155" t="e">
        <f>INDEX(P46:AJ66,$I$52,$D$52)</f>
        <v>#VALUE!</v>
      </c>
      <c r="AN51" s="155" t="e">
        <f>(((AN48-AM48)/(AO48-AM48))*(AO51-AM51))+AM51</f>
        <v>#VALUE!</v>
      </c>
      <c r="AO51" s="155" t="e">
        <f>INDEX(P46:AJ66,$I$52,$E$52)</f>
        <v>#VALUE!</v>
      </c>
      <c r="AP51" s="64"/>
      <c r="AQ51" s="65"/>
      <c r="CL51" s="83"/>
      <c r="CM51" s="83"/>
      <c r="CN51" s="83"/>
      <c r="CO51" s="83"/>
      <c r="CP51" s="83"/>
      <c r="CQ51" s="83"/>
      <c r="CR51" s="83"/>
      <c r="CS51" s="83"/>
    </row>
    <row r="52" spans="2:98"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3.42</v>
      </c>
      <c r="O52" s="162">
        <f t="shared" si="194"/>
        <v>36</v>
      </c>
      <c r="P52" s="302">
        <v>7</v>
      </c>
      <c r="Q52" s="149">
        <v>8.14</v>
      </c>
      <c r="R52" s="153">
        <v>9.84</v>
      </c>
      <c r="S52" s="153">
        <v>13.25</v>
      </c>
      <c r="T52" s="153">
        <v>16.670000000000002</v>
      </c>
      <c r="U52" s="153">
        <f t="shared" ref="U52:X65" si="198">T52+$N52</f>
        <v>20.090000000000003</v>
      </c>
      <c r="V52" s="153">
        <f t="shared" si="198"/>
        <v>23.510000000000005</v>
      </c>
      <c r="W52" s="153">
        <f t="shared" si="198"/>
        <v>26.930000000000007</v>
      </c>
      <c r="X52" s="153">
        <f t="shared" si="198"/>
        <v>30.350000000000009</v>
      </c>
      <c r="Y52" s="153">
        <v>33.72</v>
      </c>
      <c r="Z52" s="153">
        <f t="shared" ref="Z52:AI52" si="199">Y52+$N52</f>
        <v>37.14</v>
      </c>
      <c r="AA52" s="153">
        <f t="shared" si="199"/>
        <v>40.56</v>
      </c>
      <c r="AB52" s="153">
        <f t="shared" si="199"/>
        <v>43.980000000000004</v>
      </c>
      <c r="AC52" s="153">
        <f t="shared" si="199"/>
        <v>47.400000000000006</v>
      </c>
      <c r="AD52" s="153">
        <f t="shared" si="199"/>
        <v>50.820000000000007</v>
      </c>
      <c r="AE52" s="153">
        <f t="shared" si="199"/>
        <v>54.240000000000009</v>
      </c>
      <c r="AF52" s="153">
        <f t="shared" si="199"/>
        <v>57.660000000000011</v>
      </c>
      <c r="AG52" s="153">
        <f t="shared" si="199"/>
        <v>61.080000000000013</v>
      </c>
      <c r="AH52" s="153">
        <f t="shared" si="199"/>
        <v>64.500000000000014</v>
      </c>
      <c r="AI52" s="153">
        <f t="shared" si="199"/>
        <v>67.920000000000016</v>
      </c>
      <c r="AJ52" s="153">
        <v>71.23</v>
      </c>
      <c r="AK52" s="64"/>
      <c r="AL52" s="64"/>
      <c r="AM52" s="64"/>
      <c r="AN52" s="64"/>
      <c r="AO52" s="64"/>
      <c r="AP52" s="64"/>
      <c r="AQ52" s="65"/>
      <c r="CL52" s="83"/>
      <c r="CM52" s="83"/>
      <c r="CN52" s="83"/>
      <c r="CO52" s="83"/>
      <c r="CP52" s="83"/>
      <c r="CQ52" s="83"/>
      <c r="CR52" s="83"/>
      <c r="CS52" s="83"/>
    </row>
    <row r="53" spans="2:98" ht="24" thickBot="1" x14ac:dyDescent="0.4">
      <c r="B53" s="78"/>
      <c r="C53" s="119"/>
      <c r="D53" s="117"/>
      <c r="E53" s="114"/>
      <c r="F53" s="114"/>
      <c r="G53" s="131"/>
      <c r="H53" s="117"/>
      <c r="I53" s="115"/>
      <c r="J53" s="71"/>
      <c r="K53" s="71"/>
      <c r="L53" s="75"/>
      <c r="N53" s="103">
        <v>3.78</v>
      </c>
      <c r="O53" s="162">
        <f t="shared" si="194"/>
        <v>42</v>
      </c>
      <c r="P53" s="302">
        <v>8</v>
      </c>
      <c r="Q53" s="149">
        <v>9.3000000000000007</v>
      </c>
      <c r="R53" s="153">
        <v>11.19</v>
      </c>
      <c r="S53" s="153">
        <v>14.97</v>
      </c>
      <c r="T53" s="153">
        <v>18.75</v>
      </c>
      <c r="U53" s="153">
        <f t="shared" si="198"/>
        <v>22.53</v>
      </c>
      <c r="V53" s="153">
        <f t="shared" si="198"/>
        <v>26.310000000000002</v>
      </c>
      <c r="W53" s="153">
        <f t="shared" si="198"/>
        <v>30.090000000000003</v>
      </c>
      <c r="X53" s="153">
        <f t="shared" si="198"/>
        <v>33.870000000000005</v>
      </c>
      <c r="Y53" s="153">
        <f>X53+$N53</f>
        <v>37.650000000000006</v>
      </c>
      <c r="Z53" s="153">
        <f t="shared" ref="Z53:AI53" si="200">Y53+$N53</f>
        <v>41.430000000000007</v>
      </c>
      <c r="AA53" s="153">
        <f t="shared" si="200"/>
        <v>45.210000000000008</v>
      </c>
      <c r="AB53" s="153">
        <f t="shared" si="200"/>
        <v>48.990000000000009</v>
      </c>
      <c r="AC53" s="153">
        <f t="shared" si="200"/>
        <v>52.77000000000001</v>
      </c>
      <c r="AD53" s="153">
        <f t="shared" si="200"/>
        <v>56.550000000000011</v>
      </c>
      <c r="AE53" s="153">
        <f t="shared" si="200"/>
        <v>60.330000000000013</v>
      </c>
      <c r="AF53" s="153">
        <f t="shared" si="200"/>
        <v>64.110000000000014</v>
      </c>
      <c r="AG53" s="153">
        <f t="shared" si="200"/>
        <v>67.890000000000015</v>
      </c>
      <c r="AH53" s="153">
        <f t="shared" si="200"/>
        <v>71.670000000000016</v>
      </c>
      <c r="AI53" s="153">
        <f t="shared" si="200"/>
        <v>75.450000000000017</v>
      </c>
      <c r="AJ53" s="153">
        <v>79.209999999999994</v>
      </c>
      <c r="AK53" s="64"/>
      <c r="AL53" s="64"/>
      <c r="AM53" s="64" t="s">
        <v>157</v>
      </c>
      <c r="AN53" s="64" t="e">
        <f>IF(AN48&gt;=72,1,0)</f>
        <v>#VALUE!</v>
      </c>
      <c r="AO53" s="64"/>
      <c r="AP53" s="64"/>
      <c r="AQ53" s="65"/>
      <c r="AS53" s="495"/>
      <c r="AT53" s="496"/>
      <c r="CL53" s="83"/>
      <c r="CM53" s="83"/>
      <c r="CN53" s="83"/>
      <c r="CO53" s="83"/>
      <c r="CP53" s="83"/>
      <c r="CQ53" s="83"/>
      <c r="CR53" s="83"/>
      <c r="CS53" s="83"/>
    </row>
    <row r="54" spans="2:98" ht="15.75" thickBot="1" x14ac:dyDescent="0.3">
      <c r="B54" s="78"/>
      <c r="C54" s="71"/>
      <c r="D54" s="71"/>
      <c r="E54" s="71"/>
      <c r="F54" s="71"/>
      <c r="G54" s="71"/>
      <c r="H54" s="71"/>
      <c r="I54" s="71"/>
      <c r="J54" s="71"/>
      <c r="K54" s="71"/>
      <c r="L54" s="75"/>
      <c r="N54" s="103">
        <v>4.1500000000000004</v>
      </c>
      <c r="O54" s="162">
        <f t="shared" si="194"/>
        <v>48</v>
      </c>
      <c r="P54" s="302">
        <v>9</v>
      </c>
      <c r="Q54" s="149">
        <v>10.47</v>
      </c>
      <c r="R54" s="153">
        <v>12.54</v>
      </c>
      <c r="S54" s="153">
        <v>16.690000000000001</v>
      </c>
      <c r="T54" s="153">
        <v>20.84</v>
      </c>
      <c r="U54" s="153">
        <f t="shared" si="198"/>
        <v>24.990000000000002</v>
      </c>
      <c r="V54" s="153">
        <f t="shared" si="198"/>
        <v>29.14</v>
      </c>
      <c r="W54" s="153">
        <f t="shared" si="198"/>
        <v>33.29</v>
      </c>
      <c r="X54" s="153">
        <f t="shared" si="198"/>
        <v>37.44</v>
      </c>
      <c r="Y54" s="153">
        <f>X54+$N54</f>
        <v>41.589999999999996</v>
      </c>
      <c r="Z54" s="153">
        <f t="shared" ref="Z54:AI54" si="201">Y54+$N54</f>
        <v>45.739999999999995</v>
      </c>
      <c r="AA54" s="153">
        <f t="shared" si="201"/>
        <v>49.889999999999993</v>
      </c>
      <c r="AB54" s="153">
        <f t="shared" si="201"/>
        <v>54.039999999999992</v>
      </c>
      <c r="AC54" s="153">
        <f t="shared" si="201"/>
        <v>58.189999999999991</v>
      </c>
      <c r="AD54" s="153">
        <f t="shared" si="201"/>
        <v>62.339999999999989</v>
      </c>
      <c r="AE54" s="153">
        <f t="shared" si="201"/>
        <v>66.489999999999995</v>
      </c>
      <c r="AF54" s="153">
        <f t="shared" si="201"/>
        <v>70.64</v>
      </c>
      <c r="AG54" s="153">
        <f t="shared" si="201"/>
        <v>74.790000000000006</v>
      </c>
      <c r="AH54" s="153">
        <f t="shared" si="201"/>
        <v>78.940000000000012</v>
      </c>
      <c r="AI54" s="153">
        <f t="shared" si="201"/>
        <v>83.090000000000018</v>
      </c>
      <c r="AJ54" s="153">
        <v>87.2</v>
      </c>
      <c r="AK54" s="64"/>
      <c r="AL54" s="64"/>
      <c r="AM54" s="64" t="s">
        <v>158</v>
      </c>
      <c r="AN54" s="64" t="e">
        <f>AN53*(1.5+((AL50-12))*0.103)</f>
        <v>#VALUE!</v>
      </c>
      <c r="AO54" s="64"/>
      <c r="AP54" s="64"/>
      <c r="AQ54" s="65"/>
      <c r="CL54" s="83"/>
      <c r="CM54" s="83"/>
      <c r="CN54" s="83"/>
      <c r="CO54" s="83"/>
      <c r="CP54" s="83"/>
      <c r="CQ54" s="83"/>
      <c r="CR54" s="83"/>
      <c r="CS54" s="83"/>
    </row>
    <row r="55" spans="2:98" ht="21.75" thickBot="1" x14ac:dyDescent="0.4">
      <c r="B55" s="229" t="s">
        <v>71</v>
      </c>
      <c r="C55" s="71"/>
      <c r="E55" s="71"/>
      <c r="F55" s="71"/>
      <c r="G55" s="71"/>
      <c r="H55" s="71"/>
      <c r="I55" s="71"/>
      <c r="J55" s="71"/>
      <c r="K55" s="71"/>
      <c r="L55" s="75"/>
      <c r="N55" s="103">
        <v>4.5199999999999996</v>
      </c>
      <c r="O55" s="162">
        <f t="shared" si="194"/>
        <v>54</v>
      </c>
      <c r="P55" s="302">
        <v>10</v>
      </c>
      <c r="Q55" s="149">
        <v>11.63</v>
      </c>
      <c r="R55" s="153">
        <v>13.89</v>
      </c>
      <c r="S55" s="153">
        <v>18.41</v>
      </c>
      <c r="T55" s="153">
        <v>22.92</v>
      </c>
      <c r="U55" s="153">
        <f t="shared" si="198"/>
        <v>27.44</v>
      </c>
      <c r="V55" s="153">
        <f t="shared" si="198"/>
        <v>31.96</v>
      </c>
      <c r="W55" s="153">
        <f t="shared" si="198"/>
        <v>36.480000000000004</v>
      </c>
      <c r="X55" s="153">
        <f t="shared" si="198"/>
        <v>41</v>
      </c>
      <c r="Y55" s="153">
        <f>X55+$N55</f>
        <v>45.519999999999996</v>
      </c>
      <c r="Z55" s="153">
        <f t="shared" ref="Z55:AI55" si="202">Y55+$N55</f>
        <v>50.039999999999992</v>
      </c>
      <c r="AA55" s="153">
        <f t="shared" si="202"/>
        <v>54.559999999999988</v>
      </c>
      <c r="AB55" s="153">
        <f t="shared" si="202"/>
        <v>59.079999999999984</v>
      </c>
      <c r="AC55" s="153">
        <f t="shared" si="202"/>
        <v>63.59999999999998</v>
      </c>
      <c r="AD55" s="153">
        <f t="shared" si="202"/>
        <v>68.119999999999976</v>
      </c>
      <c r="AE55" s="153">
        <f t="shared" si="202"/>
        <v>72.639999999999972</v>
      </c>
      <c r="AF55" s="153">
        <f t="shared" si="202"/>
        <v>77.159999999999968</v>
      </c>
      <c r="AG55" s="153">
        <f t="shared" si="202"/>
        <v>81.679999999999964</v>
      </c>
      <c r="AH55" s="153">
        <f t="shared" si="202"/>
        <v>86.19999999999996</v>
      </c>
      <c r="AI55" s="153">
        <f t="shared" si="202"/>
        <v>90.719999999999956</v>
      </c>
      <c r="AJ55" s="153">
        <v>95.18</v>
      </c>
      <c r="AK55" s="64"/>
      <c r="AL55" s="64"/>
      <c r="AM55" s="64"/>
      <c r="AN55" s="64"/>
      <c r="AO55" s="64"/>
      <c r="AP55" s="64"/>
      <c r="AQ55" s="65"/>
      <c r="CL55" s="83"/>
      <c r="CM55" s="83"/>
      <c r="CN55" s="83"/>
      <c r="CO55" s="83"/>
      <c r="CP55" s="83"/>
      <c r="CQ55" s="83"/>
      <c r="CR55" s="83"/>
      <c r="CS55" s="83"/>
    </row>
    <row r="56" spans="2:98" ht="16.5" thickBot="1" x14ac:dyDescent="0.3">
      <c r="B56" s="78"/>
      <c r="C56" s="71"/>
      <c r="D56" s="109"/>
      <c r="E56" s="109" t="e">
        <f>D51</f>
        <v>#VALUE!</v>
      </c>
      <c r="F56" s="132" t="e">
        <f>C45</f>
        <v>#VALUE!</v>
      </c>
      <c r="G56" s="109" t="e">
        <f>E51</f>
        <v>#VALUE!</v>
      </c>
      <c r="H56" s="71"/>
      <c r="I56" s="71"/>
      <c r="J56" s="71"/>
      <c r="K56" s="71"/>
      <c r="L56" s="75"/>
      <c r="N56" s="103">
        <v>5.25</v>
      </c>
      <c r="O56" s="162">
        <f t="shared" si="194"/>
        <v>60</v>
      </c>
      <c r="P56" s="302">
        <v>11</v>
      </c>
      <c r="Q56" s="149">
        <v>13.16</v>
      </c>
      <c r="R56" s="153">
        <v>15.79</v>
      </c>
      <c r="S56" s="153">
        <v>21.04</v>
      </c>
      <c r="T56" s="153">
        <v>26.3</v>
      </c>
      <c r="U56" s="153">
        <f t="shared" si="198"/>
        <v>31.55</v>
      </c>
      <c r="V56" s="153">
        <f t="shared" si="198"/>
        <v>36.799999999999997</v>
      </c>
      <c r="W56" s="153">
        <f t="shared" si="198"/>
        <v>42.05</v>
      </c>
      <c r="X56" s="153">
        <f t="shared" si="198"/>
        <v>47.3</v>
      </c>
      <c r="Y56" s="153">
        <f>X56+$N56</f>
        <v>52.55</v>
      </c>
      <c r="Z56" s="153">
        <f t="shared" ref="Z56:AI56" si="203">Y56+$N56</f>
        <v>57.8</v>
      </c>
      <c r="AA56" s="153">
        <f t="shared" si="203"/>
        <v>63.05</v>
      </c>
      <c r="AB56" s="153">
        <f t="shared" si="203"/>
        <v>68.3</v>
      </c>
      <c r="AC56" s="153">
        <f t="shared" si="203"/>
        <v>73.55</v>
      </c>
      <c r="AD56" s="153">
        <f t="shared" si="203"/>
        <v>78.8</v>
      </c>
      <c r="AE56" s="153">
        <f t="shared" si="203"/>
        <v>84.05</v>
      </c>
      <c r="AF56" s="153">
        <f t="shared" si="203"/>
        <v>89.3</v>
      </c>
      <c r="AG56" s="153">
        <f t="shared" si="203"/>
        <v>94.55</v>
      </c>
      <c r="AH56" s="153">
        <f t="shared" si="203"/>
        <v>99.8</v>
      </c>
      <c r="AI56" s="153">
        <f t="shared" si="203"/>
        <v>105.05</v>
      </c>
      <c r="AJ56" s="153">
        <v>110.35</v>
      </c>
      <c r="AK56" s="64"/>
      <c r="AL56" s="64"/>
      <c r="AM56" s="64"/>
      <c r="AN56" s="64"/>
      <c r="AO56" s="64"/>
      <c r="AP56" s="64"/>
      <c r="AQ56" s="65"/>
      <c r="CL56" s="83"/>
      <c r="CM56" s="83"/>
      <c r="CN56" s="83"/>
      <c r="CO56" s="83"/>
      <c r="CP56" s="83"/>
      <c r="CQ56" s="83"/>
      <c r="CR56" s="83"/>
      <c r="CS56" s="83"/>
    </row>
    <row r="57" spans="2:98"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03">
        <v>5.62</v>
      </c>
      <c r="O57" s="162">
        <f t="shared" si="194"/>
        <v>66</v>
      </c>
      <c r="P57" s="302">
        <v>12</v>
      </c>
      <c r="Q57" s="149">
        <v>14.33</v>
      </c>
      <c r="R57" s="153">
        <v>17.14</v>
      </c>
      <c r="S57" s="153">
        <v>22.76</v>
      </c>
      <c r="T57" s="153">
        <v>28.38</v>
      </c>
      <c r="U57" s="153">
        <f t="shared" si="198"/>
        <v>34</v>
      </c>
      <c r="V57" s="153">
        <f t="shared" si="198"/>
        <v>39.619999999999997</v>
      </c>
      <c r="W57" s="153">
        <f t="shared" si="198"/>
        <v>45.239999999999995</v>
      </c>
      <c r="X57" s="153">
        <f t="shared" si="198"/>
        <v>50.859999999999992</v>
      </c>
      <c r="Y57" s="153">
        <f>X57+$N57</f>
        <v>56.47999999999999</v>
      </c>
      <c r="Z57" s="153">
        <f t="shared" ref="Z57:AI57" si="204">Y57+$N57</f>
        <v>62.099999999999987</v>
      </c>
      <c r="AA57" s="153">
        <f t="shared" si="204"/>
        <v>67.719999999999985</v>
      </c>
      <c r="AB57" s="153">
        <f t="shared" si="204"/>
        <v>73.339999999999989</v>
      </c>
      <c r="AC57" s="153">
        <f t="shared" si="204"/>
        <v>78.959999999999994</v>
      </c>
      <c r="AD57" s="153">
        <f t="shared" si="204"/>
        <v>84.58</v>
      </c>
      <c r="AE57" s="153">
        <f t="shared" si="204"/>
        <v>90.2</v>
      </c>
      <c r="AF57" s="153">
        <f t="shared" si="204"/>
        <v>95.820000000000007</v>
      </c>
      <c r="AG57" s="153">
        <f t="shared" si="204"/>
        <v>101.44000000000001</v>
      </c>
      <c r="AH57" s="153">
        <f t="shared" si="204"/>
        <v>107.06000000000002</v>
      </c>
      <c r="AI57" s="153">
        <f t="shared" si="204"/>
        <v>112.68000000000002</v>
      </c>
      <c r="AJ57" s="153">
        <v>118.33</v>
      </c>
      <c r="AK57" s="64"/>
      <c r="AL57" s="64"/>
      <c r="AM57" s="270" t="s">
        <v>212</v>
      </c>
      <c r="AN57" s="64"/>
      <c r="AO57" s="153" t="e">
        <f>(AN50+AN54)</f>
        <v>#VALUE!</v>
      </c>
      <c r="AP57" s="64" t="s">
        <v>86</v>
      </c>
      <c r="AQ57" s="65"/>
      <c r="CL57" s="83"/>
      <c r="CM57" s="83"/>
      <c r="CN57" s="83"/>
      <c r="CO57" s="83"/>
      <c r="CP57" s="83"/>
      <c r="CQ57" s="83"/>
      <c r="CR57" s="83"/>
      <c r="CS57" s="83"/>
    </row>
    <row r="58" spans="2:98"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6</v>
      </c>
      <c r="O58" s="162">
        <f t="shared" si="194"/>
        <v>72</v>
      </c>
      <c r="P58" s="302">
        <v>13</v>
      </c>
      <c r="Q58" s="149">
        <v>15.49</v>
      </c>
      <c r="R58" s="153">
        <v>18.489999999999998</v>
      </c>
      <c r="S58" s="153">
        <v>24.48</v>
      </c>
      <c r="T58" s="153">
        <v>30.48</v>
      </c>
      <c r="U58" s="153">
        <f t="shared" si="198"/>
        <v>36.480000000000004</v>
      </c>
      <c r="V58" s="153">
        <f t="shared" si="198"/>
        <v>42.480000000000004</v>
      </c>
      <c r="W58" s="153">
        <f t="shared" si="198"/>
        <v>48.480000000000004</v>
      </c>
      <c r="X58" s="153">
        <f t="shared" si="198"/>
        <v>54.480000000000004</v>
      </c>
      <c r="Y58" s="153">
        <v>60.42</v>
      </c>
      <c r="Z58" s="153">
        <f t="shared" ref="Z58:AI58" si="205">Y58+$N58</f>
        <v>66.42</v>
      </c>
      <c r="AA58" s="153">
        <f t="shared" si="205"/>
        <v>72.42</v>
      </c>
      <c r="AB58" s="153">
        <f t="shared" si="205"/>
        <v>78.42</v>
      </c>
      <c r="AC58" s="153">
        <f t="shared" si="205"/>
        <v>84.42</v>
      </c>
      <c r="AD58" s="153">
        <f t="shared" si="205"/>
        <v>90.42</v>
      </c>
      <c r="AE58" s="153">
        <f t="shared" si="205"/>
        <v>96.42</v>
      </c>
      <c r="AF58" s="153">
        <f t="shared" si="205"/>
        <v>102.42</v>
      </c>
      <c r="AG58" s="153">
        <f t="shared" si="205"/>
        <v>108.42</v>
      </c>
      <c r="AH58" s="153">
        <f t="shared" si="205"/>
        <v>114.42</v>
      </c>
      <c r="AI58" s="153">
        <f t="shared" si="205"/>
        <v>120.42</v>
      </c>
      <c r="AJ58" s="153">
        <v>126.31</v>
      </c>
      <c r="AK58" s="64"/>
      <c r="AL58" s="64"/>
      <c r="AM58" s="270" t="s">
        <v>213</v>
      </c>
      <c r="AN58" s="64"/>
      <c r="AO58" s="64" t="e">
        <f>AO57*C11</f>
        <v>#VALUE!</v>
      </c>
      <c r="AP58" s="64" t="s">
        <v>86</v>
      </c>
      <c r="AQ58" s="65"/>
      <c r="CL58" s="83"/>
      <c r="CM58" s="83"/>
      <c r="CN58" s="83"/>
      <c r="CO58" s="83"/>
      <c r="CP58" s="83"/>
      <c r="CQ58" s="83"/>
      <c r="CR58" s="83"/>
      <c r="CS58" s="83"/>
    </row>
    <row r="59" spans="2:98"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03">
        <v>6.36</v>
      </c>
      <c r="O59" s="162">
        <f t="shared" si="194"/>
        <v>78</v>
      </c>
      <c r="P59" s="302">
        <v>14</v>
      </c>
      <c r="Q59" s="149">
        <v>16.66</v>
      </c>
      <c r="R59" s="153">
        <v>19.84</v>
      </c>
      <c r="S59" s="153">
        <v>26.19</v>
      </c>
      <c r="T59" s="153">
        <v>32.549999999999997</v>
      </c>
      <c r="U59" s="153">
        <f t="shared" si="198"/>
        <v>38.909999999999997</v>
      </c>
      <c r="V59" s="153">
        <f t="shared" si="198"/>
        <v>45.269999999999996</v>
      </c>
      <c r="W59" s="153">
        <f t="shared" si="198"/>
        <v>51.629999999999995</v>
      </c>
      <c r="X59" s="153">
        <f t="shared" si="198"/>
        <v>57.989999999999995</v>
      </c>
      <c r="Y59" s="153">
        <f t="shared" ref="Y59:Y66" si="206">X59+$N59</f>
        <v>64.349999999999994</v>
      </c>
      <c r="Z59" s="153">
        <f t="shared" ref="Z59:AB59" si="207">Y59+$N59</f>
        <v>70.709999999999994</v>
      </c>
      <c r="AA59" s="153">
        <f t="shared" si="207"/>
        <v>77.069999999999993</v>
      </c>
      <c r="AB59" s="153">
        <f t="shared" si="207"/>
        <v>83.429999999999993</v>
      </c>
      <c r="AC59" s="306"/>
      <c r="AD59" s="306"/>
      <c r="AE59" s="306"/>
      <c r="AF59" s="306"/>
      <c r="AG59" s="306"/>
      <c r="AH59" s="306"/>
      <c r="AI59" s="306"/>
      <c r="AJ59" s="306"/>
      <c r="AK59" s="64"/>
      <c r="AL59" s="64"/>
      <c r="AM59" s="64"/>
      <c r="AN59" s="64"/>
      <c r="AO59" s="64"/>
      <c r="AP59" s="64"/>
      <c r="AQ59" s="65"/>
      <c r="CL59" s="83"/>
      <c r="CM59" s="83"/>
      <c r="CN59" s="83"/>
      <c r="CO59" s="83"/>
      <c r="CP59" s="83"/>
      <c r="CQ59" s="83"/>
      <c r="CR59" s="83"/>
      <c r="CS59" s="83"/>
      <c r="CT59" s="83"/>
    </row>
    <row r="60" spans="2:98" ht="15.75" thickBot="1" x14ac:dyDescent="0.3">
      <c r="B60" s="78"/>
      <c r="C60" s="71"/>
      <c r="D60" s="71"/>
      <c r="E60" s="71"/>
      <c r="F60" s="71"/>
      <c r="G60" s="71"/>
      <c r="H60" s="71"/>
      <c r="I60" s="71"/>
      <c r="J60" s="71"/>
      <c r="K60" s="71"/>
      <c r="L60" s="75"/>
      <c r="N60" s="103">
        <v>6.73</v>
      </c>
      <c r="O60" s="162">
        <f t="shared" si="194"/>
        <v>84</v>
      </c>
      <c r="P60" s="302">
        <v>15</v>
      </c>
      <c r="Q60" s="149">
        <v>17.82</v>
      </c>
      <c r="R60" s="153">
        <v>21.18</v>
      </c>
      <c r="S60" s="153">
        <v>27.91</v>
      </c>
      <c r="T60" s="153">
        <v>34.64</v>
      </c>
      <c r="U60" s="153">
        <f t="shared" si="198"/>
        <v>41.370000000000005</v>
      </c>
      <c r="V60" s="153">
        <f t="shared" si="198"/>
        <v>48.100000000000009</v>
      </c>
      <c r="W60" s="153">
        <f t="shared" si="198"/>
        <v>54.830000000000013</v>
      </c>
      <c r="X60" s="153">
        <f t="shared" si="198"/>
        <v>61.560000000000016</v>
      </c>
      <c r="Y60" s="153">
        <f t="shared" si="206"/>
        <v>68.29000000000002</v>
      </c>
      <c r="Z60" s="153">
        <f t="shared" ref="Z60:AB60" si="208">Y60+$N60</f>
        <v>75.020000000000024</v>
      </c>
      <c r="AA60" s="153">
        <f t="shared" si="208"/>
        <v>81.750000000000028</v>
      </c>
      <c r="AB60" s="153">
        <f t="shared" si="208"/>
        <v>88.480000000000032</v>
      </c>
      <c r="AC60" s="306"/>
      <c r="AD60" s="306"/>
      <c r="AE60" s="306"/>
      <c r="AF60" s="306"/>
      <c r="AG60" s="306"/>
      <c r="AH60" s="306"/>
      <c r="AI60" s="306"/>
      <c r="AJ60" s="306"/>
      <c r="AK60" s="64"/>
      <c r="AL60" s="64"/>
      <c r="AM60" s="64"/>
      <c r="AN60" s="64"/>
      <c r="AO60" s="64"/>
      <c r="AP60" s="64"/>
      <c r="AQ60" s="97"/>
      <c r="BZ60" s="83"/>
      <c r="CA60" s="83"/>
      <c r="CJ60" s="83"/>
      <c r="CK60" s="83"/>
      <c r="CL60" s="83"/>
      <c r="CM60" s="83"/>
      <c r="CN60" s="83"/>
      <c r="CO60" s="83"/>
      <c r="CP60" s="83"/>
      <c r="CQ60" s="83"/>
      <c r="CR60" s="83"/>
      <c r="CS60" s="83"/>
      <c r="CT60" s="83"/>
    </row>
    <row r="61" spans="2:98" ht="15.75" thickBot="1" x14ac:dyDescent="0.3">
      <c r="B61" s="78"/>
      <c r="C61" s="71"/>
      <c r="D61" s="71"/>
      <c r="E61" s="71"/>
      <c r="F61" s="71"/>
      <c r="G61" s="71"/>
      <c r="H61" s="71"/>
      <c r="I61" s="71"/>
      <c r="J61" s="71"/>
      <c r="K61" s="71"/>
      <c r="L61" s="75"/>
      <c r="N61" s="103">
        <v>7.47</v>
      </c>
      <c r="O61" s="162">
        <f t="shared" si="194"/>
        <v>90</v>
      </c>
      <c r="P61" s="302">
        <v>16</v>
      </c>
      <c r="Q61" s="149">
        <v>19.350000000000001</v>
      </c>
      <c r="R61" s="153">
        <v>23.08</v>
      </c>
      <c r="S61" s="153">
        <v>30.55</v>
      </c>
      <c r="T61" s="153">
        <v>38.01</v>
      </c>
      <c r="U61" s="153">
        <f t="shared" si="198"/>
        <v>45.48</v>
      </c>
      <c r="V61" s="153">
        <f t="shared" si="198"/>
        <v>52.949999999999996</v>
      </c>
      <c r="W61" s="153">
        <f t="shared" si="198"/>
        <v>60.419999999999995</v>
      </c>
      <c r="X61" s="153">
        <f t="shared" si="198"/>
        <v>67.89</v>
      </c>
      <c r="Y61" s="153">
        <f t="shared" si="206"/>
        <v>75.36</v>
      </c>
      <c r="Z61" s="153">
        <f t="shared" ref="Z61:AB61" si="209">Y61+$N61</f>
        <v>82.83</v>
      </c>
      <c r="AA61" s="153">
        <f t="shared" si="209"/>
        <v>90.3</v>
      </c>
      <c r="AB61" s="153">
        <f t="shared" si="209"/>
        <v>97.77</v>
      </c>
      <c r="AC61" s="306"/>
      <c r="AD61" s="306"/>
      <c r="AE61" s="306"/>
      <c r="AF61" s="306"/>
      <c r="AG61" s="306"/>
      <c r="AH61" s="306"/>
      <c r="AI61" s="306"/>
      <c r="AJ61" s="306"/>
      <c r="AK61" s="64"/>
      <c r="AL61" s="64"/>
      <c r="AM61" s="64"/>
      <c r="AN61" s="64"/>
      <c r="AO61" s="64"/>
      <c r="AP61" s="64"/>
      <c r="AQ61" s="97"/>
      <c r="BG61" s="83"/>
      <c r="BZ61" s="83"/>
      <c r="CA61" s="83"/>
      <c r="CJ61" s="83"/>
      <c r="CK61" s="83"/>
      <c r="CL61" s="83"/>
      <c r="CM61" s="83"/>
      <c r="CN61" s="83"/>
      <c r="CO61" s="83"/>
      <c r="CP61" s="83"/>
      <c r="CQ61" s="83"/>
      <c r="CR61" s="83"/>
      <c r="CS61" s="83"/>
      <c r="CT61" s="83"/>
    </row>
    <row r="62" spans="2:98" ht="15.75" thickBot="1" x14ac:dyDescent="0.3">
      <c r="B62" s="78"/>
      <c r="C62" s="71"/>
      <c r="D62" s="71"/>
      <c r="E62" s="71"/>
      <c r="F62" s="71"/>
      <c r="G62" s="71"/>
      <c r="H62" s="71"/>
      <c r="I62" s="71"/>
      <c r="J62" s="71"/>
      <c r="K62" s="71"/>
      <c r="L62" s="75"/>
      <c r="N62" s="103">
        <v>7.84</v>
      </c>
      <c r="O62" s="162">
        <f t="shared" si="194"/>
        <v>96</v>
      </c>
      <c r="P62" s="302">
        <v>17</v>
      </c>
      <c r="Q62" s="149">
        <v>20.52</v>
      </c>
      <c r="R62" s="153">
        <v>24.43</v>
      </c>
      <c r="S62" s="153">
        <v>32.270000000000003</v>
      </c>
      <c r="T62" s="153">
        <v>40.1</v>
      </c>
      <c r="U62" s="153">
        <f t="shared" si="198"/>
        <v>47.94</v>
      </c>
      <c r="V62" s="153">
        <f t="shared" si="198"/>
        <v>55.78</v>
      </c>
      <c r="W62" s="153">
        <f t="shared" si="198"/>
        <v>63.620000000000005</v>
      </c>
      <c r="X62" s="153">
        <f t="shared" si="198"/>
        <v>71.460000000000008</v>
      </c>
      <c r="Y62" s="153">
        <f t="shared" si="206"/>
        <v>79.300000000000011</v>
      </c>
      <c r="Z62" s="153">
        <f t="shared" ref="Z62:AB62" si="210">Y62+$N62</f>
        <v>87.140000000000015</v>
      </c>
      <c r="AA62" s="153">
        <f t="shared" si="210"/>
        <v>94.980000000000018</v>
      </c>
      <c r="AB62" s="153">
        <f t="shared" si="210"/>
        <v>102.82000000000002</v>
      </c>
      <c r="AC62" s="306"/>
      <c r="AD62" s="306"/>
      <c r="AE62" s="306"/>
      <c r="AF62" s="306"/>
      <c r="AG62" s="306"/>
      <c r="AH62" s="306"/>
      <c r="AI62" s="306"/>
      <c r="AJ62" s="306"/>
      <c r="AK62" s="64"/>
      <c r="AL62" s="64"/>
      <c r="AM62" s="64"/>
      <c r="AN62" s="64"/>
      <c r="AO62" s="64"/>
      <c r="AP62" s="64"/>
      <c r="AQ62" s="97"/>
      <c r="BG62" s="83"/>
      <c r="BZ62" s="83"/>
      <c r="CA62" s="83"/>
      <c r="CJ62" s="83"/>
      <c r="CK62" s="83"/>
      <c r="CL62" s="83"/>
      <c r="CM62" s="83"/>
      <c r="CN62" s="83"/>
      <c r="CO62" s="83"/>
      <c r="CP62" s="83"/>
      <c r="CQ62" s="83"/>
      <c r="CR62" s="83"/>
      <c r="CS62" s="83"/>
      <c r="CT62" s="83"/>
    </row>
    <row r="63" spans="2:98" ht="21.75" thickBot="1" x14ac:dyDescent="0.4">
      <c r="B63" s="229" t="s">
        <v>80</v>
      </c>
      <c r="C63" s="71"/>
      <c r="D63" s="71"/>
      <c r="E63" s="71"/>
      <c r="F63" s="71"/>
      <c r="G63" s="71"/>
      <c r="H63" s="71"/>
      <c r="I63" s="71"/>
      <c r="J63" s="71"/>
      <c r="K63" s="71"/>
      <c r="L63" s="75"/>
      <c r="N63" s="103">
        <v>8.1999999999999993</v>
      </c>
      <c r="O63" s="162">
        <f t="shared" si="194"/>
        <v>102</v>
      </c>
      <c r="P63" s="302">
        <v>18</v>
      </c>
      <c r="Q63" s="149">
        <v>21.68</v>
      </c>
      <c r="R63" s="153">
        <v>25.78</v>
      </c>
      <c r="S63" s="153">
        <v>33.979999999999997</v>
      </c>
      <c r="T63" s="153">
        <v>42.18</v>
      </c>
      <c r="U63" s="153">
        <f t="shared" si="198"/>
        <v>50.379999999999995</v>
      </c>
      <c r="V63" s="153">
        <f t="shared" si="198"/>
        <v>58.58</v>
      </c>
      <c r="W63" s="153">
        <f t="shared" si="198"/>
        <v>66.78</v>
      </c>
      <c r="X63" s="153">
        <f t="shared" si="198"/>
        <v>74.98</v>
      </c>
      <c r="Y63" s="153">
        <f t="shared" si="206"/>
        <v>83.18</v>
      </c>
      <c r="Z63" s="153">
        <f t="shared" ref="Z63:AB63" si="211">Y63+$N63</f>
        <v>91.38000000000001</v>
      </c>
      <c r="AA63" s="153">
        <f t="shared" si="211"/>
        <v>99.580000000000013</v>
      </c>
      <c r="AB63" s="153">
        <f t="shared" si="211"/>
        <v>107.78000000000002</v>
      </c>
      <c r="AC63" s="306"/>
      <c r="AD63" s="306"/>
      <c r="AE63" s="306"/>
      <c r="AF63" s="306"/>
      <c r="AG63" s="306"/>
      <c r="AH63" s="306"/>
      <c r="AI63" s="306"/>
      <c r="AJ63" s="306"/>
      <c r="AK63" s="64"/>
      <c r="AL63" s="64"/>
      <c r="AM63" s="64"/>
      <c r="AN63" s="64"/>
      <c r="AO63" s="64"/>
      <c r="AP63" s="64"/>
      <c r="AQ63" s="97"/>
      <c r="BG63" s="83"/>
      <c r="BZ63" s="83"/>
      <c r="CA63" s="83"/>
      <c r="CJ63" s="83"/>
      <c r="CK63" s="83"/>
      <c r="CL63" s="83"/>
      <c r="CM63" s="83"/>
      <c r="CN63" s="83"/>
      <c r="CO63" s="83"/>
      <c r="CP63" s="83"/>
      <c r="CQ63" s="83"/>
      <c r="CR63" s="83"/>
      <c r="CS63" s="83"/>
      <c r="CT63" s="83"/>
    </row>
    <row r="64" spans="2:98" ht="19.5" thickBot="1" x14ac:dyDescent="0.35">
      <c r="B64" s="230" t="s">
        <v>46</v>
      </c>
      <c r="C64" s="71"/>
      <c r="D64" s="141" t="e">
        <f>F58*(D3*D4)/144</f>
        <v>#VALUE!</v>
      </c>
      <c r="E64" s="256" t="s">
        <v>45</v>
      </c>
      <c r="F64" s="71"/>
      <c r="G64" s="71"/>
      <c r="H64" s="71"/>
      <c r="I64" s="71"/>
      <c r="J64" s="71"/>
      <c r="K64" s="71"/>
      <c r="L64" s="75"/>
      <c r="N64" s="103">
        <v>8.57</v>
      </c>
      <c r="O64" s="162">
        <f t="shared" si="194"/>
        <v>108</v>
      </c>
      <c r="P64" s="302">
        <v>19</v>
      </c>
      <c r="Q64" s="149">
        <v>22.84</v>
      </c>
      <c r="R64" s="153">
        <v>27.13</v>
      </c>
      <c r="S64" s="153">
        <v>35.700000000000003</v>
      </c>
      <c r="T64" s="153">
        <v>44.27</v>
      </c>
      <c r="U64" s="153">
        <f t="shared" si="198"/>
        <v>52.84</v>
      </c>
      <c r="V64" s="153">
        <f t="shared" si="198"/>
        <v>61.410000000000004</v>
      </c>
      <c r="W64" s="153">
        <f t="shared" si="198"/>
        <v>69.98</v>
      </c>
      <c r="X64" s="153">
        <f t="shared" si="198"/>
        <v>78.550000000000011</v>
      </c>
      <c r="Y64" s="153">
        <f t="shared" si="206"/>
        <v>87.12</v>
      </c>
      <c r="Z64" s="153">
        <f t="shared" ref="Z64:AB64" si="212">Y64+$N64</f>
        <v>95.69</v>
      </c>
      <c r="AA64" s="153">
        <f t="shared" si="212"/>
        <v>104.25999999999999</v>
      </c>
      <c r="AB64" s="153">
        <f t="shared" si="212"/>
        <v>112.82999999999998</v>
      </c>
      <c r="AC64" s="306"/>
      <c r="AD64" s="306"/>
      <c r="AE64" s="306"/>
      <c r="AF64" s="306"/>
      <c r="AG64" s="306"/>
      <c r="AH64" s="306"/>
      <c r="AI64" s="306"/>
      <c r="AJ64" s="306"/>
      <c r="AK64" s="64"/>
      <c r="AL64" s="64"/>
      <c r="AM64" s="64"/>
      <c r="AN64" s="64"/>
      <c r="AO64" s="64"/>
      <c r="AP64" s="64"/>
      <c r="AQ64" s="97"/>
      <c r="BG64" s="83"/>
      <c r="BZ64" s="83"/>
      <c r="CA64" s="83"/>
      <c r="CJ64" s="83"/>
      <c r="CK64" s="83"/>
      <c r="CL64" s="83"/>
      <c r="CM64" s="83"/>
      <c r="CN64" s="83"/>
      <c r="CO64" s="83"/>
      <c r="CP64" s="83"/>
      <c r="CQ64" s="83"/>
      <c r="CR64" s="83"/>
      <c r="CS64" s="83"/>
      <c r="CT64" s="83"/>
    </row>
    <row r="65" spans="2:98" ht="19.5" thickBot="1" x14ac:dyDescent="0.35">
      <c r="B65" s="230" t="s">
        <v>47</v>
      </c>
      <c r="C65" s="71"/>
      <c r="D65" s="142" t="e">
        <f>(D3*D4)/144</f>
        <v>#VALUE!</v>
      </c>
      <c r="E65" s="256" t="s">
        <v>45</v>
      </c>
      <c r="F65" s="71"/>
      <c r="G65" s="71"/>
      <c r="H65" s="71"/>
      <c r="I65" s="71"/>
      <c r="J65" s="71"/>
      <c r="K65" s="71"/>
      <c r="L65" s="75"/>
      <c r="N65" s="103">
        <v>8.94</v>
      </c>
      <c r="O65" s="162">
        <f t="shared" si="194"/>
        <v>114</v>
      </c>
      <c r="P65" s="302">
        <v>20</v>
      </c>
      <c r="Q65" s="149">
        <v>24.01</v>
      </c>
      <c r="R65" s="153">
        <v>28.48</v>
      </c>
      <c r="S65" s="153">
        <v>37.42</v>
      </c>
      <c r="T65" s="153">
        <v>46.36</v>
      </c>
      <c r="U65" s="153">
        <f t="shared" si="198"/>
        <v>55.3</v>
      </c>
      <c r="V65" s="153">
        <f t="shared" si="198"/>
        <v>64.239999999999995</v>
      </c>
      <c r="W65" s="153">
        <f t="shared" si="198"/>
        <v>73.179999999999993</v>
      </c>
      <c r="X65" s="153">
        <f t="shared" si="198"/>
        <v>82.11999999999999</v>
      </c>
      <c r="Y65" s="153">
        <f t="shared" si="206"/>
        <v>91.059999999999988</v>
      </c>
      <c r="Z65" s="153">
        <f t="shared" ref="Z65:AB65" si="213">Y65+$N65</f>
        <v>99.999999999999986</v>
      </c>
      <c r="AA65" s="153">
        <f t="shared" si="213"/>
        <v>108.93999999999998</v>
      </c>
      <c r="AB65" s="153">
        <f t="shared" si="213"/>
        <v>117.87999999999998</v>
      </c>
      <c r="AC65" s="306"/>
      <c r="AD65" s="306"/>
      <c r="AE65" s="306"/>
      <c r="AF65" s="306"/>
      <c r="AG65" s="306"/>
      <c r="AH65" s="306"/>
      <c r="AI65" s="306"/>
      <c r="AJ65" s="306"/>
      <c r="AK65" s="64"/>
      <c r="AL65" s="64"/>
      <c r="AM65" s="64"/>
      <c r="AN65" s="64"/>
      <c r="AO65" s="64"/>
      <c r="AP65" s="64"/>
      <c r="AQ65" s="97"/>
      <c r="BG65" s="83"/>
      <c r="BZ65" s="83"/>
      <c r="CA65" s="83"/>
      <c r="CJ65" s="83"/>
      <c r="CK65" s="83"/>
      <c r="CL65" s="83"/>
      <c r="CM65" s="83"/>
      <c r="CN65" s="83"/>
      <c r="CO65" s="83"/>
      <c r="CP65" s="83"/>
      <c r="CQ65" s="83"/>
      <c r="CR65" s="83"/>
      <c r="CS65" s="83"/>
      <c r="CT65" s="83"/>
    </row>
    <row r="66" spans="2:98" ht="19.5" thickBot="1" x14ac:dyDescent="0.35">
      <c r="B66" s="230" t="s">
        <v>81</v>
      </c>
      <c r="C66" s="71"/>
      <c r="D66" s="138" t="e">
        <f>F58*100</f>
        <v>#VALUE!</v>
      </c>
      <c r="E66" s="256" t="s">
        <v>16</v>
      </c>
      <c r="F66" s="71"/>
      <c r="G66" s="71"/>
      <c r="H66" s="71"/>
      <c r="I66" s="71"/>
      <c r="J66" s="71"/>
      <c r="K66" s="71"/>
      <c r="L66" s="75"/>
      <c r="N66" s="103">
        <v>9.67</v>
      </c>
      <c r="O66" s="162">
        <f t="shared" si="194"/>
        <v>120</v>
      </c>
      <c r="P66" s="302">
        <v>21</v>
      </c>
      <c r="Q66" s="149">
        <v>25.54</v>
      </c>
      <c r="R66" s="153">
        <v>30.38</v>
      </c>
      <c r="S66" s="153">
        <v>40.06</v>
      </c>
      <c r="T66" s="153">
        <v>49.73</v>
      </c>
      <c r="U66" s="153">
        <v>59.42</v>
      </c>
      <c r="V66" s="197">
        <v>69.08</v>
      </c>
      <c r="W66" s="197">
        <v>78.760000000000005</v>
      </c>
      <c r="X66" s="197">
        <v>88.44</v>
      </c>
      <c r="Y66" s="153">
        <f t="shared" si="206"/>
        <v>98.11</v>
      </c>
      <c r="Z66" s="153">
        <f t="shared" ref="Z66:AB66" si="214">Y66+$N66</f>
        <v>107.78</v>
      </c>
      <c r="AA66" s="153">
        <f t="shared" si="214"/>
        <v>117.45</v>
      </c>
      <c r="AB66" s="153">
        <f t="shared" si="214"/>
        <v>127.12</v>
      </c>
      <c r="AC66" s="306"/>
      <c r="AD66" s="306"/>
      <c r="AE66" s="306"/>
      <c r="AF66" s="306"/>
      <c r="AG66" s="306"/>
      <c r="AH66" s="306"/>
      <c r="AI66" s="306"/>
      <c r="AJ66" s="306"/>
      <c r="AK66" s="64"/>
      <c r="AL66" s="64"/>
      <c r="AM66" s="64"/>
      <c r="AN66" s="64"/>
      <c r="AO66" s="64"/>
      <c r="AP66" s="64"/>
      <c r="AQ66" s="97"/>
      <c r="BG66" s="83"/>
      <c r="BZ66" s="83"/>
      <c r="CA66" s="83"/>
      <c r="CJ66" s="83"/>
      <c r="CK66" s="83"/>
      <c r="CL66" s="83"/>
      <c r="CM66" s="83"/>
      <c r="CN66" s="83"/>
      <c r="CO66" s="83"/>
      <c r="CP66" s="83"/>
      <c r="CQ66" s="83"/>
      <c r="CR66" s="83"/>
      <c r="CS66" s="83"/>
      <c r="CT66" s="83"/>
    </row>
    <row r="67" spans="2:98" ht="19.5" thickBot="1" x14ac:dyDescent="0.35">
      <c r="B67" s="78"/>
      <c r="C67" s="108"/>
      <c r="D67" s="71"/>
      <c r="E67" s="256"/>
      <c r="F67" s="71"/>
      <c r="G67" s="71"/>
      <c r="H67" s="71"/>
      <c r="I67" s="71"/>
      <c r="J67" s="71"/>
      <c r="K67" s="71"/>
      <c r="L67" s="75"/>
      <c r="N67" s="103"/>
      <c r="O67" s="149"/>
      <c r="P67" s="302"/>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2:98" ht="19.5" thickBot="1" x14ac:dyDescent="0.35">
      <c r="B68" s="231" t="s">
        <v>82</v>
      </c>
      <c r="D68" s="138"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2:98" ht="19.5" thickBot="1" x14ac:dyDescent="0.35">
      <c r="B69" s="232" t="s">
        <v>83</v>
      </c>
      <c r="C69" s="136" t="s">
        <v>9</v>
      </c>
      <c r="D69" s="143" t="e">
        <f>1.92846395595771E-07*D68^2 + 5.4210108624E-20*D68 + 1.346145417358E-15</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98" ht="18.75" x14ac:dyDescent="0.3">
      <c r="B70" s="233"/>
      <c r="C70" s="136" t="s">
        <v>10</v>
      </c>
      <c r="D70" s="143" t="e">
        <f>1.77306881380401E-07*D68^2 + 6.423897871977E-18*D68 - 4.86416462663897E-15</f>
        <v>#VALUE!</v>
      </c>
      <c r="E70" s="256" t="s">
        <v>99</v>
      </c>
      <c r="F70" s="72"/>
      <c r="G70" s="72"/>
      <c r="H70" s="72"/>
      <c r="I70" s="72"/>
      <c r="J70" s="72"/>
      <c r="K70" s="72"/>
      <c r="L70" s="81"/>
    </row>
    <row r="71" spans="2:98" ht="15.75" thickBot="1" x14ac:dyDescent="0.3">
      <c r="B71" s="79"/>
      <c r="C71" s="76"/>
      <c r="D71" s="76"/>
      <c r="E71" s="76"/>
      <c r="F71" s="76"/>
      <c r="G71" s="76"/>
      <c r="H71" s="76"/>
      <c r="I71" s="76"/>
      <c r="J71" s="76"/>
      <c r="K71" s="76"/>
      <c r="L71" s="77"/>
    </row>
    <row r="72" spans="2:98" ht="21.75" customHeight="1" thickBot="1" x14ac:dyDescent="0.4">
      <c r="N72" s="159" t="s">
        <v>209</v>
      </c>
      <c r="O72" s="160"/>
      <c r="P72" s="160"/>
      <c r="Q72" s="160"/>
      <c r="R72" s="160"/>
      <c r="S72" s="160"/>
      <c r="T72" s="160"/>
      <c r="U72" s="160"/>
      <c r="V72" s="160"/>
      <c r="W72" s="161"/>
      <c r="X72" s="74"/>
      <c r="Y72" s="470" t="s">
        <v>98</v>
      </c>
      <c r="Z72" s="366"/>
      <c r="AA72" s="316"/>
      <c r="AB72" s="316"/>
      <c r="AC72" s="316"/>
      <c r="AD72" s="316"/>
      <c r="AE72" s="316"/>
      <c r="AF72" s="316"/>
      <c r="AG72" s="316"/>
      <c r="AH72" s="316"/>
      <c r="AI72" s="316"/>
      <c r="AJ72" s="324"/>
      <c r="AK72" s="74"/>
    </row>
    <row r="73" spans="2:98" ht="25.5" customHeight="1" x14ac:dyDescent="0.35">
      <c r="N73" s="494"/>
      <c r="O73" s="316"/>
      <c r="P73" s="316"/>
      <c r="Q73" s="478"/>
      <c r="R73" s="478"/>
      <c r="S73" s="478"/>
      <c r="T73" s="478"/>
      <c r="U73" s="478"/>
      <c r="V73" s="478"/>
      <c r="W73" s="489"/>
      <c r="X73" s="74"/>
      <c r="Y73" s="48"/>
      <c r="Z73" s="47"/>
      <c r="AA73" s="47"/>
      <c r="AB73" s="47"/>
      <c r="AC73" s="47"/>
      <c r="AD73" s="47"/>
      <c r="AE73" s="47"/>
      <c r="AF73" s="47"/>
      <c r="AG73" s="47"/>
      <c r="AH73" s="47"/>
      <c r="AI73" s="47"/>
      <c r="AJ73" s="278"/>
      <c r="AK73" s="74"/>
    </row>
    <row r="74" spans="2:98" ht="15.75" customHeight="1" thickBot="1" x14ac:dyDescent="0.4">
      <c r="N74" s="477"/>
      <c r="O74" s="480" t="s">
        <v>194</v>
      </c>
      <c r="P74" s="479"/>
      <c r="Q74" s="47"/>
      <c r="R74" s="47"/>
      <c r="S74" s="47"/>
      <c r="T74" s="47"/>
      <c r="U74" s="47"/>
      <c r="V74" s="47"/>
      <c r="W74" s="278"/>
      <c r="X74" s="74"/>
      <c r="Y74" s="48"/>
      <c r="Z74" s="47" t="s">
        <v>193</v>
      </c>
      <c r="AA74" s="47"/>
      <c r="AB74" s="47" t="e">
        <f>AO58</f>
        <v>#VALUE!</v>
      </c>
      <c r="AC74" s="47" t="s">
        <v>184</v>
      </c>
      <c r="AD74" s="47"/>
      <c r="AE74" s="47"/>
      <c r="AF74" s="47"/>
      <c r="AG74" s="47"/>
      <c r="AH74" s="47"/>
      <c r="AI74" s="47"/>
      <c r="AJ74" s="278"/>
      <c r="AK74" s="74"/>
    </row>
    <row r="75" spans="2:98" ht="15.75" customHeight="1" thickBot="1" x14ac:dyDescent="0.4">
      <c r="N75" s="476"/>
      <c r="O75" s="47" t="s">
        <v>185</v>
      </c>
      <c r="P75" s="64">
        <v>1.9E-2</v>
      </c>
      <c r="Q75" s="47" t="s">
        <v>182</v>
      </c>
      <c r="R75" s="47"/>
      <c r="S75" s="47"/>
      <c r="T75" s="47"/>
      <c r="U75" s="47"/>
      <c r="V75" s="47"/>
      <c r="W75" s="278"/>
      <c r="X75" s="74"/>
      <c r="Y75" s="48"/>
      <c r="Z75" s="47" t="s">
        <v>194</v>
      </c>
      <c r="AA75" s="47"/>
      <c r="AB75" s="471" t="e">
        <f>P78</f>
        <v>#VALUE!</v>
      </c>
      <c r="AC75" s="47" t="s">
        <v>184</v>
      </c>
      <c r="AD75" s="47"/>
      <c r="AE75" s="47"/>
      <c r="AF75" s="47"/>
      <c r="AG75" s="47"/>
      <c r="AH75" s="47"/>
      <c r="AI75" s="47"/>
      <c r="AJ75" s="278"/>
      <c r="AK75" s="74"/>
    </row>
    <row r="76" spans="2:98" ht="16.5" customHeight="1" thickBot="1" x14ac:dyDescent="0.4">
      <c r="N76" s="477"/>
      <c r="O76" s="47" t="s">
        <v>195</v>
      </c>
      <c r="P76" s="64" t="e">
        <f>((2*D3)+(2*D4))</f>
        <v>#VALUE!</v>
      </c>
      <c r="Q76" s="47" t="s">
        <v>196</v>
      </c>
      <c r="R76" s="47"/>
      <c r="S76" s="47"/>
      <c r="T76" s="47"/>
      <c r="U76" s="47"/>
      <c r="V76" s="47"/>
      <c r="W76" s="278"/>
      <c r="X76" s="74"/>
      <c r="Y76" s="48"/>
      <c r="Z76" s="47" t="s">
        <v>192</v>
      </c>
      <c r="AA76" s="47"/>
      <c r="AB76" s="471" t="e">
        <f>P85</f>
        <v>#VALUE!</v>
      </c>
      <c r="AC76" s="47" t="s">
        <v>184</v>
      </c>
      <c r="AD76" s="47"/>
      <c r="AE76" s="47"/>
      <c r="AF76" s="47"/>
      <c r="AG76" s="47"/>
      <c r="AH76" s="47"/>
      <c r="AI76" s="47"/>
      <c r="AJ76" s="278"/>
      <c r="AK76" s="74"/>
      <c r="AL76" s="313"/>
      <c r="AM76" s="313"/>
      <c r="AN76" s="485"/>
      <c r="AO76" s="313"/>
    </row>
    <row r="77" spans="2:98" ht="16.5" customHeight="1" thickBot="1" x14ac:dyDescent="0.4">
      <c r="N77" s="48"/>
      <c r="O77" s="47"/>
      <c r="P77" s="47"/>
      <c r="Q77" s="47"/>
      <c r="R77" s="47"/>
      <c r="S77" s="47"/>
      <c r="T77" s="47"/>
      <c r="U77" s="47"/>
      <c r="V77" s="47"/>
      <c r="W77" s="278"/>
      <c r="X77" s="74"/>
      <c r="Y77" s="48"/>
      <c r="Z77" s="47"/>
      <c r="AA77" s="47"/>
      <c r="AB77" s="47"/>
      <c r="AC77" s="47"/>
      <c r="AD77" s="47"/>
      <c r="AE77" s="47"/>
      <c r="AF77" s="47"/>
      <c r="AG77" s="47"/>
      <c r="AH77" s="47"/>
      <c r="AI77" s="47"/>
      <c r="AJ77" s="278"/>
      <c r="AK77" s="74"/>
      <c r="AL77" s="313"/>
      <c r="AM77" s="485"/>
      <c r="AN77" s="485"/>
      <c r="AO77" s="485"/>
    </row>
    <row r="78" spans="2:98" ht="16.5" customHeight="1" thickBot="1" x14ac:dyDescent="0.4">
      <c r="N78" s="48"/>
      <c r="O78" s="492" t="s">
        <v>183</v>
      </c>
      <c r="P78" s="153" t="e">
        <f>P76*P75</f>
        <v>#VALUE!</v>
      </c>
      <c r="Q78" s="47" t="s">
        <v>184</v>
      </c>
      <c r="S78" s="47"/>
      <c r="T78" s="47"/>
      <c r="U78" s="47"/>
      <c r="V78" s="47"/>
      <c r="W78" s="278"/>
      <c r="X78" s="74"/>
      <c r="Y78" s="48"/>
      <c r="Z78" s="47" t="s">
        <v>91</v>
      </c>
      <c r="AA78" s="47"/>
      <c r="AB78" s="471" t="e">
        <f>AB74+AB75+AB76</f>
        <v>#VALUE!</v>
      </c>
      <c r="AC78" s="47" t="s">
        <v>184</v>
      </c>
      <c r="AD78" s="47"/>
      <c r="AE78" s="47"/>
      <c r="AF78" s="47"/>
      <c r="AG78" s="47"/>
      <c r="AH78" s="47"/>
      <c r="AI78" s="47"/>
      <c r="AJ78" s="278"/>
      <c r="AK78" s="74"/>
      <c r="AL78" s="486"/>
      <c r="AM78" s="485"/>
      <c r="AN78" s="487"/>
      <c r="AO78" s="485"/>
    </row>
    <row r="79" spans="2:98" ht="16.5" customHeight="1" x14ac:dyDescent="0.35">
      <c r="N79" s="48"/>
      <c r="O79" s="480"/>
      <c r="P79" s="47"/>
      <c r="Q79" s="47"/>
      <c r="R79" s="47"/>
      <c r="S79" s="47"/>
      <c r="T79" s="47"/>
      <c r="U79" s="47"/>
      <c r="V79" s="47"/>
      <c r="W79" s="278"/>
      <c r="X79" s="74"/>
      <c r="Y79" s="48"/>
      <c r="Z79" s="47" t="s">
        <v>90</v>
      </c>
      <c r="AA79" s="47"/>
      <c r="AB79" s="471" t="e">
        <f>AB78/C11</f>
        <v>#VALUE!</v>
      </c>
      <c r="AC79" s="47" t="s">
        <v>184</v>
      </c>
      <c r="AD79" s="47"/>
      <c r="AE79" s="47"/>
      <c r="AF79" s="47"/>
      <c r="AG79" s="47"/>
      <c r="AH79" s="47"/>
      <c r="AI79" s="47"/>
      <c r="AJ79" s="278"/>
      <c r="AK79" s="74"/>
      <c r="AL79" s="313"/>
      <c r="AM79" s="485"/>
      <c r="AN79" s="485"/>
      <c r="AO79" s="485"/>
    </row>
    <row r="80" spans="2:98" ht="15.75" customHeight="1" x14ac:dyDescent="0.35">
      <c r="N80" s="48"/>
      <c r="O80" s="480"/>
      <c r="P80" s="47"/>
      <c r="Q80" s="47"/>
      <c r="R80" s="47"/>
      <c r="S80" s="47"/>
      <c r="T80" s="47"/>
      <c r="U80" s="47"/>
      <c r="V80" s="47"/>
      <c r="W80" s="278"/>
      <c r="X80" s="74"/>
      <c r="Y80" s="48"/>
      <c r="Z80" s="47"/>
      <c r="AA80" s="47"/>
      <c r="AB80" s="47"/>
      <c r="AC80" s="47"/>
      <c r="AD80" s="47"/>
      <c r="AE80" s="47"/>
      <c r="AF80" s="47"/>
      <c r="AG80" s="47"/>
      <c r="AH80" s="47"/>
      <c r="AI80" s="47"/>
      <c r="AJ80" s="278"/>
      <c r="AK80" s="74"/>
    </row>
    <row r="81" spans="14:43" ht="15.75" customHeight="1" thickBot="1" x14ac:dyDescent="0.4">
      <c r="N81" s="48"/>
      <c r="O81" s="480" t="s">
        <v>192</v>
      </c>
      <c r="P81" s="47"/>
      <c r="Q81" s="47"/>
      <c r="R81" s="47"/>
      <c r="S81" s="47"/>
      <c r="T81" s="47"/>
      <c r="U81" s="47"/>
      <c r="V81" s="47"/>
      <c r="W81" s="278"/>
      <c r="X81" s="74"/>
      <c r="Y81" s="48"/>
      <c r="Z81" s="47"/>
      <c r="AA81" s="47"/>
      <c r="AB81" s="47"/>
      <c r="AC81" s="47"/>
      <c r="AD81" s="47"/>
      <c r="AE81" s="47"/>
      <c r="AF81" s="47"/>
      <c r="AG81" s="47"/>
      <c r="AH81" s="47"/>
      <c r="AI81" s="47"/>
      <c r="AJ81" s="278"/>
      <c r="AK81" s="74"/>
    </row>
    <row r="82" spans="14:43" ht="15.75" customHeight="1" thickBot="1" x14ac:dyDescent="0.4">
      <c r="N82" s="48"/>
      <c r="O82" s="47" t="s">
        <v>185</v>
      </c>
      <c r="P82" s="64">
        <v>8.9999999999999998E-4</v>
      </c>
      <c r="Q82" s="47" t="s">
        <v>190</v>
      </c>
      <c r="R82" s="64"/>
      <c r="S82" s="47"/>
      <c r="T82" s="47"/>
      <c r="U82" s="47"/>
      <c r="V82" s="47"/>
      <c r="W82" s="278"/>
      <c r="X82" s="74"/>
      <c r="Y82" s="48"/>
      <c r="Z82" s="47"/>
      <c r="AA82" s="47"/>
      <c r="AB82" s="47"/>
      <c r="AC82" s="47"/>
      <c r="AD82" s="47"/>
      <c r="AE82" s="47"/>
      <c r="AF82" s="47"/>
      <c r="AG82" s="47"/>
      <c r="AH82" s="47"/>
      <c r="AI82" s="47"/>
      <c r="AJ82" s="278"/>
      <c r="AK82" s="74"/>
    </row>
    <row r="83" spans="14:43" ht="15.75" customHeight="1" thickBot="1" x14ac:dyDescent="0.4">
      <c r="N83" s="48"/>
      <c r="O83" s="47" t="s">
        <v>197</v>
      </c>
      <c r="P83" s="64" t="e">
        <f>(D3*D4)</f>
        <v>#VALUE!</v>
      </c>
      <c r="Q83" s="47" t="s">
        <v>198</v>
      </c>
      <c r="R83" s="64"/>
      <c r="S83" s="47"/>
      <c r="T83" s="47"/>
      <c r="U83" s="47"/>
      <c r="V83" s="47"/>
      <c r="W83" s="278"/>
      <c r="X83" s="74"/>
      <c r="Y83" s="48"/>
      <c r="Z83" s="47"/>
      <c r="AA83" s="47"/>
      <c r="AB83" s="47"/>
      <c r="AC83" s="47"/>
      <c r="AD83" s="47"/>
      <c r="AE83" s="47"/>
      <c r="AF83" s="47"/>
      <c r="AG83" s="47"/>
      <c r="AH83" s="47"/>
      <c r="AI83" s="47"/>
      <c r="AJ83" s="278"/>
      <c r="AK83" s="74"/>
    </row>
    <row r="84" spans="14:43" ht="15.75" customHeight="1" thickBot="1" x14ac:dyDescent="0.4">
      <c r="N84" s="48"/>
      <c r="O84" s="47"/>
      <c r="P84" s="47"/>
      <c r="Q84" s="47"/>
      <c r="R84" s="64"/>
      <c r="S84" s="47"/>
      <c r="T84" s="47"/>
      <c r="U84" s="47"/>
      <c r="V84" s="47"/>
      <c r="W84" s="278"/>
      <c r="X84" s="74"/>
      <c r="Y84" s="48"/>
      <c r="Z84" s="47"/>
      <c r="AA84" s="47"/>
      <c r="AB84" s="47"/>
      <c r="AC84" s="47"/>
      <c r="AD84" s="47"/>
      <c r="AE84" s="47"/>
      <c r="AF84" s="47"/>
      <c r="AG84" s="47"/>
      <c r="AH84" s="47"/>
      <c r="AI84" s="47"/>
      <c r="AJ84" s="278"/>
      <c r="AK84" s="74"/>
    </row>
    <row r="85" spans="14:43" ht="16.5" customHeight="1" thickBot="1" x14ac:dyDescent="0.4">
      <c r="N85" s="48"/>
      <c r="O85" s="493" t="s">
        <v>192</v>
      </c>
      <c r="P85" s="153" t="e">
        <f>P83*P82</f>
        <v>#VALUE!</v>
      </c>
      <c r="Q85" s="47" t="s">
        <v>184</v>
      </c>
      <c r="S85" s="47"/>
      <c r="T85" s="47"/>
      <c r="U85" s="47"/>
      <c r="V85" s="47"/>
      <c r="W85" s="278"/>
      <c r="X85" s="74"/>
      <c r="Y85" s="48"/>
      <c r="Z85" s="47"/>
      <c r="AA85" s="47"/>
      <c r="AB85" s="47"/>
      <c r="AC85" s="47"/>
      <c r="AD85" s="47"/>
      <c r="AE85" s="47"/>
      <c r="AF85" s="47"/>
      <c r="AG85" s="47"/>
      <c r="AH85" s="47"/>
      <c r="AI85" s="47"/>
      <c r="AJ85" s="278"/>
      <c r="AK85" s="74"/>
      <c r="AM85" s="488"/>
      <c r="AN85" s="488"/>
    </row>
    <row r="86" spans="14:43" ht="16.5" customHeight="1" x14ac:dyDescent="0.35">
      <c r="N86" s="48"/>
      <c r="O86" s="480"/>
      <c r="P86" s="479"/>
      <c r="Q86" s="47"/>
      <c r="R86" s="47"/>
      <c r="S86" s="47"/>
      <c r="T86" s="47"/>
      <c r="U86" s="47"/>
      <c r="V86" s="47"/>
      <c r="W86" s="278"/>
      <c r="X86" s="74"/>
      <c r="Y86" s="48"/>
      <c r="Z86" s="47"/>
      <c r="AA86" s="47"/>
      <c r="AB86" s="47"/>
      <c r="AC86" s="47"/>
      <c r="AD86" s="47"/>
      <c r="AE86" s="47"/>
      <c r="AF86" s="47"/>
      <c r="AG86" s="47"/>
      <c r="AH86" s="47"/>
      <c r="AI86" s="47"/>
      <c r="AJ86" s="278"/>
      <c r="AK86" s="74"/>
      <c r="AM86" s="488"/>
      <c r="AN86" s="488"/>
    </row>
    <row r="87" spans="14:43" ht="15.75" customHeight="1" x14ac:dyDescent="0.35">
      <c r="N87" s="48"/>
      <c r="O87" s="480"/>
      <c r="P87" s="479"/>
      <c r="Q87" s="47"/>
      <c r="R87" s="47"/>
      <c r="S87" s="47"/>
      <c r="T87" s="47"/>
      <c r="U87" s="47"/>
      <c r="V87" s="47"/>
      <c r="W87" s="278"/>
      <c r="X87" s="74"/>
      <c r="Y87" s="48"/>
      <c r="Z87" s="47"/>
      <c r="AA87" s="47"/>
      <c r="AB87" s="47"/>
      <c r="AC87" s="47"/>
      <c r="AD87" s="47"/>
      <c r="AE87" s="47"/>
      <c r="AF87" s="47"/>
      <c r="AG87" s="47"/>
      <c r="AH87" s="47"/>
      <c r="AI87" s="47"/>
      <c r="AJ87" s="278"/>
      <c r="AK87" s="74"/>
    </row>
    <row r="88" spans="14:43" ht="15.75" customHeight="1" thickBot="1" x14ac:dyDescent="0.4">
      <c r="N88" s="49"/>
      <c r="O88" s="490"/>
      <c r="P88" s="491"/>
      <c r="Q88" s="50"/>
      <c r="R88" s="50"/>
      <c r="S88" s="50"/>
      <c r="T88" s="50"/>
      <c r="U88" s="50"/>
      <c r="V88" s="50"/>
      <c r="W88" s="279"/>
      <c r="X88" s="74"/>
      <c r="Y88" s="49"/>
      <c r="Z88" s="50"/>
      <c r="AA88" s="50"/>
      <c r="AB88" s="50"/>
      <c r="AC88" s="50"/>
      <c r="AD88" s="50"/>
      <c r="AE88" s="50"/>
      <c r="AF88" s="50"/>
      <c r="AG88" s="50"/>
      <c r="AH88" s="50"/>
      <c r="AI88" s="50"/>
      <c r="AJ88" s="279"/>
      <c r="AK88" s="74"/>
      <c r="AQ88" s="83"/>
    </row>
    <row r="89" spans="14:43" ht="15.75" customHeight="1" x14ac:dyDescent="0.35">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Q89" s="83"/>
    </row>
    <row r="90" spans="14:43" ht="15.75" customHeight="1" x14ac:dyDescent="0.35">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Q90" s="83"/>
    </row>
    <row r="91" spans="14:43" ht="15.75" customHeight="1" x14ac:dyDescent="0.35">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Q91" s="83"/>
    </row>
    <row r="92" spans="14:43" ht="15.75" customHeight="1" x14ac:dyDescent="0.35">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Q92" s="83"/>
    </row>
    <row r="93" spans="14:43" ht="18.75" customHeight="1" x14ac:dyDescent="0.35">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Q93" s="83"/>
    </row>
    <row r="94" spans="14:43" ht="18.75" customHeight="1" x14ac:dyDescent="0.35">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Q94" s="83"/>
    </row>
    <row r="95" spans="14:43" ht="15.75" customHeight="1" x14ac:dyDescent="0.35">
      <c r="N95" s="74"/>
      <c r="O95" s="74"/>
      <c r="P95" s="74"/>
      <c r="Q95" s="74"/>
      <c r="R95" s="74"/>
      <c r="S95" s="74"/>
      <c r="T95" s="74"/>
      <c r="U95" s="74"/>
      <c r="V95" s="74"/>
      <c r="W95" s="74"/>
      <c r="X95" s="74"/>
      <c r="Y95" s="74"/>
      <c r="Z95" s="74"/>
      <c r="AA95" s="74"/>
      <c r="AB95" s="74"/>
      <c r="AC95" s="74"/>
      <c r="AD95" s="74"/>
      <c r="AE95" s="74"/>
      <c r="AF95" s="74"/>
      <c r="AG95" s="74"/>
      <c r="AH95" s="74"/>
      <c r="AI95" s="74"/>
      <c r="AJ95" s="74"/>
      <c r="AK95" s="74"/>
    </row>
    <row r="96" spans="14:43" ht="15.75" customHeight="1" x14ac:dyDescent="0.35">
      <c r="N96" s="74"/>
      <c r="O96" s="74"/>
      <c r="P96" s="74"/>
      <c r="Q96" s="74"/>
      <c r="R96" s="74"/>
      <c r="S96" s="74"/>
      <c r="T96" s="74"/>
      <c r="U96" s="74"/>
      <c r="V96" s="74"/>
      <c r="W96" s="74"/>
      <c r="X96" s="74"/>
      <c r="Y96" s="74"/>
      <c r="Z96" s="74"/>
      <c r="AA96" s="74"/>
      <c r="AB96" s="74"/>
      <c r="AC96" s="74"/>
      <c r="AD96" s="74"/>
      <c r="AE96" s="74"/>
      <c r="AF96" s="74"/>
      <c r="AG96" s="74"/>
      <c r="AH96" s="74"/>
      <c r="AI96" s="74"/>
      <c r="AJ96" s="74"/>
      <c r="AK96" s="74"/>
    </row>
    <row r="97" spans="14:41" ht="15.75" customHeight="1" x14ac:dyDescent="0.35">
      <c r="N97" s="74"/>
      <c r="O97" s="74"/>
      <c r="P97" s="74"/>
      <c r="Q97" s="74"/>
      <c r="R97" s="74"/>
      <c r="S97" s="74"/>
      <c r="T97" s="74"/>
      <c r="U97" s="74"/>
      <c r="V97" s="74"/>
      <c r="W97" s="74"/>
      <c r="X97" s="74"/>
      <c r="Y97" s="74"/>
      <c r="Z97" s="74"/>
      <c r="AA97" s="74"/>
      <c r="AB97" s="74"/>
      <c r="AC97" s="74"/>
      <c r="AD97" s="74"/>
      <c r="AE97" s="74"/>
      <c r="AF97" s="74"/>
      <c r="AG97" s="74"/>
      <c r="AH97" s="74"/>
      <c r="AI97" s="74"/>
      <c r="AJ97" s="74"/>
      <c r="AK97" s="74"/>
    </row>
    <row r="100" spans="14:41" ht="21" x14ac:dyDescent="0.35">
      <c r="N100" s="74"/>
    </row>
    <row r="101" spans="14:41" x14ac:dyDescent="0.25">
      <c r="N101" s="902"/>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902"/>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3" x14ac:dyDescent="0.25">
      <c r="C146" s="179"/>
    </row>
    <row r="147" spans="3:3" x14ac:dyDescent="0.25">
      <c r="C147" s="179"/>
    </row>
    <row r="278" spans="24:25" x14ac:dyDescent="0.25">
      <c r="X278" s="146"/>
      <c r="Y278" s="145"/>
    </row>
  </sheetData>
  <sheetProtection selectLockedCells="1" selectUnlockedCells="1"/>
  <mergeCells count="7">
    <mergeCell ref="N101:N102"/>
    <mergeCell ref="D16:W16"/>
    <mergeCell ref="N45:N46"/>
    <mergeCell ref="AT16:IX16"/>
    <mergeCell ref="AU18:AV20"/>
    <mergeCell ref="BH18:IG19"/>
    <mergeCell ref="IQ19:IW19"/>
  </mergeCells>
  <conditionalFormatting sqref="Q103:AJ122">
    <cfRule type="colorScale" priority="2">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conditionalFormatting sqref="R47:AJ66">
    <cfRule type="colorScale" priority="6">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X278"/>
  <sheetViews>
    <sheetView zoomScale="70" zoomScaleNormal="70" workbookViewId="0">
      <selection activeCell="D28" sqref="D28"/>
    </sheetView>
  </sheetViews>
  <sheetFormatPr defaultRowHeight="15" x14ac:dyDescent="0.25"/>
  <cols>
    <col min="1" max="1" width="14.140625" customWidth="1"/>
    <col min="2" max="2" width="20.42578125" customWidth="1"/>
    <col min="3" max="3" width="19.7109375" customWidth="1"/>
    <col min="4" max="4" width="13.7109375" customWidth="1"/>
    <col min="5" max="5" width="19.85546875" customWidth="1"/>
    <col min="6" max="13" width="15" customWidth="1"/>
    <col min="14" max="14" width="18.28515625" customWidth="1"/>
    <col min="15" max="15" width="15.5703125" customWidth="1"/>
    <col min="16" max="16" width="13.42578125" customWidth="1"/>
    <col min="17" max="17" width="9.85546875" customWidth="1"/>
    <col min="18" max="18" width="10" customWidth="1"/>
    <col min="19" max="19" width="13.42578125" customWidth="1"/>
    <col min="20" max="20" width="10.28515625" customWidth="1"/>
    <col min="21" max="21" width="15.140625" customWidth="1"/>
    <col min="22" max="22" width="9.85546875" customWidth="1"/>
    <col min="23" max="23" width="12.42578125" customWidth="1"/>
    <col min="24" max="24" width="17.28515625" customWidth="1"/>
    <col min="25" max="25" width="16.42578125" customWidth="1"/>
    <col min="26" max="26" width="11.7109375" customWidth="1"/>
    <col min="28" max="31" width="9.140625" customWidth="1"/>
    <col min="32" max="32" width="8.7109375" customWidth="1"/>
    <col min="33" max="35" width="9.140625" customWidth="1"/>
    <col min="38" max="38" width="9.140625" customWidth="1"/>
    <col min="39" max="39" width="15.28515625" customWidth="1"/>
    <col min="40"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7" width="0" hidden="1" customWidth="1"/>
    <col min="108" max="109" width="9.140625" hidden="1" customWidth="1"/>
    <col min="110" max="111" width="9.140625" customWidth="1"/>
    <col min="112" max="115" width="9.140625" hidden="1" customWidth="1"/>
    <col min="116" max="116" width="0" hidden="1" customWidth="1"/>
    <col min="117" max="117" width="12.140625"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55" width="9.140625" hidden="1" customWidth="1"/>
    <col min="156" max="157" width="0" hidden="1" customWidth="1"/>
    <col min="158"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5" width="9.140625" hidden="1" customWidth="1"/>
    <col min="196" max="197" width="0" hidden="1" customWidth="1"/>
    <col min="198"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35.42578125" hidden="1" customWidth="1"/>
    <col min="211" max="211" width="26.140625" hidden="1" customWidth="1"/>
    <col min="212" max="212" width="22.5703125" hidden="1" customWidth="1"/>
    <col min="213" max="213" width="28" hidden="1" customWidth="1"/>
    <col min="214" max="216" width="0" hidden="1" customWidth="1"/>
    <col min="217" max="217" width="20.28515625" hidden="1" customWidth="1"/>
    <col min="218" max="218" width="36" hidden="1" customWidth="1"/>
    <col min="219" max="219" width="35.42578125" hidden="1" customWidth="1"/>
    <col min="220" max="220" width="33.42578125" hidden="1" customWidth="1"/>
    <col min="221" max="221" width="30.85546875" hidden="1" customWidth="1"/>
    <col min="222" max="224" width="0" hidden="1" customWidth="1"/>
    <col min="225" max="225" width="18.28515625" hidden="1" customWidth="1"/>
    <col min="226" max="249" width="0" hidden="1" customWidth="1"/>
  </cols>
  <sheetData>
    <row r="1" spans="2:258" ht="21.75" thickBot="1" x14ac:dyDescent="0.4">
      <c r="B1" s="315" t="s">
        <v>39</v>
      </c>
      <c r="C1" s="381" t="s">
        <v>56</v>
      </c>
      <c r="D1" s="387"/>
      <c r="E1" s="387"/>
      <c r="F1" s="388"/>
    </row>
    <row r="2" spans="2:258" ht="21" x14ac:dyDescent="0.35">
      <c r="B2" s="382" t="s">
        <v>40</v>
      </c>
      <c r="C2" s="314"/>
      <c r="D2" s="314" t="s">
        <v>73</v>
      </c>
      <c r="E2" s="314"/>
      <c r="F2" s="331"/>
      <c r="H2" s="403" t="s">
        <v>277</v>
      </c>
      <c r="I2" s="387"/>
      <c r="J2" s="388"/>
      <c r="N2" s="315" t="s">
        <v>64</v>
      </c>
      <c r="O2" s="316"/>
      <c r="P2" s="317"/>
      <c r="Q2" s="317"/>
      <c r="R2" s="317"/>
      <c r="S2" s="317"/>
      <c r="T2" s="317"/>
      <c r="U2" s="317"/>
      <c r="V2" s="317"/>
      <c r="W2" s="318"/>
    </row>
    <row r="3" spans="2:258" ht="18.75" x14ac:dyDescent="0.3">
      <c r="B3" s="382" t="s">
        <v>41</v>
      </c>
      <c r="C3" s="314" t="str">
        <f>IF('DATA ENTRY'!B9="mm",'DATA ENTRY'!B10/25.4,'DATA ENTRY'!B10)</f>
        <v>ENTER WIDTH</v>
      </c>
      <c r="D3" s="287" t="e">
        <f>IF('DATA ENTRY'!B12="ACTUAL",'NJE2'!C3,'NJE2'!C3-0.5)</f>
        <v>#VALUE!</v>
      </c>
      <c r="E3" s="314"/>
      <c r="F3" s="331"/>
      <c r="H3" s="330" t="s">
        <v>278</v>
      </c>
      <c r="J3" s="331" t="e">
        <f>D3*D4/144</f>
        <v>#VALUE!</v>
      </c>
      <c r="N3" s="280"/>
      <c r="O3" s="282"/>
      <c r="P3" s="282"/>
      <c r="Q3" s="282"/>
      <c r="R3" s="282"/>
      <c r="S3" s="282"/>
      <c r="T3" s="282"/>
      <c r="U3" s="282"/>
      <c r="V3" s="282"/>
      <c r="W3" s="291"/>
    </row>
    <row r="4" spans="2:258" ht="18.75" x14ac:dyDescent="0.3">
      <c r="B4" s="382" t="s">
        <v>42</v>
      </c>
      <c r="C4" s="314" t="str">
        <f>IF('DATA ENTRY'!B9="mm",'DATA ENTRY'!B11/25.4,'DATA ENTRY'!B11)</f>
        <v>ENTER HEIGHT</v>
      </c>
      <c r="D4" s="287" t="e">
        <f>IF('DATA ENTRY'!B12="ACTUAL",'NJE2'!C4,'NJE2'!C4-0.5)</f>
        <v>#VALUE!</v>
      </c>
      <c r="E4" s="314"/>
      <c r="F4" s="331"/>
      <c r="H4" s="330" t="s">
        <v>279</v>
      </c>
      <c r="I4" s="314"/>
      <c r="J4" s="331" t="e">
        <f>C5/J3</f>
        <v>#VALUE!</v>
      </c>
      <c r="N4" s="280"/>
      <c r="O4" s="282" t="str">
        <f>C1&amp;"_MODEL"</f>
        <v>NJE2_MODEL</v>
      </c>
      <c r="P4" s="282" t="s">
        <v>134</v>
      </c>
      <c r="Q4" s="282"/>
      <c r="R4" s="282"/>
      <c r="S4" s="282"/>
      <c r="T4" s="282"/>
      <c r="U4" s="282"/>
      <c r="V4" s="287" t="s">
        <v>116</v>
      </c>
      <c r="W4" s="291"/>
    </row>
    <row r="5" spans="2:258" ht="18.75" x14ac:dyDescent="0.3">
      <c r="B5" s="382" t="s">
        <v>43</v>
      </c>
      <c r="C5" s="509" t="str">
        <f>IF('DATA ENTRY'!B9="mm",'DATA ENTRY'!B13*2.1188799727597,'DATA ENTRY'!B13)</f>
        <v>ENTER AIR VOLUME</v>
      </c>
      <c r="D5" s="314"/>
      <c r="E5" s="314"/>
      <c r="F5" s="331"/>
      <c r="H5" s="330"/>
      <c r="I5" s="314"/>
      <c r="J5" s="331"/>
      <c r="N5" s="280" t="s">
        <v>93</v>
      </c>
      <c r="O5" s="282" t="str">
        <f>C1&amp;"_FA"</f>
        <v>NJE2_FA</v>
      </c>
      <c r="P5" s="283" t="e">
        <f>D64</f>
        <v>#VALUE!</v>
      </c>
      <c r="Q5" s="282" t="s">
        <v>45</v>
      </c>
      <c r="R5" s="282"/>
      <c r="S5" s="282"/>
      <c r="T5" s="282"/>
      <c r="U5" s="282"/>
      <c r="V5" s="282" t="str">
        <f>C1&amp;"_W"</f>
        <v>NJE2_W</v>
      </c>
      <c r="W5" s="286" t="e">
        <f>D3</f>
        <v>#VALUE!</v>
      </c>
    </row>
    <row r="6" spans="2:258" ht="18.75" x14ac:dyDescent="0.3">
      <c r="B6" s="382" t="s">
        <v>44</v>
      </c>
      <c r="C6" s="383" t="str">
        <f>'DATA ENTRY'!B14</f>
        <v>SELECT AIR DIRECTION</v>
      </c>
      <c r="D6" s="314"/>
      <c r="E6" s="314"/>
      <c r="F6" s="331"/>
      <c r="H6" s="330"/>
      <c r="I6" s="314"/>
      <c r="J6" s="331"/>
      <c r="N6" s="280" t="s">
        <v>70</v>
      </c>
      <c r="O6" s="282" t="str">
        <f>C1&amp;"_FA%"</f>
        <v>NJE2_FA%</v>
      </c>
      <c r="P6" s="284" t="e">
        <f>D66</f>
        <v>#VALUE!</v>
      </c>
      <c r="Q6" s="282" t="s">
        <v>16</v>
      </c>
      <c r="R6" s="282"/>
      <c r="S6" s="282"/>
      <c r="T6" s="282"/>
      <c r="U6" s="282"/>
      <c r="V6" s="282" t="str">
        <f>C1&amp;"_H"</f>
        <v>NJE2_H</v>
      </c>
      <c r="W6" s="286" t="e">
        <f>D4</f>
        <v>#VALUE!</v>
      </c>
    </row>
    <row r="7" spans="2:258" ht="19.5" thickBot="1" x14ac:dyDescent="0.35">
      <c r="B7" s="330"/>
      <c r="C7" s="314"/>
      <c r="D7" s="314"/>
      <c r="E7" s="314"/>
      <c r="F7" s="331"/>
      <c r="H7" s="543"/>
      <c r="I7" s="544"/>
      <c r="J7" s="545"/>
      <c r="N7" s="280" t="s">
        <v>96</v>
      </c>
      <c r="O7" s="282" t="str">
        <f>C1&amp;"_VEL"</f>
        <v>NJE2_VEL</v>
      </c>
      <c r="P7" s="284" t="e">
        <f>D68</f>
        <v>#VALUE!</v>
      </c>
      <c r="Q7" s="282" t="s">
        <v>0</v>
      </c>
      <c r="R7" s="282"/>
      <c r="S7" s="282"/>
      <c r="T7" s="282"/>
      <c r="U7" s="282"/>
      <c r="V7" s="282" t="str">
        <f>C1&amp;"_SW"</f>
        <v>NJE2_SW</v>
      </c>
      <c r="W7" s="286" t="e">
        <f>C8</f>
        <v>#VALUE!</v>
      </c>
    </row>
    <row r="8" spans="2:258" ht="18.75" x14ac:dyDescent="0.3">
      <c r="B8" s="382" t="s">
        <v>74</v>
      </c>
      <c r="C8" s="314" t="e">
        <f>CEILING(D3/60,1)</f>
        <v>#VALUE!</v>
      </c>
      <c r="D8" s="314"/>
      <c r="E8" s="314" t="s">
        <v>75</v>
      </c>
      <c r="F8" s="331" t="e">
        <f>CEILING(D4/120,1)</f>
        <v>#VALUE!</v>
      </c>
      <c r="N8" s="280" t="s">
        <v>94</v>
      </c>
      <c r="O8" s="282" t="str">
        <f>C1&amp;"_Intake"</f>
        <v>NJE2_Intake</v>
      </c>
      <c r="P8" s="285" t="e">
        <f>D69</f>
        <v>#VALUE!</v>
      </c>
      <c r="Q8" s="282" t="s">
        <v>99</v>
      </c>
      <c r="R8" s="282"/>
      <c r="S8" s="282"/>
      <c r="T8" s="282"/>
      <c r="U8" s="282"/>
      <c r="V8" s="282" t="str">
        <f>C1&amp;"_SH"</f>
        <v>NJE2_SH</v>
      </c>
      <c r="W8" s="286" t="e">
        <f>F8</f>
        <v>#VALUE!</v>
      </c>
    </row>
    <row r="9" spans="2:258" ht="18.75" x14ac:dyDescent="0.3">
      <c r="B9" s="382" t="s">
        <v>72</v>
      </c>
      <c r="C9" s="314" t="e">
        <f>D3/C8</f>
        <v>#VALUE!</v>
      </c>
      <c r="D9" s="314"/>
      <c r="E9" s="314" t="s">
        <v>63</v>
      </c>
      <c r="F9" s="331" t="e">
        <f>D4/F8</f>
        <v>#VALUE!</v>
      </c>
      <c r="N9" s="280" t="s">
        <v>95</v>
      </c>
      <c r="O9" s="282" t="str">
        <f>C1&amp;"_Exhaust"</f>
        <v>NJE2_Exhaust</v>
      </c>
      <c r="P9" s="285" t="e">
        <f>D70</f>
        <v>#VALUE!</v>
      </c>
      <c r="Q9" s="282" t="s">
        <v>99</v>
      </c>
      <c r="R9" s="282"/>
      <c r="S9" s="282"/>
      <c r="T9" s="282"/>
      <c r="U9" s="282"/>
      <c r="V9" s="282"/>
      <c r="W9" s="291"/>
    </row>
    <row r="10" spans="2:258" ht="18.75" x14ac:dyDescent="0.3">
      <c r="B10" s="330"/>
      <c r="C10" s="314"/>
      <c r="D10" s="314"/>
      <c r="E10" s="314"/>
      <c r="F10" s="331"/>
      <c r="N10" s="280" t="s">
        <v>100</v>
      </c>
      <c r="O10" s="282" t="str">
        <f>C1&amp;"_SEC"</f>
        <v>NJE2_SEC</v>
      </c>
      <c r="P10" s="282" t="e">
        <f>C11</f>
        <v>#VALUE!</v>
      </c>
      <c r="Q10" s="282"/>
      <c r="R10" s="282"/>
      <c r="S10" s="282"/>
      <c r="T10" s="282"/>
      <c r="U10" s="282"/>
      <c r="V10" s="282"/>
      <c r="W10" s="291"/>
    </row>
    <row r="11" spans="2:258" ht="18.75" x14ac:dyDescent="0.3">
      <c r="B11" s="382" t="s">
        <v>76</v>
      </c>
      <c r="C11" s="314" t="e">
        <f>C8*F8</f>
        <v>#VALUE!</v>
      </c>
      <c r="D11" s="314"/>
      <c r="E11" s="383" t="s">
        <v>164</v>
      </c>
      <c r="F11" s="384">
        <v>7</v>
      </c>
      <c r="N11" s="280" t="s">
        <v>97</v>
      </c>
      <c r="O11" s="282" t="str">
        <f>C1&amp;"_SECW"</f>
        <v>NJE2_SECW</v>
      </c>
      <c r="P11" s="364" t="e">
        <f>AB79</f>
        <v>#VALUE!</v>
      </c>
      <c r="Q11" s="282" t="s">
        <v>86</v>
      </c>
      <c r="R11" s="282"/>
      <c r="S11" s="282"/>
      <c r="T11" s="282"/>
      <c r="U11" s="282"/>
      <c r="V11" s="282"/>
      <c r="W11" s="291"/>
    </row>
    <row r="12" spans="2:258" ht="18.75" x14ac:dyDescent="0.3">
      <c r="B12" s="48"/>
      <c r="C12" s="47"/>
      <c r="D12" s="47"/>
      <c r="E12" s="383" t="s">
        <v>165</v>
      </c>
      <c r="F12" s="384">
        <v>5.4375</v>
      </c>
      <c r="N12" s="280" t="s">
        <v>98</v>
      </c>
      <c r="O12" s="282" t="str">
        <f>C1&amp;"_TW"</f>
        <v>NJE2_TW</v>
      </c>
      <c r="P12" s="364" t="e">
        <f>AB78</f>
        <v>#VALUE!</v>
      </c>
      <c r="Q12" s="282" t="s">
        <v>86</v>
      </c>
      <c r="R12" s="47"/>
      <c r="S12" s="47"/>
      <c r="T12" s="47"/>
      <c r="U12" s="47"/>
      <c r="V12" s="47"/>
      <c r="W12" s="278"/>
    </row>
    <row r="13" spans="2:258" ht="18.75" x14ac:dyDescent="0.3">
      <c r="B13" s="48"/>
      <c r="C13" s="47"/>
      <c r="D13" s="47"/>
      <c r="E13" s="383"/>
      <c r="F13" s="384"/>
      <c r="N13" s="280" t="s">
        <v>280</v>
      </c>
      <c r="O13" s="282" t="str">
        <f>$C$1&amp;"_FACEAREA"</f>
        <v>NJE2_FACEAREA</v>
      </c>
      <c r="P13" s="364" t="e">
        <f>J3</f>
        <v>#VALUE!</v>
      </c>
      <c r="Q13" s="282" t="s">
        <v>45</v>
      </c>
      <c r="R13" s="47"/>
      <c r="S13" s="47"/>
      <c r="T13" s="47"/>
      <c r="U13" s="47"/>
      <c r="V13" s="47"/>
      <c r="W13" s="278"/>
    </row>
    <row r="14" spans="2:258" ht="19.5" thickBot="1" x14ac:dyDescent="0.35">
      <c r="B14" s="48"/>
      <c r="C14" s="47"/>
      <c r="D14" s="47"/>
      <c r="E14" s="383"/>
      <c r="F14" s="384"/>
      <c r="N14" s="281" t="s">
        <v>277</v>
      </c>
      <c r="O14" s="395" t="str">
        <f>$C$1&amp;"_FACEVEL"</f>
        <v>NJE2_FACEVEL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391" t="s">
        <v>62</v>
      </c>
      <c r="C16" s="150"/>
      <c r="D16" s="910" t="s">
        <v>124</v>
      </c>
      <c r="E16" s="911"/>
      <c r="F16" s="911"/>
      <c r="G16" s="884"/>
      <c r="H16" s="884"/>
      <c r="I16" s="884"/>
      <c r="J16" s="884"/>
      <c r="K16" s="884"/>
      <c r="L16" s="884"/>
      <c r="M16" s="884"/>
      <c r="N16" s="884"/>
      <c r="O16" s="884"/>
      <c r="P16" s="884"/>
      <c r="Q16" s="884"/>
      <c r="R16" s="884"/>
      <c r="S16" s="884"/>
      <c r="T16" s="884"/>
      <c r="U16" s="884"/>
      <c r="V16" s="884"/>
      <c r="W16" s="885"/>
      <c r="X16" s="94"/>
      <c r="Y16" s="95"/>
      <c r="AT16" s="886" t="s">
        <v>56</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thickBot="1" x14ac:dyDescent="0.3">
      <c r="B17" s="66"/>
      <c r="C17" s="68"/>
      <c r="D17" s="68">
        <f>F11</f>
        <v>7</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5">
        <v>1</v>
      </c>
      <c r="D18" s="344">
        <v>2</v>
      </c>
      <c r="E18" s="345">
        <v>3</v>
      </c>
      <c r="F18" s="345">
        <v>4</v>
      </c>
      <c r="G18" s="345">
        <v>5</v>
      </c>
      <c r="H18" s="345">
        <v>6</v>
      </c>
      <c r="I18" s="345">
        <v>7</v>
      </c>
      <c r="J18" s="345">
        <v>8</v>
      </c>
      <c r="K18" s="345">
        <v>9</v>
      </c>
      <c r="L18" s="345">
        <v>10</v>
      </c>
      <c r="M18" s="345">
        <v>11</v>
      </c>
      <c r="N18" s="345">
        <v>12</v>
      </c>
      <c r="O18" s="345">
        <v>13</v>
      </c>
      <c r="P18" s="345">
        <v>14</v>
      </c>
      <c r="Q18" s="345">
        <v>15</v>
      </c>
      <c r="R18" s="345">
        <v>16</v>
      </c>
      <c r="S18" s="345">
        <v>17</v>
      </c>
      <c r="T18" s="345">
        <v>18</v>
      </c>
      <c r="U18" s="345">
        <v>19</v>
      </c>
      <c r="V18" s="345">
        <v>20</v>
      </c>
      <c r="W18" s="346">
        <v>21</v>
      </c>
      <c r="X18" s="64"/>
      <c r="Y18" s="65"/>
      <c r="AT18" s="4"/>
      <c r="AU18" s="889" t="s">
        <v>17</v>
      </c>
      <c r="AV18" s="890"/>
      <c r="AW18" s="209"/>
      <c r="AX18" s="209"/>
      <c r="AY18" s="209"/>
      <c r="AZ18" s="209"/>
      <c r="BA18" s="209"/>
      <c r="BB18" s="209"/>
      <c r="BC18" s="209"/>
      <c r="BD18" s="209"/>
      <c r="BE18" s="209"/>
      <c r="BF18" s="209"/>
      <c r="BG18" s="209"/>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5.4375</v>
      </c>
      <c r="C19" s="227">
        <v>2</v>
      </c>
      <c r="D19" s="99">
        <f t="shared" ref="D19:D38" si="1">AX22/((D$17*B19)/144)</f>
        <v>0.29578981937602622</v>
      </c>
      <c r="E19" s="100">
        <f t="shared" ref="E19:E38" si="2">BH22/((E$17*B19)/144)</f>
        <v>0.32940229885057465</v>
      </c>
      <c r="F19" s="100">
        <f t="shared" ref="F19:F38" si="3">BR22/((F$17*$B19)/144)</f>
        <v>0.34508812260536392</v>
      </c>
      <c r="G19" s="100">
        <f t="shared" ref="G19:G38" si="4">CB22/((G$17*$B19)/144)</f>
        <v>0.35293103448275853</v>
      </c>
      <c r="H19" s="100">
        <f t="shared" ref="H19:H38" si="5">CL22/((H$17*$B19)/144)</f>
        <v>0.34508812260536392</v>
      </c>
      <c r="I19" s="100">
        <f t="shared" ref="I19:I38" si="6">CV22/((I$17*$B19)/144)</f>
        <v>0.350316730523627</v>
      </c>
      <c r="J19" s="100">
        <f t="shared" ref="J19:J38" si="7">DF22/((J$17*$B19)/144)</f>
        <v>0.3540514504652435</v>
      </c>
      <c r="K19" s="100">
        <f t="shared" ref="K19:K38" si="8">DP22/((K$17*$B19)/144)</f>
        <v>0.35685249042145589</v>
      </c>
      <c r="L19" s="100">
        <f t="shared" ref="L19:L38" si="9">DZ22/((L$17*$B19)/144)</f>
        <v>0.35903107705406551</v>
      </c>
      <c r="M19" s="100">
        <f t="shared" ref="M19:M38" si="10">EJ22/((M$17*$B19)/144)</f>
        <v>0.36077394636015325</v>
      </c>
      <c r="N19" s="237"/>
      <c r="O19" s="237"/>
      <c r="P19" s="237"/>
      <c r="Q19" s="237"/>
      <c r="R19" s="237"/>
      <c r="S19" s="237"/>
      <c r="T19" s="237"/>
      <c r="U19" s="237"/>
      <c r="V19" s="237"/>
      <c r="W19" s="237"/>
      <c r="X19" s="96"/>
      <c r="Y19" s="97"/>
      <c r="Z19" s="83"/>
      <c r="AA19" s="83"/>
      <c r="AT19" s="4"/>
      <c r="AU19" s="891"/>
      <c r="AV19" s="892"/>
      <c r="AW19" s="210"/>
      <c r="AX19" s="210"/>
      <c r="AY19" s="210"/>
      <c r="AZ19" s="210"/>
      <c r="BA19" s="210"/>
      <c r="BB19" s="210"/>
      <c r="BC19" s="210"/>
      <c r="BD19" s="210"/>
      <c r="BE19" s="210"/>
      <c r="BF19" s="210"/>
      <c r="BG19" s="210"/>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6">
        <v>3</v>
      </c>
      <c r="D20" s="98">
        <f t="shared" si="1"/>
        <v>0.29294047619047608</v>
      </c>
      <c r="E20" s="96">
        <f t="shared" si="2"/>
        <v>0.32622916666666657</v>
      </c>
      <c r="F20" s="96">
        <f t="shared" si="3"/>
        <v>0.34176388888888881</v>
      </c>
      <c r="G20" s="96">
        <f t="shared" si="4"/>
        <v>0.3495312499999999</v>
      </c>
      <c r="H20" s="96">
        <f t="shared" si="5"/>
        <v>0.34176388888888887</v>
      </c>
      <c r="I20" s="96">
        <f t="shared" si="6"/>
        <v>0.34694212962962961</v>
      </c>
      <c r="J20" s="96">
        <f t="shared" si="7"/>
        <v>0.35064087301587293</v>
      </c>
      <c r="K20" s="96">
        <f t="shared" si="8"/>
        <v>0.35341493055555551</v>
      </c>
      <c r="L20" s="96">
        <f t="shared" si="9"/>
        <v>0.35557253086419749</v>
      </c>
      <c r="M20" s="96">
        <f t="shared" si="10"/>
        <v>0.35729861111111105</v>
      </c>
      <c r="N20" s="238"/>
      <c r="O20" s="238"/>
      <c r="P20" s="238"/>
      <c r="Q20" s="238"/>
      <c r="R20" s="238"/>
      <c r="S20" s="238"/>
      <c r="T20" s="238"/>
      <c r="U20" s="238"/>
      <c r="V20" s="238"/>
      <c r="W20" s="238"/>
      <c r="X20" s="96"/>
      <c r="Y20" s="65"/>
      <c r="AA20" s="83"/>
      <c r="AT20" s="4"/>
      <c r="AU20" s="893"/>
      <c r="AV20" s="894"/>
      <c r="AW20" s="10"/>
      <c r="AX20" s="10">
        <v>7</v>
      </c>
      <c r="AY20" s="12" t="str">
        <f>"("&amp;ROUND(AX20*25.4/50,0)*50&amp;")"</f>
        <v>(200)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1"/>
        <v>0.32716269841269835</v>
      </c>
      <c r="E21" s="96">
        <f t="shared" si="2"/>
        <v>0.36434027777777772</v>
      </c>
      <c r="F21" s="96">
        <f t="shared" si="3"/>
        <v>0.38168981481481479</v>
      </c>
      <c r="G21" s="96">
        <f t="shared" si="4"/>
        <v>0.39036458333333329</v>
      </c>
      <c r="H21" s="96">
        <f t="shared" si="5"/>
        <v>0.38168981481481479</v>
      </c>
      <c r="I21" s="96">
        <f t="shared" si="6"/>
        <v>0.38747299382716049</v>
      </c>
      <c r="J21" s="96">
        <f t="shared" si="7"/>
        <v>0.39160383597883586</v>
      </c>
      <c r="K21" s="96">
        <f t="shared" si="8"/>
        <v>0.39470196759259252</v>
      </c>
      <c r="L21" s="96">
        <f t="shared" si="9"/>
        <v>0.39711162551440327</v>
      </c>
      <c r="M21" s="96">
        <f t="shared" si="10"/>
        <v>0.39903935185185185</v>
      </c>
      <c r="N21" s="238"/>
      <c r="O21" s="238"/>
      <c r="P21" s="238"/>
      <c r="Q21" s="238"/>
      <c r="R21" s="238"/>
      <c r="S21" s="238"/>
      <c r="T21" s="238"/>
      <c r="U21" s="238"/>
      <c r="V21" s="238"/>
      <c r="W21" s="238"/>
      <c r="X21" s="96"/>
      <c r="Y21" s="65"/>
      <c r="AA21" s="83"/>
      <c r="AT21" s="4"/>
      <c r="AU21" s="10"/>
      <c r="AV21" s="17"/>
      <c r="AW21" s="18"/>
      <c r="AX21" s="18"/>
      <c r="AY21" s="18">
        <v>0</v>
      </c>
      <c r="AZ21" s="12">
        <f t="shared" ref="AZ21:BG21" si="11">AY21+1</f>
        <v>1</v>
      </c>
      <c r="BA21" s="12">
        <f t="shared" si="11"/>
        <v>2</v>
      </c>
      <c r="BB21" s="12">
        <f t="shared" si="11"/>
        <v>3</v>
      </c>
      <c r="BC21" s="12">
        <f t="shared" si="11"/>
        <v>4</v>
      </c>
      <c r="BD21" s="12">
        <f t="shared" si="11"/>
        <v>5</v>
      </c>
      <c r="BE21" s="12">
        <f t="shared" si="11"/>
        <v>6</v>
      </c>
      <c r="BF21" s="12">
        <f t="shared" si="11"/>
        <v>7</v>
      </c>
      <c r="BG21" s="12">
        <f t="shared" si="11"/>
        <v>8</v>
      </c>
      <c r="BH21" s="11">
        <v>6</v>
      </c>
      <c r="BI21" s="12">
        <f>BH21+1</f>
        <v>7</v>
      </c>
      <c r="BJ21" s="12">
        <f t="shared" ref="BJ21:DU21" si="12">BI21+1</f>
        <v>8</v>
      </c>
      <c r="BK21" s="12">
        <f t="shared" si="12"/>
        <v>9</v>
      </c>
      <c r="BL21" s="12">
        <f t="shared" si="12"/>
        <v>10</v>
      </c>
      <c r="BM21" s="12">
        <f t="shared" si="12"/>
        <v>11</v>
      </c>
      <c r="BN21" s="12">
        <f t="shared" si="12"/>
        <v>12</v>
      </c>
      <c r="BO21" s="12">
        <f t="shared" si="12"/>
        <v>13</v>
      </c>
      <c r="BP21" s="12">
        <f t="shared" si="12"/>
        <v>14</v>
      </c>
      <c r="BQ21" s="12">
        <f t="shared" si="12"/>
        <v>15</v>
      </c>
      <c r="BR21" s="12">
        <f>BQ21+1</f>
        <v>16</v>
      </c>
      <c r="BS21" s="12">
        <f t="shared" si="12"/>
        <v>17</v>
      </c>
      <c r="BT21" s="12">
        <f t="shared" si="12"/>
        <v>18</v>
      </c>
      <c r="BU21" s="12">
        <f t="shared" si="12"/>
        <v>19</v>
      </c>
      <c r="BV21" s="12">
        <f t="shared" si="12"/>
        <v>20</v>
      </c>
      <c r="BW21" s="12">
        <f t="shared" si="12"/>
        <v>21</v>
      </c>
      <c r="BX21" s="12">
        <f t="shared" si="12"/>
        <v>22</v>
      </c>
      <c r="BY21" s="12">
        <f t="shared" si="12"/>
        <v>23</v>
      </c>
      <c r="BZ21" s="12">
        <f t="shared" si="12"/>
        <v>24</v>
      </c>
      <c r="CA21" s="12">
        <f t="shared" si="12"/>
        <v>25</v>
      </c>
      <c r="CB21" s="12">
        <f t="shared" si="12"/>
        <v>26</v>
      </c>
      <c r="CC21" s="12">
        <f t="shared" si="12"/>
        <v>27</v>
      </c>
      <c r="CD21" s="12">
        <f t="shared" si="12"/>
        <v>28</v>
      </c>
      <c r="CE21" s="12">
        <f t="shared" si="12"/>
        <v>29</v>
      </c>
      <c r="CF21" s="12">
        <f t="shared" si="12"/>
        <v>30</v>
      </c>
      <c r="CG21" s="12">
        <f t="shared" si="12"/>
        <v>31</v>
      </c>
      <c r="CH21" s="12">
        <f t="shared" si="12"/>
        <v>32</v>
      </c>
      <c r="CI21" s="12">
        <f t="shared" si="12"/>
        <v>33</v>
      </c>
      <c r="CJ21" s="12">
        <f t="shared" si="12"/>
        <v>34</v>
      </c>
      <c r="CK21" s="12">
        <f t="shared" si="12"/>
        <v>35</v>
      </c>
      <c r="CL21" s="12">
        <f t="shared" si="12"/>
        <v>36</v>
      </c>
      <c r="CM21" s="12">
        <f t="shared" si="12"/>
        <v>37</v>
      </c>
      <c r="CN21" s="12">
        <f t="shared" si="12"/>
        <v>38</v>
      </c>
      <c r="CO21" s="12">
        <f t="shared" si="12"/>
        <v>39</v>
      </c>
      <c r="CP21" s="12">
        <f t="shared" si="12"/>
        <v>40</v>
      </c>
      <c r="CQ21" s="12">
        <f t="shared" si="12"/>
        <v>41</v>
      </c>
      <c r="CR21" s="12">
        <f t="shared" si="12"/>
        <v>42</v>
      </c>
      <c r="CS21" s="12">
        <f t="shared" si="12"/>
        <v>43</v>
      </c>
      <c r="CT21" s="12">
        <f t="shared" si="12"/>
        <v>44</v>
      </c>
      <c r="CU21" s="12">
        <f t="shared" si="12"/>
        <v>45</v>
      </c>
      <c r="CV21" s="12">
        <f t="shared" si="12"/>
        <v>46</v>
      </c>
      <c r="CW21" s="12">
        <f t="shared" si="12"/>
        <v>47</v>
      </c>
      <c r="CX21" s="12">
        <f t="shared" si="12"/>
        <v>48</v>
      </c>
      <c r="CY21" s="12">
        <f t="shared" si="12"/>
        <v>49</v>
      </c>
      <c r="CZ21" s="12">
        <f t="shared" si="12"/>
        <v>50</v>
      </c>
      <c r="DA21" s="12">
        <f t="shared" si="12"/>
        <v>51</v>
      </c>
      <c r="DB21" s="12">
        <f t="shared" si="12"/>
        <v>52</v>
      </c>
      <c r="DC21" s="12">
        <f t="shared" si="12"/>
        <v>53</v>
      </c>
      <c r="DD21" s="12">
        <f t="shared" si="12"/>
        <v>54</v>
      </c>
      <c r="DE21" s="12">
        <f t="shared" si="12"/>
        <v>55</v>
      </c>
      <c r="DF21" s="12">
        <f t="shared" si="12"/>
        <v>56</v>
      </c>
      <c r="DG21" s="12">
        <f t="shared" si="12"/>
        <v>57</v>
      </c>
      <c r="DH21" s="12">
        <f t="shared" si="12"/>
        <v>58</v>
      </c>
      <c r="DI21" s="12">
        <f t="shared" si="12"/>
        <v>59</v>
      </c>
      <c r="DJ21" s="12">
        <f t="shared" si="12"/>
        <v>60</v>
      </c>
      <c r="DK21" s="12">
        <f t="shared" si="12"/>
        <v>61</v>
      </c>
      <c r="DL21" s="12">
        <f t="shared" si="12"/>
        <v>62</v>
      </c>
      <c r="DM21" s="12">
        <f t="shared" si="12"/>
        <v>63</v>
      </c>
      <c r="DN21" s="12">
        <f t="shared" si="12"/>
        <v>64</v>
      </c>
      <c r="DO21" s="12">
        <f t="shared" si="12"/>
        <v>65</v>
      </c>
      <c r="DP21" s="12">
        <f t="shared" si="12"/>
        <v>66</v>
      </c>
      <c r="DQ21" s="12">
        <f t="shared" si="12"/>
        <v>67</v>
      </c>
      <c r="DR21" s="12">
        <f t="shared" si="12"/>
        <v>68</v>
      </c>
      <c r="DS21" s="12">
        <f t="shared" si="12"/>
        <v>69</v>
      </c>
      <c r="DT21" s="12">
        <f t="shared" si="12"/>
        <v>70</v>
      </c>
      <c r="DU21" s="12">
        <f t="shared" si="12"/>
        <v>71</v>
      </c>
      <c r="DV21" s="12">
        <f t="shared" ref="DV21:GG21" si="13">DU21+1</f>
        <v>72</v>
      </c>
      <c r="DW21" s="12">
        <f t="shared" si="13"/>
        <v>73</v>
      </c>
      <c r="DX21" s="12">
        <f t="shared" si="13"/>
        <v>74</v>
      </c>
      <c r="DY21" s="12">
        <f t="shared" si="13"/>
        <v>75</v>
      </c>
      <c r="DZ21" s="12">
        <f t="shared" si="13"/>
        <v>76</v>
      </c>
      <c r="EA21" s="12">
        <f t="shared" si="13"/>
        <v>77</v>
      </c>
      <c r="EB21" s="12">
        <f t="shared" si="13"/>
        <v>78</v>
      </c>
      <c r="EC21" s="12">
        <f t="shared" si="13"/>
        <v>79</v>
      </c>
      <c r="ED21" s="12">
        <f t="shared" si="13"/>
        <v>80</v>
      </c>
      <c r="EE21" s="12">
        <f t="shared" si="13"/>
        <v>81</v>
      </c>
      <c r="EF21" s="12">
        <f t="shared" si="13"/>
        <v>82</v>
      </c>
      <c r="EG21" s="12">
        <f t="shared" si="13"/>
        <v>83</v>
      </c>
      <c r="EH21" s="12">
        <f t="shared" si="13"/>
        <v>84</v>
      </c>
      <c r="EI21" s="12">
        <f t="shared" si="13"/>
        <v>85</v>
      </c>
      <c r="EJ21" s="12">
        <f t="shared" si="13"/>
        <v>86</v>
      </c>
      <c r="EK21" s="12">
        <f t="shared" si="13"/>
        <v>87</v>
      </c>
      <c r="EL21" s="12">
        <f t="shared" si="13"/>
        <v>88</v>
      </c>
      <c r="EM21" s="12">
        <f t="shared" si="13"/>
        <v>89</v>
      </c>
      <c r="EN21" s="12">
        <f t="shared" si="13"/>
        <v>90</v>
      </c>
      <c r="EO21" s="12">
        <f t="shared" si="13"/>
        <v>91</v>
      </c>
      <c r="EP21" s="12">
        <f t="shared" si="13"/>
        <v>92</v>
      </c>
      <c r="EQ21" s="12">
        <f t="shared" si="13"/>
        <v>93</v>
      </c>
      <c r="ER21" s="12">
        <f t="shared" si="13"/>
        <v>94</v>
      </c>
      <c r="ES21" s="12">
        <f t="shared" si="13"/>
        <v>95</v>
      </c>
      <c r="ET21" s="12">
        <f t="shared" si="13"/>
        <v>96</v>
      </c>
      <c r="EU21" s="12">
        <f t="shared" si="13"/>
        <v>97</v>
      </c>
      <c r="EV21" s="12">
        <f t="shared" si="13"/>
        <v>98</v>
      </c>
      <c r="EW21" s="12">
        <f t="shared" si="13"/>
        <v>99</v>
      </c>
      <c r="EX21" s="12">
        <f t="shared" si="13"/>
        <v>100</v>
      </c>
      <c r="EY21" s="12">
        <f t="shared" si="13"/>
        <v>101</v>
      </c>
      <c r="EZ21" s="12">
        <f t="shared" si="13"/>
        <v>102</v>
      </c>
      <c r="FA21" s="12">
        <f t="shared" si="13"/>
        <v>103</v>
      </c>
      <c r="FB21" s="12">
        <f t="shared" si="13"/>
        <v>104</v>
      </c>
      <c r="FC21" s="12">
        <f t="shared" si="13"/>
        <v>105</v>
      </c>
      <c r="FD21" s="12">
        <f t="shared" si="13"/>
        <v>106</v>
      </c>
      <c r="FE21" s="12">
        <f t="shared" si="13"/>
        <v>107</v>
      </c>
      <c r="FF21" s="12">
        <f t="shared" si="13"/>
        <v>108</v>
      </c>
      <c r="FG21" s="12">
        <f t="shared" si="13"/>
        <v>109</v>
      </c>
      <c r="FH21" s="12">
        <f t="shared" si="13"/>
        <v>110</v>
      </c>
      <c r="FI21" s="12">
        <f t="shared" si="13"/>
        <v>111</v>
      </c>
      <c r="FJ21" s="12">
        <f t="shared" si="13"/>
        <v>112</v>
      </c>
      <c r="FK21" s="12">
        <f t="shared" si="13"/>
        <v>113</v>
      </c>
      <c r="FL21" s="12">
        <f t="shared" si="13"/>
        <v>114</v>
      </c>
      <c r="FM21" s="12">
        <f t="shared" si="13"/>
        <v>115</v>
      </c>
      <c r="FN21" s="12">
        <f t="shared" si="13"/>
        <v>116</v>
      </c>
      <c r="FO21" s="12">
        <f t="shared" si="13"/>
        <v>117</v>
      </c>
      <c r="FP21" s="12">
        <f t="shared" si="13"/>
        <v>118</v>
      </c>
      <c r="FQ21" s="12">
        <f t="shared" si="13"/>
        <v>119</v>
      </c>
      <c r="FR21" s="12">
        <f t="shared" si="13"/>
        <v>120</v>
      </c>
      <c r="FS21" s="12">
        <f t="shared" si="13"/>
        <v>121</v>
      </c>
      <c r="FT21" s="12">
        <f t="shared" si="13"/>
        <v>122</v>
      </c>
      <c r="FU21" s="12">
        <f t="shared" si="13"/>
        <v>123</v>
      </c>
      <c r="FV21" s="12">
        <f t="shared" si="13"/>
        <v>124</v>
      </c>
      <c r="FW21" s="12">
        <f t="shared" si="13"/>
        <v>125</v>
      </c>
      <c r="FX21" s="12">
        <f t="shared" si="13"/>
        <v>126</v>
      </c>
      <c r="FY21" s="12">
        <f t="shared" si="13"/>
        <v>127</v>
      </c>
      <c r="FZ21" s="12">
        <f t="shared" si="13"/>
        <v>128</v>
      </c>
      <c r="GA21" s="12">
        <f t="shared" si="13"/>
        <v>129</v>
      </c>
      <c r="GB21" s="12">
        <f t="shared" si="13"/>
        <v>130</v>
      </c>
      <c r="GC21" s="12">
        <f t="shared" si="13"/>
        <v>131</v>
      </c>
      <c r="GD21" s="12">
        <f t="shared" si="13"/>
        <v>132</v>
      </c>
      <c r="GE21" s="12">
        <f t="shared" si="13"/>
        <v>133</v>
      </c>
      <c r="GF21" s="12">
        <f t="shared" si="13"/>
        <v>134</v>
      </c>
      <c r="GG21" s="12">
        <f t="shared" si="13"/>
        <v>135</v>
      </c>
      <c r="GH21" s="12">
        <f t="shared" ref="GH21:IO21" si="14">GG21+1</f>
        <v>136</v>
      </c>
      <c r="GI21" s="12">
        <f t="shared" si="14"/>
        <v>137</v>
      </c>
      <c r="GJ21" s="12">
        <f t="shared" si="14"/>
        <v>138</v>
      </c>
      <c r="GK21" s="12">
        <f t="shared" si="14"/>
        <v>139</v>
      </c>
      <c r="GL21" s="12">
        <f t="shared" si="14"/>
        <v>140</v>
      </c>
      <c r="GM21" s="12">
        <f t="shared" si="14"/>
        <v>141</v>
      </c>
      <c r="GN21" s="12">
        <f t="shared" si="14"/>
        <v>142</v>
      </c>
      <c r="GO21" s="12">
        <f t="shared" si="14"/>
        <v>143</v>
      </c>
      <c r="GP21" s="12">
        <f t="shared" si="14"/>
        <v>144</v>
      </c>
      <c r="GQ21" s="12">
        <f t="shared" si="14"/>
        <v>145</v>
      </c>
      <c r="GR21" s="12">
        <f t="shared" si="14"/>
        <v>146</v>
      </c>
      <c r="GS21" s="12">
        <f t="shared" si="14"/>
        <v>147</v>
      </c>
      <c r="GT21" s="12">
        <f t="shared" si="14"/>
        <v>148</v>
      </c>
      <c r="GU21" s="12">
        <f t="shared" si="14"/>
        <v>149</v>
      </c>
      <c r="GV21" s="12">
        <f t="shared" si="14"/>
        <v>150</v>
      </c>
      <c r="GW21" s="12">
        <f t="shared" si="14"/>
        <v>151</v>
      </c>
      <c r="GX21" s="12">
        <f t="shared" si="14"/>
        <v>152</v>
      </c>
      <c r="GY21" s="12">
        <f t="shared" si="14"/>
        <v>153</v>
      </c>
      <c r="GZ21" s="12">
        <f t="shared" si="14"/>
        <v>154</v>
      </c>
      <c r="HA21" s="12">
        <f t="shared" si="14"/>
        <v>155</v>
      </c>
      <c r="HB21" s="12">
        <f t="shared" si="14"/>
        <v>156</v>
      </c>
      <c r="HC21" s="12">
        <f t="shared" si="14"/>
        <v>157</v>
      </c>
      <c r="HD21" s="12">
        <f t="shared" si="14"/>
        <v>158</v>
      </c>
      <c r="HE21" s="12">
        <f t="shared" si="14"/>
        <v>159</v>
      </c>
      <c r="HF21" s="12">
        <f t="shared" si="14"/>
        <v>160</v>
      </c>
      <c r="HG21" s="12">
        <f t="shared" si="14"/>
        <v>161</v>
      </c>
      <c r="HH21" s="12">
        <f t="shared" si="14"/>
        <v>162</v>
      </c>
      <c r="HI21" s="12">
        <f t="shared" si="14"/>
        <v>163</v>
      </c>
      <c r="HJ21" s="12">
        <f t="shared" si="14"/>
        <v>164</v>
      </c>
      <c r="HK21" s="12">
        <f t="shared" si="14"/>
        <v>165</v>
      </c>
      <c r="HL21" s="12">
        <f t="shared" si="14"/>
        <v>166</v>
      </c>
      <c r="HM21" s="12">
        <f t="shared" si="14"/>
        <v>167</v>
      </c>
      <c r="HN21" s="12">
        <f t="shared" si="14"/>
        <v>168</v>
      </c>
      <c r="HO21" s="12">
        <f t="shared" si="14"/>
        <v>169</v>
      </c>
      <c r="HP21" s="12">
        <f t="shared" si="14"/>
        <v>170</v>
      </c>
      <c r="HQ21" s="12">
        <f t="shared" si="14"/>
        <v>171</v>
      </c>
      <c r="HR21" s="12">
        <f t="shared" si="14"/>
        <v>172</v>
      </c>
      <c r="HS21" s="12">
        <f t="shared" si="14"/>
        <v>173</v>
      </c>
      <c r="HT21" s="12">
        <f t="shared" si="14"/>
        <v>174</v>
      </c>
      <c r="HU21" s="12">
        <f t="shared" si="14"/>
        <v>175</v>
      </c>
      <c r="HV21" s="12">
        <f t="shared" si="14"/>
        <v>176</v>
      </c>
      <c r="HW21" s="12">
        <f t="shared" si="14"/>
        <v>177</v>
      </c>
      <c r="HX21" s="12">
        <f t="shared" si="14"/>
        <v>178</v>
      </c>
      <c r="HY21" s="12">
        <f t="shared" si="14"/>
        <v>179</v>
      </c>
      <c r="HZ21" s="12">
        <f t="shared" si="14"/>
        <v>180</v>
      </c>
      <c r="IA21" s="12">
        <f t="shared" si="14"/>
        <v>181</v>
      </c>
      <c r="IB21" s="12">
        <f t="shared" si="14"/>
        <v>182</v>
      </c>
      <c r="IC21" s="12">
        <f t="shared" si="14"/>
        <v>183</v>
      </c>
      <c r="ID21" s="12">
        <f t="shared" si="14"/>
        <v>184</v>
      </c>
      <c r="IE21" s="12">
        <f t="shared" si="14"/>
        <v>185</v>
      </c>
      <c r="IF21" s="12">
        <f t="shared" si="14"/>
        <v>186</v>
      </c>
      <c r="IG21" s="12">
        <f t="shared" si="14"/>
        <v>187</v>
      </c>
      <c r="IH21" s="12">
        <f t="shared" si="14"/>
        <v>188</v>
      </c>
      <c r="II21" s="12">
        <f t="shared" si="14"/>
        <v>189</v>
      </c>
      <c r="IJ21" s="12">
        <f t="shared" si="14"/>
        <v>190</v>
      </c>
      <c r="IK21" s="12">
        <f t="shared" si="14"/>
        <v>191</v>
      </c>
      <c r="IL21" s="12">
        <f t="shared" si="14"/>
        <v>192</v>
      </c>
      <c r="IM21" s="12">
        <f t="shared" si="14"/>
        <v>193</v>
      </c>
      <c r="IN21" s="12">
        <f t="shared" si="14"/>
        <v>194</v>
      </c>
      <c r="IO21" s="12">
        <f t="shared" si="14"/>
        <v>195</v>
      </c>
      <c r="IP21" s="15"/>
      <c r="IQ21" s="16"/>
      <c r="IR21" s="16"/>
      <c r="IS21" s="16"/>
      <c r="IT21" s="16"/>
      <c r="IU21" s="16"/>
      <c r="IV21" s="16"/>
      <c r="IW21" s="16"/>
      <c r="IX21" s="8"/>
    </row>
    <row r="22" spans="2:258" ht="15.75" thickBot="1" x14ac:dyDescent="0.3">
      <c r="B22" s="103">
        <f t="shared" ref="B22:B38" si="15">B21+6</f>
        <v>24</v>
      </c>
      <c r="C22" s="226">
        <v>5</v>
      </c>
      <c r="D22" s="98">
        <f t="shared" si="1"/>
        <v>0.34427380952380948</v>
      </c>
      <c r="E22" s="96">
        <f t="shared" si="2"/>
        <v>0.38339583333333327</v>
      </c>
      <c r="F22" s="96">
        <f t="shared" si="3"/>
        <v>0.40165277777777769</v>
      </c>
      <c r="G22" s="96">
        <f t="shared" si="4"/>
        <v>0.41078124999999993</v>
      </c>
      <c r="H22" s="96">
        <f t="shared" si="5"/>
        <v>0.40165277777777775</v>
      </c>
      <c r="I22" s="96">
        <f t="shared" si="6"/>
        <v>0.40773842592592585</v>
      </c>
      <c r="J22" s="96">
        <f t="shared" si="7"/>
        <v>0.4120853174603174</v>
      </c>
      <c r="K22" s="96">
        <f t="shared" si="8"/>
        <v>0.415345486111111</v>
      </c>
      <c r="L22" s="96">
        <f t="shared" si="9"/>
        <v>0.41788117283950615</v>
      </c>
      <c r="M22" s="96">
        <f t="shared" si="10"/>
        <v>0.41990972222222211</v>
      </c>
      <c r="N22" s="238"/>
      <c r="O22" s="238"/>
      <c r="P22" s="238"/>
      <c r="Q22" s="238"/>
      <c r="R22" s="238"/>
      <c r="S22" s="238"/>
      <c r="T22" s="238"/>
      <c r="U22" s="238"/>
      <c r="V22" s="238"/>
      <c r="W22" s="238"/>
      <c r="X22" s="96"/>
      <c r="Y22" s="65"/>
      <c r="AA22" s="83"/>
      <c r="AT22" s="4"/>
      <c r="AU22" s="216">
        <f>F12</f>
        <v>5.4375</v>
      </c>
      <c r="AV22" s="12" t="str">
        <f>"("&amp;ROUND(AU22*25.4/50,0)*50&amp;")"</f>
        <v>(150)</v>
      </c>
      <c r="AW22" s="217">
        <v>7</v>
      </c>
      <c r="AX22" s="20">
        <f t="shared" ref="AX22:AX41" si="16">($IR22+(($IQ22-1)*$IS22)+$IT22)*BG22/144</f>
        <v>7.8184027777777762E-2</v>
      </c>
      <c r="AY22" s="21" t="str">
        <f t="shared" ref="AY22" si="17">"("&amp;FIXED(AX22*0.092903,2)&amp;")"</f>
        <v>(0.01)</v>
      </c>
      <c r="AZ22" s="22">
        <v>2</v>
      </c>
      <c r="BA22" s="22">
        <f t="shared" ref="BA22:BA41" si="18">$IU$23*AZ22</f>
        <v>1.5</v>
      </c>
      <c r="BB22" s="22">
        <v>0</v>
      </c>
      <c r="BC22" s="22">
        <f t="shared" ref="BC22:BC41" si="19">$IW$23*BB22</f>
        <v>0</v>
      </c>
      <c r="BD22" s="22">
        <v>0</v>
      </c>
      <c r="BE22" s="22">
        <f t="shared" ref="BE22:BE41" si="20">$IV$23*BD22</f>
        <v>0</v>
      </c>
      <c r="BF22" s="22">
        <f t="shared" ref="BF22" si="21">BA22+BC22+BE22</f>
        <v>1.5</v>
      </c>
      <c r="BG22" s="23">
        <f t="shared" ref="BG22:BG41" si="22">AX$20-BA22-BC22-BE22</f>
        <v>5.5</v>
      </c>
      <c r="BH22" s="20">
        <f t="shared" ref="BH22:BH41" si="23">($IR22+(($IQ22-1)*$IS22)+$IT22)*BQ22/144</f>
        <v>0.14926041666666665</v>
      </c>
      <c r="BI22" s="21" t="str">
        <f t="shared" ref="BI22" si="24">"("&amp;FIXED(BH22*0.092903,2)&amp;")"</f>
        <v>(0.01)</v>
      </c>
      <c r="BJ22" s="22">
        <v>2</v>
      </c>
      <c r="BK22" s="22">
        <f t="shared" ref="BK22:BK41" si="25">$IU$23*BJ22</f>
        <v>1.5</v>
      </c>
      <c r="BL22" s="22">
        <v>0</v>
      </c>
      <c r="BM22" s="22">
        <f t="shared" ref="BM22:BM41" si="26">$IW$23*BL22</f>
        <v>0</v>
      </c>
      <c r="BN22" s="22">
        <v>0</v>
      </c>
      <c r="BO22" s="22">
        <f t="shared" ref="BO22:BO41" si="27">$IV$23*BN22</f>
        <v>0</v>
      </c>
      <c r="BP22" s="22">
        <f t="shared" ref="BP22" si="28">BK22+BM22+BO22</f>
        <v>1.5</v>
      </c>
      <c r="BQ22" s="23">
        <f t="shared" ref="BQ22:BQ41" si="29">BH$20-BK22-BM22-BO22</f>
        <v>10.5</v>
      </c>
      <c r="BR22" s="20">
        <f t="shared" ref="BR22:BR41" si="30">($IR22+(($IQ22-1)*$IS22)+$IT22)*CA22/144</f>
        <v>0.2345520833333333</v>
      </c>
      <c r="BS22" s="21" t="str">
        <f t="shared" ref="BS22:BS41" si="31">"("&amp;ROUND(BR22*0.092903,2)&amp;")"</f>
        <v>(0.02)</v>
      </c>
      <c r="BT22" s="22">
        <v>2</v>
      </c>
      <c r="BU22" s="22">
        <f t="shared" ref="BU22:BU41" si="32">$IU$23*BT22</f>
        <v>1.5</v>
      </c>
      <c r="BV22" s="22">
        <v>0</v>
      </c>
      <c r="BW22" s="22">
        <f t="shared" ref="BW22:BW41" si="33">$IW$23*BV22</f>
        <v>0</v>
      </c>
      <c r="BX22" s="22">
        <v>0</v>
      </c>
      <c r="BY22" s="22">
        <f t="shared" ref="BY22:BY41" si="34">$IV$23*BX22</f>
        <v>0</v>
      </c>
      <c r="BZ22" s="22">
        <f t="shared" ref="BZ22" si="35">BU22+BW22+BY22</f>
        <v>1.5</v>
      </c>
      <c r="CA22" s="23">
        <f t="shared" ref="CA22:CA41" si="36">BR$20-BU22-BW22-BY22</f>
        <v>16.5</v>
      </c>
      <c r="CB22" s="20">
        <f t="shared" ref="CB22:CB41" si="37">($IR22+(($IQ22-1)*$IS22)+$IT22)*CK22/144</f>
        <v>0.31984374999999993</v>
      </c>
      <c r="CC22" s="21" t="str">
        <f t="shared" ref="CC22:CC41" si="38">"("&amp;ROUND(CB22*0.092903,2)&amp;")"</f>
        <v>(0.03)</v>
      </c>
      <c r="CD22" s="22">
        <v>2</v>
      </c>
      <c r="CE22" s="22">
        <f t="shared" ref="CE22:CE41" si="39">$IU$23*CD22</f>
        <v>1.5</v>
      </c>
      <c r="CF22" s="22">
        <v>0</v>
      </c>
      <c r="CG22" s="22">
        <f t="shared" ref="CG22:CG41" si="40">$IW$23*CF22</f>
        <v>0</v>
      </c>
      <c r="CH22" s="22">
        <v>0</v>
      </c>
      <c r="CI22" s="22">
        <f t="shared" ref="CI22:CI41" si="41">$IV$23*CH22</f>
        <v>0</v>
      </c>
      <c r="CJ22" s="22">
        <f t="shared" ref="CJ22" si="42">CE22+CG22+CI22</f>
        <v>1.5</v>
      </c>
      <c r="CK22" s="23">
        <f t="shared" ref="CK22:CK41" si="43">CB$20-CE22-CG22-CI22</f>
        <v>22.5</v>
      </c>
      <c r="CL22" s="20">
        <f t="shared" ref="CL22:CL41" si="44">($IR22+(($IQ22-1)*$IS22)+$IT22)*CU22/144</f>
        <v>0.39092013888888882</v>
      </c>
      <c r="CM22" s="21" t="str">
        <f t="shared" ref="CM22:CM41" si="45">"("&amp;ROUND(CL22*0.092903,2)&amp;")"</f>
        <v>(0.04)</v>
      </c>
      <c r="CN22" s="22">
        <v>2</v>
      </c>
      <c r="CO22" s="22">
        <f t="shared" ref="CO22:CO41" si="46">$IU$23*CN22</f>
        <v>1.5</v>
      </c>
      <c r="CP22" s="22">
        <v>0</v>
      </c>
      <c r="CQ22" s="22">
        <f t="shared" ref="CQ22:CQ41" si="47">$IW$23*CP22</f>
        <v>0</v>
      </c>
      <c r="CR22" s="22">
        <v>1</v>
      </c>
      <c r="CS22" s="22">
        <f t="shared" ref="CS22:CS41" si="48">$IV$23*CR22</f>
        <v>1</v>
      </c>
      <c r="CT22" s="22">
        <f t="shared" ref="CT22" si="49">CO22+CQ22+CS22</f>
        <v>2.5</v>
      </c>
      <c r="CU22" s="23">
        <f t="shared" ref="CU22:CU41" si="50">CL$20-CO22-CQ22-CS22</f>
        <v>27.5</v>
      </c>
      <c r="CV22" s="20">
        <f t="shared" ref="CV22:CV41" si="51">($IR22+(($IQ22-1)*$IS22)+$IT22)*DE22/144</f>
        <v>0.47621180555555548</v>
      </c>
      <c r="CW22" s="21" t="str">
        <f t="shared" ref="CW22:CW41" si="52">"("&amp;ROUND(CV22*0.092903,2)&amp;")"</f>
        <v>(0.04)</v>
      </c>
      <c r="CX22" s="22">
        <v>2</v>
      </c>
      <c r="CY22" s="22">
        <f t="shared" ref="CY22:CY41" si="53">$IU$23*CX22</f>
        <v>1.5</v>
      </c>
      <c r="CZ22" s="22">
        <v>0</v>
      </c>
      <c r="DA22" s="22">
        <f t="shared" ref="DA22:DA41" si="54">$IW$23*CZ22</f>
        <v>0</v>
      </c>
      <c r="DB22" s="22">
        <v>1</v>
      </c>
      <c r="DC22" s="22">
        <f t="shared" ref="DC22:DC41" si="55">$IV$23*DB22</f>
        <v>1</v>
      </c>
      <c r="DD22" s="22">
        <f t="shared" ref="DD22" si="56">CY22+DA22+DC22</f>
        <v>2.5</v>
      </c>
      <c r="DE22" s="23">
        <f t="shared" ref="DE22:DE41" si="57">CV$20-CY22-DA22-DC22</f>
        <v>33.5</v>
      </c>
      <c r="DF22" s="20">
        <f t="shared" ref="DF22:DF41" si="58">($IR22+(($IQ22-1)*$IS22)+$IT22)*DO22/144</f>
        <v>0.56150347222222208</v>
      </c>
      <c r="DG22" s="21" t="str">
        <f t="shared" ref="DG22:DG41" si="59">"("&amp;ROUND(DF22*0.092903,2)&amp;")"</f>
        <v>(0.05)</v>
      </c>
      <c r="DH22" s="22">
        <v>2</v>
      </c>
      <c r="DI22" s="22">
        <f t="shared" ref="DI22:DI41" si="60">$IU$23*DH22</f>
        <v>1.5</v>
      </c>
      <c r="DJ22" s="22">
        <v>0</v>
      </c>
      <c r="DK22" s="22">
        <f t="shared" ref="DK22:DK41" si="61">$IW$23*DJ22</f>
        <v>0</v>
      </c>
      <c r="DL22" s="22">
        <v>1</v>
      </c>
      <c r="DM22" s="22">
        <f t="shared" ref="DM22:DM41" si="62">$IV$23*DL22</f>
        <v>1</v>
      </c>
      <c r="DN22" s="22">
        <f t="shared" ref="DN22" si="63">DI22+DK22+DM22</f>
        <v>2.5</v>
      </c>
      <c r="DO22" s="23">
        <f t="shared" ref="DO22:DO41" si="64">DF$20-DI22-DK22-DM22</f>
        <v>39.5</v>
      </c>
      <c r="DP22" s="20">
        <f t="shared" ref="DP22:DP41" si="65">($IR22+(($IQ22-1)*$IS22)+$IT22)*DY22/144</f>
        <v>0.64679513888888884</v>
      </c>
      <c r="DQ22" s="21" t="str">
        <f t="shared" ref="DQ22:DQ41" si="66">"("&amp;ROUND(DP22*0.092903,2)&amp;")"</f>
        <v>(0.06)</v>
      </c>
      <c r="DR22" s="22">
        <v>2</v>
      </c>
      <c r="DS22" s="22">
        <f t="shared" ref="DS22:DS41" si="67">$IU$23*DR22</f>
        <v>1.5</v>
      </c>
      <c r="DT22" s="22">
        <v>0</v>
      </c>
      <c r="DU22" s="22">
        <f t="shared" ref="DU22:DU41" si="68">$IW$23*DT22</f>
        <v>0</v>
      </c>
      <c r="DV22" s="22">
        <v>1</v>
      </c>
      <c r="DW22" s="22">
        <f t="shared" ref="DW22:DW41" si="69">$IV$23*DV22</f>
        <v>1</v>
      </c>
      <c r="DX22" s="22">
        <f t="shared" ref="DX22" si="70">DS22+DU22+DW22</f>
        <v>2.5</v>
      </c>
      <c r="DY22" s="23">
        <f t="shared" ref="DY22:DY41" si="71">DP$20-DS22-DU22-DW22</f>
        <v>45.5</v>
      </c>
      <c r="DZ22" s="20">
        <f t="shared" ref="DZ22:DZ41" si="72">($IR22+(($IQ22-1)*$IS22)+$IT22)*EI22/144</f>
        <v>0.7320868055555555</v>
      </c>
      <c r="EA22" s="21" t="str">
        <f t="shared" ref="EA22" si="73">"("&amp;FIXED(DZ22*0.092903,2)&amp;")"</f>
        <v>(0.07)</v>
      </c>
      <c r="EB22" s="22">
        <v>2</v>
      </c>
      <c r="EC22" s="22">
        <f t="shared" ref="EC22:EC41" si="74">$IU$23*EB22</f>
        <v>1.5</v>
      </c>
      <c r="ED22" s="22">
        <v>0</v>
      </c>
      <c r="EE22" s="22">
        <f t="shared" ref="EE22:EE41" si="75">$IW$23*ED22</f>
        <v>0</v>
      </c>
      <c r="EF22" s="22">
        <v>1</v>
      </c>
      <c r="EG22" s="22">
        <f t="shared" ref="EG22:EG41" si="76">$IV$23*EF22</f>
        <v>1</v>
      </c>
      <c r="EH22" s="22">
        <f t="shared" ref="EH22" si="77">EC22+EE22+EG22</f>
        <v>2.5</v>
      </c>
      <c r="EI22" s="23">
        <f t="shared" ref="EI22:EI41" si="78">DZ$20-EC22-EE22-EG22</f>
        <v>51.5</v>
      </c>
      <c r="EJ22" s="20">
        <f t="shared" ref="EJ22:EJ41" si="79">($IR22+(($IQ22-1)*$IS22)+$IT22)*ES22/144</f>
        <v>0.81737847222222215</v>
      </c>
      <c r="EK22" s="21" t="str">
        <f t="shared" ref="EK22" si="80">"("&amp;FIXED(EJ22*0.092903,2)&amp;")"</f>
        <v>(0.08)</v>
      </c>
      <c r="EL22" s="22">
        <v>2</v>
      </c>
      <c r="EM22" s="22">
        <f t="shared" ref="EM22:EM41" si="81">$IU$23*EL22</f>
        <v>1.5</v>
      </c>
      <c r="EN22" s="22">
        <v>0</v>
      </c>
      <c r="EO22" s="22">
        <f t="shared" ref="EO22:EO41" si="82">$IW$23*EN22</f>
        <v>0</v>
      </c>
      <c r="EP22" s="22">
        <v>1</v>
      </c>
      <c r="EQ22" s="22">
        <f t="shared" ref="EQ22:EQ41" si="83">$IV$23*EP22</f>
        <v>1</v>
      </c>
      <c r="ER22" s="22">
        <f t="shared" ref="ER22" si="84">EM22+EO22+EQ22</f>
        <v>2.5</v>
      </c>
      <c r="ES22" s="23">
        <f t="shared" ref="ES22:ES41" si="85">EJ$20-EM22-EO22-EQ22</f>
        <v>57.5</v>
      </c>
      <c r="ET22" s="202"/>
      <c r="EU22" s="203"/>
      <c r="EV22" s="204"/>
      <c r="EW22" s="204"/>
      <c r="EX22" s="204"/>
      <c r="EY22" s="204"/>
      <c r="EZ22" s="204"/>
      <c r="FA22" s="204"/>
      <c r="FB22" s="204"/>
      <c r="FC22" s="205"/>
      <c r="FD22" s="202"/>
      <c r="FE22" s="203"/>
      <c r="FF22" s="204"/>
      <c r="FG22" s="204"/>
      <c r="FH22" s="204"/>
      <c r="FI22" s="204"/>
      <c r="FJ22" s="204"/>
      <c r="FK22" s="204"/>
      <c r="FL22" s="204"/>
      <c r="FM22" s="205"/>
      <c r="FN22" s="202"/>
      <c r="FO22" s="203"/>
      <c r="FP22" s="204"/>
      <c r="FQ22" s="204"/>
      <c r="FR22" s="204"/>
      <c r="FS22" s="204"/>
      <c r="FT22" s="204"/>
      <c r="FU22" s="204"/>
      <c r="FV22" s="204"/>
      <c r="FW22" s="205"/>
      <c r="FX22" s="202"/>
      <c r="FY22" s="203"/>
      <c r="FZ22" s="204"/>
      <c r="GA22" s="204"/>
      <c r="GB22" s="204"/>
      <c r="GC22" s="204"/>
      <c r="GD22" s="204"/>
      <c r="GE22" s="204"/>
      <c r="GF22" s="204"/>
      <c r="GG22" s="205"/>
      <c r="GH22" s="202"/>
      <c r="GI22" s="203"/>
      <c r="GJ22" s="204"/>
      <c r="GK22" s="204"/>
      <c r="GL22" s="204"/>
      <c r="GM22" s="204"/>
      <c r="GN22" s="204"/>
      <c r="GO22" s="204"/>
      <c r="GP22" s="204"/>
      <c r="GQ22" s="205"/>
      <c r="GR22" s="202"/>
      <c r="GS22" s="203"/>
      <c r="GT22" s="204"/>
      <c r="GU22" s="204"/>
      <c r="GV22" s="204"/>
      <c r="GW22" s="204"/>
      <c r="GX22" s="204"/>
      <c r="GY22" s="204"/>
      <c r="GZ22" s="204"/>
      <c r="HA22" s="205"/>
      <c r="HB22" s="202"/>
      <c r="HC22" s="203"/>
      <c r="HD22" s="204"/>
      <c r="HE22" s="204"/>
      <c r="HF22" s="204"/>
      <c r="HG22" s="204"/>
      <c r="HH22" s="204"/>
      <c r="HI22" s="204"/>
      <c r="HJ22" s="204"/>
      <c r="HK22" s="205"/>
      <c r="HL22" s="202"/>
      <c r="HM22" s="203"/>
      <c r="HN22" s="204"/>
      <c r="HO22" s="204"/>
      <c r="HP22" s="204"/>
      <c r="HQ22" s="204"/>
      <c r="HR22" s="204"/>
      <c r="HS22" s="204"/>
      <c r="HT22" s="204"/>
      <c r="HU22" s="205"/>
      <c r="HV22" s="202"/>
      <c r="HW22" s="203"/>
      <c r="HX22" s="204"/>
      <c r="HY22" s="204"/>
      <c r="HZ22" s="204"/>
      <c r="IA22" s="204"/>
      <c r="IB22" s="204"/>
      <c r="IC22" s="204"/>
      <c r="ID22" s="204"/>
      <c r="IE22" s="205"/>
      <c r="IF22" s="202"/>
      <c r="IG22" s="203"/>
      <c r="IH22" s="204"/>
      <c r="II22" s="204"/>
      <c r="IJ22" s="204"/>
      <c r="IK22" s="204"/>
      <c r="IL22" s="204"/>
      <c r="IM22" s="204"/>
      <c r="IN22" s="204"/>
      <c r="IO22" s="205"/>
      <c r="IP22" s="15"/>
      <c r="IQ22" s="25">
        <v>3</v>
      </c>
      <c r="IR22" s="26">
        <v>0</v>
      </c>
      <c r="IS22" s="26">
        <v>1.0069999999999999</v>
      </c>
      <c r="IT22" s="26">
        <v>3.3000000000000002E-2</v>
      </c>
      <c r="IU22" s="26">
        <v>0.75</v>
      </c>
      <c r="IV22" s="26">
        <v>1</v>
      </c>
      <c r="IW22" s="26">
        <v>0</v>
      </c>
      <c r="IX22" s="8"/>
    </row>
    <row r="23" spans="2:258" ht="15.75" thickBot="1" x14ac:dyDescent="0.3">
      <c r="B23" s="103">
        <f t="shared" si="15"/>
        <v>30</v>
      </c>
      <c r="C23" s="221">
        <v>6</v>
      </c>
      <c r="D23" s="98">
        <f t="shared" si="1"/>
        <v>0.35454047619047618</v>
      </c>
      <c r="E23" s="96">
        <f t="shared" si="2"/>
        <v>0.39482916666666668</v>
      </c>
      <c r="F23" s="96">
        <f t="shared" si="3"/>
        <v>0.4136305555555555</v>
      </c>
      <c r="G23" s="96">
        <f t="shared" si="4"/>
        <v>0.42303125000000003</v>
      </c>
      <c r="H23" s="96">
        <f t="shared" si="5"/>
        <v>0.41363055555555556</v>
      </c>
      <c r="I23" s="96">
        <f t="shared" si="6"/>
        <v>0.41989768518518511</v>
      </c>
      <c r="J23" s="96">
        <f t="shared" si="7"/>
        <v>0.42437420634920636</v>
      </c>
      <c r="K23" s="96">
        <f t="shared" si="8"/>
        <v>0.42773159722222226</v>
      </c>
      <c r="L23" s="96">
        <f t="shared" si="9"/>
        <v>0.43034290123456792</v>
      </c>
      <c r="M23" s="96">
        <f t="shared" si="10"/>
        <v>0.43243194444444444</v>
      </c>
      <c r="N23" s="238"/>
      <c r="O23" s="238"/>
      <c r="P23" s="238"/>
      <c r="Q23" s="238"/>
      <c r="R23" s="238"/>
      <c r="S23" s="238"/>
      <c r="T23" s="238"/>
      <c r="U23" s="238"/>
      <c r="V23" s="238"/>
      <c r="W23" s="238"/>
      <c r="X23" s="96"/>
      <c r="Y23" s="65"/>
      <c r="AA23" s="83"/>
      <c r="AT23" s="4"/>
      <c r="AU23" s="14">
        <v>12</v>
      </c>
      <c r="AV23" s="12" t="str">
        <f>"("&amp;ROUND(AU23*25.4/50,0)*50&amp;")"</f>
        <v>(300)</v>
      </c>
      <c r="AW23" s="19">
        <v>8</v>
      </c>
      <c r="AX23" s="20">
        <f t="shared" si="16"/>
        <v>0.17088194444444441</v>
      </c>
      <c r="AY23" s="21" t="str">
        <f>"("&amp;FIXED(AX23*0.092903,2)&amp;")"</f>
        <v>(0.02)</v>
      </c>
      <c r="AZ23" s="22">
        <v>2</v>
      </c>
      <c r="BA23" s="22">
        <f t="shared" si="18"/>
        <v>1.5</v>
      </c>
      <c r="BB23" s="22">
        <v>0</v>
      </c>
      <c r="BC23" s="22">
        <f t="shared" si="19"/>
        <v>0</v>
      </c>
      <c r="BD23" s="22">
        <v>0</v>
      </c>
      <c r="BE23" s="22">
        <f t="shared" si="20"/>
        <v>0</v>
      </c>
      <c r="BF23" s="22">
        <f>BA23+BC23+BE23</f>
        <v>1.5</v>
      </c>
      <c r="BG23" s="23">
        <f t="shared" si="22"/>
        <v>5.5</v>
      </c>
      <c r="BH23" s="373">
        <f t="shared" si="23"/>
        <v>0.32622916666666657</v>
      </c>
      <c r="BI23" s="374" t="str">
        <f>"("&amp;FIXED(BH23*0.092903,2)&amp;")"</f>
        <v>(0.03)</v>
      </c>
      <c r="BJ23" s="375">
        <v>2</v>
      </c>
      <c r="BK23" s="375">
        <f t="shared" si="25"/>
        <v>1.5</v>
      </c>
      <c r="BL23" s="375">
        <v>0</v>
      </c>
      <c r="BM23" s="375">
        <f t="shared" si="26"/>
        <v>0</v>
      </c>
      <c r="BN23" s="375">
        <v>0</v>
      </c>
      <c r="BO23" s="375">
        <f t="shared" si="27"/>
        <v>0</v>
      </c>
      <c r="BP23" s="375">
        <f>BK23+BM23+BO23</f>
        <v>1.5</v>
      </c>
      <c r="BQ23" s="376">
        <f t="shared" si="29"/>
        <v>10.5</v>
      </c>
      <c r="BR23" s="373">
        <f t="shared" si="30"/>
        <v>0.51264583333333325</v>
      </c>
      <c r="BS23" s="374" t="str">
        <f t="shared" si="31"/>
        <v>(0.05)</v>
      </c>
      <c r="BT23" s="375">
        <v>2</v>
      </c>
      <c r="BU23" s="375">
        <f t="shared" si="32"/>
        <v>1.5</v>
      </c>
      <c r="BV23" s="375">
        <v>0</v>
      </c>
      <c r="BW23" s="375">
        <f t="shared" si="33"/>
        <v>0</v>
      </c>
      <c r="BX23" s="375">
        <v>0</v>
      </c>
      <c r="BY23" s="375">
        <f t="shared" si="34"/>
        <v>0</v>
      </c>
      <c r="BZ23" s="375">
        <f>BU23+BW23+BY23</f>
        <v>1.5</v>
      </c>
      <c r="CA23" s="376">
        <f t="shared" si="36"/>
        <v>16.5</v>
      </c>
      <c r="CB23" s="373">
        <f t="shared" si="37"/>
        <v>0.69906249999999981</v>
      </c>
      <c r="CC23" s="374" t="str">
        <f t="shared" si="38"/>
        <v>(0.06)</v>
      </c>
      <c r="CD23" s="375">
        <v>2</v>
      </c>
      <c r="CE23" s="375">
        <f t="shared" si="39"/>
        <v>1.5</v>
      </c>
      <c r="CF23" s="375">
        <v>0</v>
      </c>
      <c r="CG23" s="375">
        <f t="shared" si="40"/>
        <v>0</v>
      </c>
      <c r="CH23" s="375">
        <v>0</v>
      </c>
      <c r="CI23" s="375">
        <f t="shared" si="41"/>
        <v>0</v>
      </c>
      <c r="CJ23" s="375">
        <f>CE23+CG23+CI23</f>
        <v>1.5</v>
      </c>
      <c r="CK23" s="376">
        <f t="shared" si="43"/>
        <v>22.5</v>
      </c>
      <c r="CL23" s="373">
        <f t="shared" si="44"/>
        <v>0.85440972222222211</v>
      </c>
      <c r="CM23" s="374" t="str">
        <f t="shared" si="45"/>
        <v>(0.08)</v>
      </c>
      <c r="CN23" s="375">
        <v>2</v>
      </c>
      <c r="CO23" s="375">
        <f t="shared" si="46"/>
        <v>1.5</v>
      </c>
      <c r="CP23" s="375">
        <v>0</v>
      </c>
      <c r="CQ23" s="375">
        <f t="shared" si="47"/>
        <v>0</v>
      </c>
      <c r="CR23" s="375">
        <v>1</v>
      </c>
      <c r="CS23" s="375">
        <f t="shared" si="48"/>
        <v>1</v>
      </c>
      <c r="CT23" s="375">
        <f>CO23+CQ23+CS23</f>
        <v>2.5</v>
      </c>
      <c r="CU23" s="376">
        <f t="shared" si="50"/>
        <v>27.5</v>
      </c>
      <c r="CV23" s="373">
        <f t="shared" si="51"/>
        <v>1.0408263888888889</v>
      </c>
      <c r="CW23" s="374" t="str">
        <f t="shared" si="52"/>
        <v>(0.1)</v>
      </c>
      <c r="CX23" s="375">
        <v>2</v>
      </c>
      <c r="CY23" s="375">
        <f t="shared" si="53"/>
        <v>1.5</v>
      </c>
      <c r="CZ23" s="375">
        <v>0</v>
      </c>
      <c r="DA23" s="375">
        <f t="shared" si="54"/>
        <v>0</v>
      </c>
      <c r="DB23" s="375">
        <v>1</v>
      </c>
      <c r="DC23" s="375">
        <f t="shared" si="55"/>
        <v>1</v>
      </c>
      <c r="DD23" s="375">
        <f>CY23+DA23+DC23</f>
        <v>2.5</v>
      </c>
      <c r="DE23" s="376">
        <f t="shared" si="57"/>
        <v>33.5</v>
      </c>
      <c r="DF23" s="373">
        <f t="shared" si="58"/>
        <v>1.2272430555555554</v>
      </c>
      <c r="DG23" s="374" t="str">
        <f t="shared" si="59"/>
        <v>(0.11)</v>
      </c>
      <c r="DH23" s="375">
        <v>2</v>
      </c>
      <c r="DI23" s="375">
        <f t="shared" si="60"/>
        <v>1.5</v>
      </c>
      <c r="DJ23" s="375">
        <v>0</v>
      </c>
      <c r="DK23" s="375">
        <f t="shared" si="61"/>
        <v>0</v>
      </c>
      <c r="DL23" s="375">
        <v>1</v>
      </c>
      <c r="DM23" s="375">
        <f t="shared" si="62"/>
        <v>1</v>
      </c>
      <c r="DN23" s="375">
        <f>DI23+DK23+DM23</f>
        <v>2.5</v>
      </c>
      <c r="DO23" s="376">
        <f t="shared" si="64"/>
        <v>39.5</v>
      </c>
      <c r="DP23" s="373">
        <f t="shared" si="65"/>
        <v>1.413659722222222</v>
      </c>
      <c r="DQ23" s="374" t="str">
        <f t="shared" si="66"/>
        <v>(0.13)</v>
      </c>
      <c r="DR23" s="375">
        <v>2</v>
      </c>
      <c r="DS23" s="375">
        <f t="shared" si="67"/>
        <v>1.5</v>
      </c>
      <c r="DT23" s="375">
        <v>0</v>
      </c>
      <c r="DU23" s="375">
        <f t="shared" si="68"/>
        <v>0</v>
      </c>
      <c r="DV23" s="375">
        <v>1</v>
      </c>
      <c r="DW23" s="375">
        <f t="shared" si="69"/>
        <v>1</v>
      </c>
      <c r="DX23" s="375">
        <f>DS23+DU23+DW23</f>
        <v>2.5</v>
      </c>
      <c r="DY23" s="376">
        <f t="shared" si="71"/>
        <v>45.5</v>
      </c>
      <c r="DZ23" s="373">
        <f t="shared" si="72"/>
        <v>1.6000763888888887</v>
      </c>
      <c r="EA23" s="374" t="str">
        <f>"("&amp;FIXED(DZ23*0.092903,2)&amp;")"</f>
        <v>(0.15)</v>
      </c>
      <c r="EB23" s="375">
        <v>2</v>
      </c>
      <c r="EC23" s="375">
        <f t="shared" si="74"/>
        <v>1.5</v>
      </c>
      <c r="ED23" s="375">
        <v>0</v>
      </c>
      <c r="EE23" s="375">
        <f t="shared" si="75"/>
        <v>0</v>
      </c>
      <c r="EF23" s="375">
        <v>1</v>
      </c>
      <c r="EG23" s="375">
        <f t="shared" si="76"/>
        <v>1</v>
      </c>
      <c r="EH23" s="375">
        <f>EC23+EE23+EG23</f>
        <v>2.5</v>
      </c>
      <c r="EI23" s="376">
        <f t="shared" si="78"/>
        <v>51.5</v>
      </c>
      <c r="EJ23" s="373">
        <f t="shared" si="79"/>
        <v>1.7864930555555552</v>
      </c>
      <c r="EK23" s="374" t="str">
        <f>"("&amp;FIXED(EJ23*0.092903,2)&amp;")"</f>
        <v>(0.17)</v>
      </c>
      <c r="EL23" s="22">
        <v>2</v>
      </c>
      <c r="EM23" s="22">
        <f t="shared" si="81"/>
        <v>1.5</v>
      </c>
      <c r="EN23" s="22">
        <v>0</v>
      </c>
      <c r="EO23" s="22">
        <f t="shared" si="82"/>
        <v>0</v>
      </c>
      <c r="EP23" s="22">
        <v>1</v>
      </c>
      <c r="EQ23" s="22">
        <f t="shared" si="83"/>
        <v>1</v>
      </c>
      <c r="ER23" s="22">
        <f>EM23+EO23+EQ23</f>
        <v>2.5</v>
      </c>
      <c r="ES23" s="23">
        <f t="shared" si="85"/>
        <v>57.5</v>
      </c>
      <c r="ET23" s="202"/>
      <c r="EU23" s="203"/>
      <c r="EV23" s="204"/>
      <c r="EW23" s="204"/>
      <c r="EX23" s="204"/>
      <c r="EY23" s="204"/>
      <c r="EZ23" s="204"/>
      <c r="FA23" s="204"/>
      <c r="FB23" s="204"/>
      <c r="FC23" s="205"/>
      <c r="FD23" s="202"/>
      <c r="FE23" s="203"/>
      <c r="FF23" s="204"/>
      <c r="FG23" s="204"/>
      <c r="FH23" s="204"/>
      <c r="FI23" s="204"/>
      <c r="FJ23" s="204"/>
      <c r="FK23" s="204"/>
      <c r="FL23" s="204"/>
      <c r="FM23" s="205"/>
      <c r="FN23" s="202"/>
      <c r="FO23" s="203"/>
      <c r="FP23" s="204"/>
      <c r="FQ23" s="204"/>
      <c r="FR23" s="204"/>
      <c r="FS23" s="204"/>
      <c r="FT23" s="204"/>
      <c r="FU23" s="204"/>
      <c r="FV23" s="204"/>
      <c r="FW23" s="205"/>
      <c r="FX23" s="202"/>
      <c r="FY23" s="203"/>
      <c r="FZ23" s="204"/>
      <c r="GA23" s="204"/>
      <c r="GB23" s="204"/>
      <c r="GC23" s="204"/>
      <c r="GD23" s="204"/>
      <c r="GE23" s="204"/>
      <c r="GF23" s="204"/>
      <c r="GG23" s="205"/>
      <c r="GH23" s="202"/>
      <c r="GI23" s="203"/>
      <c r="GJ23" s="204"/>
      <c r="GK23" s="204"/>
      <c r="GL23" s="204"/>
      <c r="GM23" s="204"/>
      <c r="GN23" s="204"/>
      <c r="GO23" s="204"/>
      <c r="GP23" s="204"/>
      <c r="GQ23" s="205"/>
      <c r="GR23" s="202"/>
      <c r="GS23" s="203"/>
      <c r="GT23" s="204"/>
      <c r="GU23" s="204"/>
      <c r="GV23" s="204"/>
      <c r="GW23" s="204"/>
      <c r="GX23" s="204"/>
      <c r="GY23" s="204"/>
      <c r="GZ23" s="204"/>
      <c r="HA23" s="205"/>
      <c r="HB23" s="202"/>
      <c r="HC23" s="203"/>
      <c r="HD23" s="204"/>
      <c r="HE23" s="204"/>
      <c r="HF23" s="204"/>
      <c r="HG23" s="204"/>
      <c r="HH23" s="204"/>
      <c r="HI23" s="204"/>
      <c r="HJ23" s="204"/>
      <c r="HK23" s="205"/>
      <c r="HL23" s="202"/>
      <c r="HM23" s="203"/>
      <c r="HN23" s="204"/>
      <c r="HO23" s="204"/>
      <c r="HP23" s="204"/>
      <c r="HQ23" s="204"/>
      <c r="HR23" s="204"/>
      <c r="HS23" s="204"/>
      <c r="HT23" s="204"/>
      <c r="HU23" s="205"/>
      <c r="HV23" s="202"/>
      <c r="HW23" s="203"/>
      <c r="HX23" s="204"/>
      <c r="HY23" s="204"/>
      <c r="HZ23" s="204"/>
      <c r="IA23" s="204"/>
      <c r="IB23" s="204"/>
      <c r="IC23" s="204"/>
      <c r="ID23" s="204"/>
      <c r="IE23" s="205"/>
      <c r="IF23" s="202"/>
      <c r="IG23" s="203"/>
      <c r="IH23" s="204"/>
      <c r="II23" s="204"/>
      <c r="IJ23" s="204"/>
      <c r="IK23" s="204"/>
      <c r="IL23" s="204"/>
      <c r="IM23" s="204"/>
      <c r="IN23" s="204"/>
      <c r="IO23" s="205"/>
      <c r="IP23" s="24"/>
      <c r="IQ23" s="25">
        <v>5</v>
      </c>
      <c r="IR23" s="26">
        <v>0</v>
      </c>
      <c r="IS23" s="26">
        <v>1.0069999999999999</v>
      </c>
      <c r="IT23" s="26">
        <v>0.44600000000000001</v>
      </c>
      <c r="IU23" s="26">
        <v>0.75</v>
      </c>
      <c r="IV23" s="26">
        <v>1</v>
      </c>
      <c r="IW23" s="26">
        <v>0</v>
      </c>
      <c r="IX23" s="8"/>
    </row>
    <row r="24" spans="2:258" ht="15.75" thickBot="1" x14ac:dyDescent="0.3">
      <c r="B24" s="103">
        <f t="shared" si="15"/>
        <v>36</v>
      </c>
      <c r="C24" s="226">
        <v>7</v>
      </c>
      <c r="D24" s="98">
        <f t="shared" si="1"/>
        <v>0.36138492063492061</v>
      </c>
      <c r="E24" s="96">
        <f t="shared" si="2"/>
        <v>0.40245138888888893</v>
      </c>
      <c r="F24" s="96">
        <f t="shared" si="3"/>
        <v>0.42161574074074071</v>
      </c>
      <c r="G24" s="96">
        <f t="shared" si="4"/>
        <v>0.43119791666666668</v>
      </c>
      <c r="H24" s="96">
        <f t="shared" si="5"/>
        <v>0.42161574074074071</v>
      </c>
      <c r="I24" s="96">
        <f t="shared" si="6"/>
        <v>0.42800385802469137</v>
      </c>
      <c r="J24" s="96">
        <f t="shared" si="7"/>
        <v>0.43256679894179889</v>
      </c>
      <c r="K24" s="96">
        <f t="shared" si="8"/>
        <v>0.43598900462962958</v>
      </c>
      <c r="L24" s="96">
        <f t="shared" si="9"/>
        <v>0.43865072016460904</v>
      </c>
      <c r="M24" s="96">
        <f t="shared" si="10"/>
        <v>0.4407800925925926</v>
      </c>
      <c r="N24" s="238"/>
      <c r="O24" s="238"/>
      <c r="P24" s="238"/>
      <c r="Q24" s="238"/>
      <c r="R24" s="238"/>
      <c r="S24" s="238"/>
      <c r="T24" s="238"/>
      <c r="U24" s="238"/>
      <c r="V24" s="238"/>
      <c r="W24" s="238"/>
      <c r="X24" s="96"/>
      <c r="Y24" s="65"/>
      <c r="AA24" s="83"/>
      <c r="AT24" s="4"/>
      <c r="AU24" s="14">
        <f>AU23+6</f>
        <v>18</v>
      </c>
      <c r="AV24" s="12" t="str">
        <f t="shared" ref="AV24:AV41" si="86">"("&amp;ROUND(AU24*25.4/50,0)*50&amp;")"</f>
        <v>(450)</v>
      </c>
      <c r="AW24" s="19">
        <f>AW23+1</f>
        <v>9</v>
      </c>
      <c r="AX24" s="20">
        <f t="shared" si="16"/>
        <v>0.28626736111111106</v>
      </c>
      <c r="AY24" s="21" t="str">
        <f t="shared" ref="AY24:AY30" si="87">"("&amp;FIXED(AX24*0.092903,2)&amp;")"</f>
        <v>(0.03)</v>
      </c>
      <c r="AZ24" s="22">
        <v>2</v>
      </c>
      <c r="BA24" s="22">
        <f t="shared" si="18"/>
        <v>1.5</v>
      </c>
      <c r="BB24" s="22">
        <v>0</v>
      </c>
      <c r="BC24" s="22">
        <f t="shared" si="19"/>
        <v>0</v>
      </c>
      <c r="BD24" s="22">
        <v>0</v>
      </c>
      <c r="BE24" s="22">
        <f t="shared" si="20"/>
        <v>0</v>
      </c>
      <c r="BF24" s="22">
        <f t="shared" ref="BF24:BF41" si="88">BA24+BC24+BE24</f>
        <v>1.5</v>
      </c>
      <c r="BG24" s="23">
        <f t="shared" si="22"/>
        <v>5.5</v>
      </c>
      <c r="BH24" s="373">
        <f t="shared" si="23"/>
        <v>0.54651041666666655</v>
      </c>
      <c r="BI24" s="374" t="str">
        <f t="shared" ref="BI24:BI40" si="89">"("&amp;FIXED(BH24*0.092903,2)&amp;")"</f>
        <v>(0.05)</v>
      </c>
      <c r="BJ24" s="375">
        <v>2</v>
      </c>
      <c r="BK24" s="375">
        <f t="shared" si="25"/>
        <v>1.5</v>
      </c>
      <c r="BL24" s="375">
        <v>0</v>
      </c>
      <c r="BM24" s="375">
        <f t="shared" si="26"/>
        <v>0</v>
      </c>
      <c r="BN24" s="375">
        <v>0</v>
      </c>
      <c r="BO24" s="375">
        <f t="shared" si="27"/>
        <v>0</v>
      </c>
      <c r="BP24" s="375">
        <f t="shared" ref="BP24:BP41" si="90">BK24+BM24+BO24</f>
        <v>1.5</v>
      </c>
      <c r="BQ24" s="376">
        <f t="shared" si="29"/>
        <v>10.5</v>
      </c>
      <c r="BR24" s="373">
        <f t="shared" si="30"/>
        <v>0.8588020833333333</v>
      </c>
      <c r="BS24" s="374" t="str">
        <f t="shared" si="31"/>
        <v>(0.08)</v>
      </c>
      <c r="BT24" s="375">
        <v>2</v>
      </c>
      <c r="BU24" s="375">
        <f t="shared" si="32"/>
        <v>1.5</v>
      </c>
      <c r="BV24" s="375">
        <v>0</v>
      </c>
      <c r="BW24" s="375">
        <f t="shared" si="33"/>
        <v>0</v>
      </c>
      <c r="BX24" s="375">
        <v>0</v>
      </c>
      <c r="BY24" s="375">
        <f t="shared" si="34"/>
        <v>0</v>
      </c>
      <c r="BZ24" s="375">
        <f t="shared" ref="BZ24:BZ41" si="91">BU24+BW24+BY24</f>
        <v>1.5</v>
      </c>
      <c r="CA24" s="376">
        <f t="shared" si="36"/>
        <v>16.5</v>
      </c>
      <c r="CB24" s="373">
        <f t="shared" si="37"/>
        <v>1.1710937499999998</v>
      </c>
      <c r="CC24" s="374" t="str">
        <f t="shared" si="38"/>
        <v>(0.11)</v>
      </c>
      <c r="CD24" s="375">
        <v>2</v>
      </c>
      <c r="CE24" s="375">
        <f t="shared" si="39"/>
        <v>1.5</v>
      </c>
      <c r="CF24" s="375">
        <v>0</v>
      </c>
      <c r="CG24" s="375">
        <f t="shared" si="40"/>
        <v>0</v>
      </c>
      <c r="CH24" s="375">
        <v>0</v>
      </c>
      <c r="CI24" s="375">
        <f t="shared" si="41"/>
        <v>0</v>
      </c>
      <c r="CJ24" s="375">
        <f t="shared" ref="CJ24:CJ41" si="92">CE24+CG24+CI24</f>
        <v>1.5</v>
      </c>
      <c r="CK24" s="376">
        <f t="shared" si="43"/>
        <v>22.5</v>
      </c>
      <c r="CL24" s="373">
        <f t="shared" si="44"/>
        <v>1.4313368055555555</v>
      </c>
      <c r="CM24" s="374" t="str">
        <f t="shared" si="45"/>
        <v>(0.13)</v>
      </c>
      <c r="CN24" s="375">
        <v>2</v>
      </c>
      <c r="CO24" s="375">
        <f t="shared" si="46"/>
        <v>1.5</v>
      </c>
      <c r="CP24" s="375">
        <v>0</v>
      </c>
      <c r="CQ24" s="375">
        <f t="shared" si="47"/>
        <v>0</v>
      </c>
      <c r="CR24" s="375">
        <v>1</v>
      </c>
      <c r="CS24" s="375">
        <f t="shared" si="48"/>
        <v>1</v>
      </c>
      <c r="CT24" s="375">
        <f t="shared" ref="CT24:CT41" si="93">CO24+CQ24+CS24</f>
        <v>2.5</v>
      </c>
      <c r="CU24" s="376">
        <f t="shared" si="50"/>
        <v>27.5</v>
      </c>
      <c r="CV24" s="373">
        <f t="shared" si="51"/>
        <v>1.7436284722222222</v>
      </c>
      <c r="CW24" s="374" t="str">
        <f t="shared" si="52"/>
        <v>(0.16)</v>
      </c>
      <c r="CX24" s="375">
        <v>2</v>
      </c>
      <c r="CY24" s="375">
        <f t="shared" si="53"/>
        <v>1.5</v>
      </c>
      <c r="CZ24" s="375">
        <v>0</v>
      </c>
      <c r="DA24" s="375">
        <f t="shared" si="54"/>
        <v>0</v>
      </c>
      <c r="DB24" s="375">
        <v>1</v>
      </c>
      <c r="DC24" s="375">
        <f t="shared" si="55"/>
        <v>1</v>
      </c>
      <c r="DD24" s="375">
        <f t="shared" ref="DD24:DD41" si="94">CY24+DA24+DC24</f>
        <v>2.5</v>
      </c>
      <c r="DE24" s="376">
        <f t="shared" si="57"/>
        <v>33.5</v>
      </c>
      <c r="DF24" s="373">
        <f t="shared" si="58"/>
        <v>2.0559201388888884</v>
      </c>
      <c r="DG24" s="374" t="str">
        <f t="shared" si="59"/>
        <v>(0.19)</v>
      </c>
      <c r="DH24" s="375">
        <v>2</v>
      </c>
      <c r="DI24" s="375">
        <f t="shared" si="60"/>
        <v>1.5</v>
      </c>
      <c r="DJ24" s="375">
        <v>0</v>
      </c>
      <c r="DK24" s="375">
        <f t="shared" si="61"/>
        <v>0</v>
      </c>
      <c r="DL24" s="375">
        <v>1</v>
      </c>
      <c r="DM24" s="375">
        <f t="shared" si="62"/>
        <v>1</v>
      </c>
      <c r="DN24" s="375">
        <f t="shared" ref="DN24:DN41" si="95">DI24+DK24+DM24</f>
        <v>2.5</v>
      </c>
      <c r="DO24" s="376">
        <f t="shared" si="64"/>
        <v>39.5</v>
      </c>
      <c r="DP24" s="373">
        <f t="shared" si="65"/>
        <v>2.3682118055555552</v>
      </c>
      <c r="DQ24" s="374" t="str">
        <f t="shared" si="66"/>
        <v>(0.22)</v>
      </c>
      <c r="DR24" s="375">
        <v>2</v>
      </c>
      <c r="DS24" s="375">
        <f t="shared" si="67"/>
        <v>1.5</v>
      </c>
      <c r="DT24" s="375">
        <v>0</v>
      </c>
      <c r="DU24" s="375">
        <f t="shared" si="68"/>
        <v>0</v>
      </c>
      <c r="DV24" s="375">
        <v>1</v>
      </c>
      <c r="DW24" s="375">
        <f t="shared" si="69"/>
        <v>1</v>
      </c>
      <c r="DX24" s="375">
        <f t="shared" ref="DX24:DX41" si="96">DS24+DU24+DW24</f>
        <v>2.5</v>
      </c>
      <c r="DY24" s="376">
        <f t="shared" si="71"/>
        <v>45.5</v>
      </c>
      <c r="DZ24" s="373">
        <f t="shared" si="72"/>
        <v>2.6805034722222221</v>
      </c>
      <c r="EA24" s="374" t="str">
        <f t="shared" ref="EA24:EA40" si="97">"("&amp;FIXED(DZ24*0.092903,2)&amp;")"</f>
        <v>(0.25)</v>
      </c>
      <c r="EB24" s="375">
        <v>2</v>
      </c>
      <c r="EC24" s="375">
        <f t="shared" si="74"/>
        <v>1.5</v>
      </c>
      <c r="ED24" s="375">
        <v>0</v>
      </c>
      <c r="EE24" s="375">
        <f t="shared" si="75"/>
        <v>0</v>
      </c>
      <c r="EF24" s="375">
        <v>1</v>
      </c>
      <c r="EG24" s="375">
        <f t="shared" si="76"/>
        <v>1</v>
      </c>
      <c r="EH24" s="375">
        <f t="shared" ref="EH24:EH41" si="98">EC24+EE24+EG24</f>
        <v>2.5</v>
      </c>
      <c r="EI24" s="376">
        <f t="shared" si="78"/>
        <v>51.5</v>
      </c>
      <c r="EJ24" s="373">
        <f t="shared" si="79"/>
        <v>2.9927951388888889</v>
      </c>
      <c r="EK24" s="374" t="str">
        <f t="shared" ref="EK24:EK30" si="99">"("&amp;FIXED(EJ24*0.092903,2)&amp;")"</f>
        <v>(0.28)</v>
      </c>
      <c r="EL24" s="22">
        <v>2</v>
      </c>
      <c r="EM24" s="22">
        <f t="shared" si="81"/>
        <v>1.5</v>
      </c>
      <c r="EN24" s="22">
        <v>0</v>
      </c>
      <c r="EO24" s="22">
        <f t="shared" si="82"/>
        <v>0</v>
      </c>
      <c r="EP24" s="22">
        <v>1</v>
      </c>
      <c r="EQ24" s="22">
        <f t="shared" si="83"/>
        <v>1</v>
      </c>
      <c r="ER24" s="22">
        <f t="shared" ref="ER24:ER41" si="100">EM24+EO24+EQ24</f>
        <v>2.5</v>
      </c>
      <c r="ES24" s="23">
        <f t="shared" si="85"/>
        <v>57.5</v>
      </c>
      <c r="ET24" s="202"/>
      <c r="EU24" s="203"/>
      <c r="EV24" s="204"/>
      <c r="EW24" s="204"/>
      <c r="EX24" s="204"/>
      <c r="EY24" s="204"/>
      <c r="EZ24" s="204"/>
      <c r="FA24" s="204"/>
      <c r="FB24" s="204"/>
      <c r="FC24" s="205"/>
      <c r="FD24" s="202"/>
      <c r="FE24" s="203"/>
      <c r="FF24" s="204"/>
      <c r="FG24" s="204"/>
      <c r="FH24" s="204"/>
      <c r="FI24" s="204"/>
      <c r="FJ24" s="204"/>
      <c r="FK24" s="204"/>
      <c r="FL24" s="204"/>
      <c r="FM24" s="205"/>
      <c r="FN24" s="202"/>
      <c r="FO24" s="203"/>
      <c r="FP24" s="204"/>
      <c r="FQ24" s="204"/>
      <c r="FR24" s="204"/>
      <c r="FS24" s="204"/>
      <c r="FT24" s="204"/>
      <c r="FU24" s="204"/>
      <c r="FV24" s="204"/>
      <c r="FW24" s="205"/>
      <c r="FX24" s="202"/>
      <c r="FY24" s="203"/>
      <c r="FZ24" s="204"/>
      <c r="GA24" s="204"/>
      <c r="GB24" s="204"/>
      <c r="GC24" s="204"/>
      <c r="GD24" s="204"/>
      <c r="GE24" s="204"/>
      <c r="GF24" s="204"/>
      <c r="GG24" s="205"/>
      <c r="GH24" s="202"/>
      <c r="GI24" s="203"/>
      <c r="GJ24" s="204"/>
      <c r="GK24" s="204"/>
      <c r="GL24" s="204"/>
      <c r="GM24" s="204"/>
      <c r="GN24" s="204"/>
      <c r="GO24" s="204"/>
      <c r="GP24" s="204"/>
      <c r="GQ24" s="205"/>
      <c r="GR24" s="202"/>
      <c r="GS24" s="203"/>
      <c r="GT24" s="204"/>
      <c r="GU24" s="204"/>
      <c r="GV24" s="204"/>
      <c r="GW24" s="204"/>
      <c r="GX24" s="204"/>
      <c r="GY24" s="204"/>
      <c r="GZ24" s="204"/>
      <c r="HA24" s="205"/>
      <c r="HB24" s="202"/>
      <c r="HC24" s="203"/>
      <c r="HD24" s="204"/>
      <c r="HE24" s="204"/>
      <c r="HF24" s="204"/>
      <c r="HG24" s="204"/>
      <c r="HH24" s="204"/>
      <c r="HI24" s="204"/>
      <c r="HJ24" s="204"/>
      <c r="HK24" s="205"/>
      <c r="HL24" s="202"/>
      <c r="HM24" s="203"/>
      <c r="HN24" s="204"/>
      <c r="HO24" s="204"/>
      <c r="HP24" s="204"/>
      <c r="HQ24" s="204"/>
      <c r="HR24" s="204"/>
      <c r="HS24" s="204"/>
      <c r="HT24" s="204"/>
      <c r="HU24" s="205"/>
      <c r="HV24" s="202"/>
      <c r="HW24" s="203"/>
      <c r="HX24" s="204"/>
      <c r="HY24" s="204"/>
      <c r="HZ24" s="204"/>
      <c r="IA24" s="204"/>
      <c r="IB24" s="204"/>
      <c r="IC24" s="204"/>
      <c r="ID24" s="204"/>
      <c r="IE24" s="205"/>
      <c r="IF24" s="202"/>
      <c r="IG24" s="203"/>
      <c r="IH24" s="204"/>
      <c r="II24" s="204"/>
      <c r="IJ24" s="204"/>
      <c r="IK24" s="204"/>
      <c r="IL24" s="204"/>
      <c r="IM24" s="204"/>
      <c r="IN24" s="204"/>
      <c r="IO24" s="205"/>
      <c r="IP24" s="24"/>
      <c r="IQ24" s="25">
        <v>8</v>
      </c>
      <c r="IR24" s="26">
        <v>0</v>
      </c>
      <c r="IS24" s="26">
        <v>1.0069999999999999</v>
      </c>
      <c r="IT24" s="26">
        <v>0.44600000000000001</v>
      </c>
      <c r="IU24" s="26">
        <v>0.75</v>
      </c>
      <c r="IV24" s="26">
        <v>1</v>
      </c>
      <c r="IW24" s="26">
        <v>0</v>
      </c>
      <c r="IX24" s="8"/>
    </row>
    <row r="25" spans="2:258" ht="15.75" thickBot="1" x14ac:dyDescent="0.3">
      <c r="B25" s="103">
        <f t="shared" si="15"/>
        <v>42</v>
      </c>
      <c r="C25" s="221">
        <v>8</v>
      </c>
      <c r="D25" s="98">
        <f t="shared" si="1"/>
        <v>0.36627380952380956</v>
      </c>
      <c r="E25" s="96">
        <f t="shared" si="2"/>
        <v>0.40789583333333335</v>
      </c>
      <c r="F25" s="96">
        <f t="shared" si="3"/>
        <v>0.42731944444444442</v>
      </c>
      <c r="G25" s="96">
        <f t="shared" si="4"/>
        <v>0.43703125000000004</v>
      </c>
      <c r="H25" s="96">
        <f t="shared" si="5"/>
        <v>0.42731944444444442</v>
      </c>
      <c r="I25" s="96">
        <f t="shared" si="6"/>
        <v>0.43379398148148157</v>
      </c>
      <c r="J25" s="96">
        <f t="shared" si="7"/>
        <v>0.43841865079365078</v>
      </c>
      <c r="K25" s="96">
        <f t="shared" si="8"/>
        <v>0.44188715277777779</v>
      </c>
      <c r="L25" s="96">
        <f t="shared" si="9"/>
        <v>0.44458487654320994</v>
      </c>
      <c r="M25" s="96">
        <f t="shared" si="10"/>
        <v>0.44674305555555555</v>
      </c>
      <c r="N25" s="238"/>
      <c r="O25" s="238"/>
      <c r="P25" s="238"/>
      <c r="Q25" s="238"/>
      <c r="R25" s="238"/>
      <c r="S25" s="238"/>
      <c r="T25" s="238"/>
      <c r="U25" s="238"/>
      <c r="V25" s="238"/>
      <c r="W25" s="238"/>
      <c r="X25" s="96"/>
      <c r="Y25" s="65"/>
      <c r="AA25" s="83"/>
      <c r="AT25" s="4"/>
      <c r="AU25" s="14">
        <f t="shared" ref="AU25:AU41" si="101">AU24+6</f>
        <v>24</v>
      </c>
      <c r="AV25" s="12" t="str">
        <f t="shared" si="86"/>
        <v>(600)</v>
      </c>
      <c r="AW25" s="19">
        <f t="shared" ref="AW25:AW41" si="102">AW24+1</f>
        <v>10</v>
      </c>
      <c r="AX25" s="20">
        <f t="shared" si="16"/>
        <v>0.40165277777777775</v>
      </c>
      <c r="AY25" s="21" t="str">
        <f t="shared" si="87"/>
        <v>(0.04)</v>
      </c>
      <c r="AZ25" s="22">
        <v>2</v>
      </c>
      <c r="BA25" s="22">
        <f t="shared" si="18"/>
        <v>1.5</v>
      </c>
      <c r="BB25" s="22">
        <v>0</v>
      </c>
      <c r="BC25" s="22">
        <f t="shared" si="19"/>
        <v>0</v>
      </c>
      <c r="BD25" s="22">
        <v>0</v>
      </c>
      <c r="BE25" s="22">
        <f t="shared" si="20"/>
        <v>0</v>
      </c>
      <c r="BF25" s="22">
        <f t="shared" si="88"/>
        <v>1.5</v>
      </c>
      <c r="BG25" s="23">
        <f t="shared" si="22"/>
        <v>5.5</v>
      </c>
      <c r="BH25" s="373">
        <f t="shared" si="23"/>
        <v>0.76679166666666654</v>
      </c>
      <c r="BI25" s="374" t="str">
        <f t="shared" si="89"/>
        <v>(0.07)</v>
      </c>
      <c r="BJ25" s="375">
        <v>2</v>
      </c>
      <c r="BK25" s="375">
        <f t="shared" si="25"/>
        <v>1.5</v>
      </c>
      <c r="BL25" s="375">
        <v>0</v>
      </c>
      <c r="BM25" s="375">
        <f t="shared" si="26"/>
        <v>0</v>
      </c>
      <c r="BN25" s="375">
        <v>0</v>
      </c>
      <c r="BO25" s="375">
        <f t="shared" si="27"/>
        <v>0</v>
      </c>
      <c r="BP25" s="375">
        <f t="shared" si="90"/>
        <v>1.5</v>
      </c>
      <c r="BQ25" s="376">
        <f t="shared" si="29"/>
        <v>10.5</v>
      </c>
      <c r="BR25" s="373">
        <f t="shared" si="30"/>
        <v>1.2049583333333331</v>
      </c>
      <c r="BS25" s="374" t="str">
        <f t="shared" si="31"/>
        <v>(0.11)</v>
      </c>
      <c r="BT25" s="375">
        <v>2</v>
      </c>
      <c r="BU25" s="375">
        <f t="shared" si="32"/>
        <v>1.5</v>
      </c>
      <c r="BV25" s="375">
        <v>0</v>
      </c>
      <c r="BW25" s="375">
        <f t="shared" si="33"/>
        <v>0</v>
      </c>
      <c r="BX25" s="375">
        <v>0</v>
      </c>
      <c r="BY25" s="375">
        <f t="shared" si="34"/>
        <v>0</v>
      </c>
      <c r="BZ25" s="375">
        <f t="shared" si="91"/>
        <v>1.5</v>
      </c>
      <c r="CA25" s="376">
        <f t="shared" si="36"/>
        <v>16.5</v>
      </c>
      <c r="CB25" s="373">
        <f t="shared" si="37"/>
        <v>1.6431249999999997</v>
      </c>
      <c r="CC25" s="374" t="str">
        <f t="shared" si="38"/>
        <v>(0.15)</v>
      </c>
      <c r="CD25" s="375">
        <v>2</v>
      </c>
      <c r="CE25" s="375">
        <f t="shared" si="39"/>
        <v>1.5</v>
      </c>
      <c r="CF25" s="375">
        <v>0</v>
      </c>
      <c r="CG25" s="375">
        <f t="shared" si="40"/>
        <v>0</v>
      </c>
      <c r="CH25" s="375">
        <v>0</v>
      </c>
      <c r="CI25" s="375">
        <f t="shared" si="41"/>
        <v>0</v>
      </c>
      <c r="CJ25" s="375">
        <f t="shared" si="92"/>
        <v>1.5</v>
      </c>
      <c r="CK25" s="376">
        <f t="shared" si="43"/>
        <v>22.5</v>
      </c>
      <c r="CL25" s="373">
        <f t="shared" si="44"/>
        <v>2.0082638888888886</v>
      </c>
      <c r="CM25" s="374" t="str">
        <f t="shared" si="45"/>
        <v>(0.19)</v>
      </c>
      <c r="CN25" s="375">
        <v>2</v>
      </c>
      <c r="CO25" s="375">
        <f t="shared" si="46"/>
        <v>1.5</v>
      </c>
      <c r="CP25" s="375">
        <v>0</v>
      </c>
      <c r="CQ25" s="375">
        <f t="shared" si="47"/>
        <v>0</v>
      </c>
      <c r="CR25" s="375">
        <v>1</v>
      </c>
      <c r="CS25" s="375">
        <f t="shared" si="48"/>
        <v>1</v>
      </c>
      <c r="CT25" s="375">
        <f t="shared" si="93"/>
        <v>2.5</v>
      </c>
      <c r="CU25" s="376">
        <f t="shared" si="50"/>
        <v>27.5</v>
      </c>
      <c r="CV25" s="373">
        <f t="shared" si="51"/>
        <v>2.4464305555555552</v>
      </c>
      <c r="CW25" s="374" t="str">
        <f t="shared" si="52"/>
        <v>(0.23)</v>
      </c>
      <c r="CX25" s="375">
        <v>2</v>
      </c>
      <c r="CY25" s="375">
        <f t="shared" si="53"/>
        <v>1.5</v>
      </c>
      <c r="CZ25" s="375">
        <v>0</v>
      </c>
      <c r="DA25" s="375">
        <f t="shared" si="54"/>
        <v>0</v>
      </c>
      <c r="DB25" s="375">
        <v>1</v>
      </c>
      <c r="DC25" s="375">
        <f t="shared" si="55"/>
        <v>1</v>
      </c>
      <c r="DD25" s="375">
        <f t="shared" si="94"/>
        <v>2.5</v>
      </c>
      <c r="DE25" s="376">
        <f t="shared" si="57"/>
        <v>33.5</v>
      </c>
      <c r="DF25" s="373">
        <f t="shared" si="58"/>
        <v>2.8845972222222218</v>
      </c>
      <c r="DG25" s="374" t="str">
        <f t="shared" si="59"/>
        <v>(0.27)</v>
      </c>
      <c r="DH25" s="375">
        <v>2</v>
      </c>
      <c r="DI25" s="375">
        <f t="shared" si="60"/>
        <v>1.5</v>
      </c>
      <c r="DJ25" s="375">
        <v>0</v>
      </c>
      <c r="DK25" s="375">
        <f t="shared" si="61"/>
        <v>0</v>
      </c>
      <c r="DL25" s="375">
        <v>1</v>
      </c>
      <c r="DM25" s="375">
        <f t="shared" si="62"/>
        <v>1</v>
      </c>
      <c r="DN25" s="375">
        <f t="shared" si="95"/>
        <v>2.5</v>
      </c>
      <c r="DO25" s="376">
        <f t="shared" si="64"/>
        <v>39.5</v>
      </c>
      <c r="DP25" s="373">
        <f t="shared" si="65"/>
        <v>3.322763888888888</v>
      </c>
      <c r="DQ25" s="374" t="str">
        <f t="shared" si="66"/>
        <v>(0.31)</v>
      </c>
      <c r="DR25" s="375">
        <v>2</v>
      </c>
      <c r="DS25" s="375">
        <f t="shared" si="67"/>
        <v>1.5</v>
      </c>
      <c r="DT25" s="375">
        <v>0</v>
      </c>
      <c r="DU25" s="375">
        <f t="shared" si="68"/>
        <v>0</v>
      </c>
      <c r="DV25" s="375">
        <v>1</v>
      </c>
      <c r="DW25" s="375">
        <f t="shared" si="69"/>
        <v>1</v>
      </c>
      <c r="DX25" s="375">
        <f t="shared" si="96"/>
        <v>2.5</v>
      </c>
      <c r="DY25" s="376">
        <f t="shared" si="71"/>
        <v>45.5</v>
      </c>
      <c r="DZ25" s="373">
        <f t="shared" si="72"/>
        <v>3.7609305555555554</v>
      </c>
      <c r="EA25" s="374" t="str">
        <f t="shared" si="97"/>
        <v>(0.35)</v>
      </c>
      <c r="EB25" s="375">
        <v>2</v>
      </c>
      <c r="EC25" s="375">
        <f t="shared" si="74"/>
        <v>1.5</v>
      </c>
      <c r="ED25" s="375">
        <v>0</v>
      </c>
      <c r="EE25" s="375">
        <f t="shared" si="75"/>
        <v>0</v>
      </c>
      <c r="EF25" s="375">
        <v>1</v>
      </c>
      <c r="EG25" s="375">
        <f t="shared" si="76"/>
        <v>1</v>
      </c>
      <c r="EH25" s="375">
        <f t="shared" si="98"/>
        <v>2.5</v>
      </c>
      <c r="EI25" s="376">
        <f t="shared" si="78"/>
        <v>51.5</v>
      </c>
      <c r="EJ25" s="373">
        <f t="shared" si="79"/>
        <v>4.1990972222222211</v>
      </c>
      <c r="EK25" s="374" t="str">
        <f t="shared" si="99"/>
        <v>(0.39)</v>
      </c>
      <c r="EL25" s="22">
        <v>2</v>
      </c>
      <c r="EM25" s="22">
        <f t="shared" si="81"/>
        <v>1.5</v>
      </c>
      <c r="EN25" s="22">
        <v>0</v>
      </c>
      <c r="EO25" s="22">
        <f t="shared" si="82"/>
        <v>0</v>
      </c>
      <c r="EP25" s="22">
        <v>1</v>
      </c>
      <c r="EQ25" s="22">
        <f t="shared" si="83"/>
        <v>1</v>
      </c>
      <c r="ER25" s="22">
        <f t="shared" si="100"/>
        <v>2.5</v>
      </c>
      <c r="ES25" s="23">
        <f t="shared" si="85"/>
        <v>57.5</v>
      </c>
      <c r="ET25" s="202"/>
      <c r="EU25" s="203"/>
      <c r="EV25" s="204"/>
      <c r="EW25" s="204"/>
      <c r="EX25" s="204"/>
      <c r="EY25" s="204"/>
      <c r="EZ25" s="204"/>
      <c r="FA25" s="204"/>
      <c r="FB25" s="204"/>
      <c r="FC25" s="205"/>
      <c r="FD25" s="202"/>
      <c r="FE25" s="203"/>
      <c r="FF25" s="204"/>
      <c r="FG25" s="204"/>
      <c r="FH25" s="204"/>
      <c r="FI25" s="204"/>
      <c r="FJ25" s="204"/>
      <c r="FK25" s="204"/>
      <c r="FL25" s="204"/>
      <c r="FM25" s="205"/>
      <c r="FN25" s="202"/>
      <c r="FO25" s="203"/>
      <c r="FP25" s="204"/>
      <c r="FQ25" s="204"/>
      <c r="FR25" s="204"/>
      <c r="FS25" s="204"/>
      <c r="FT25" s="204"/>
      <c r="FU25" s="204"/>
      <c r="FV25" s="204"/>
      <c r="FW25" s="205"/>
      <c r="FX25" s="202"/>
      <c r="FY25" s="203"/>
      <c r="FZ25" s="204"/>
      <c r="GA25" s="204"/>
      <c r="GB25" s="204"/>
      <c r="GC25" s="204"/>
      <c r="GD25" s="204"/>
      <c r="GE25" s="204"/>
      <c r="GF25" s="204"/>
      <c r="GG25" s="205"/>
      <c r="GH25" s="202"/>
      <c r="GI25" s="203"/>
      <c r="GJ25" s="204"/>
      <c r="GK25" s="204"/>
      <c r="GL25" s="204"/>
      <c r="GM25" s="204"/>
      <c r="GN25" s="204"/>
      <c r="GO25" s="204"/>
      <c r="GP25" s="204"/>
      <c r="GQ25" s="205"/>
      <c r="GR25" s="202"/>
      <c r="GS25" s="203"/>
      <c r="GT25" s="204"/>
      <c r="GU25" s="204"/>
      <c r="GV25" s="204"/>
      <c r="GW25" s="204"/>
      <c r="GX25" s="204"/>
      <c r="GY25" s="204"/>
      <c r="GZ25" s="204"/>
      <c r="HA25" s="205"/>
      <c r="HB25" s="202"/>
      <c r="HC25" s="203"/>
      <c r="HD25" s="204"/>
      <c r="HE25" s="204"/>
      <c r="HF25" s="204"/>
      <c r="HG25" s="204"/>
      <c r="HH25" s="204"/>
      <c r="HI25" s="204"/>
      <c r="HJ25" s="204"/>
      <c r="HK25" s="205"/>
      <c r="HL25" s="202"/>
      <c r="HM25" s="203"/>
      <c r="HN25" s="204"/>
      <c r="HO25" s="204"/>
      <c r="HP25" s="204"/>
      <c r="HQ25" s="204"/>
      <c r="HR25" s="204"/>
      <c r="HS25" s="204"/>
      <c r="HT25" s="204"/>
      <c r="HU25" s="205"/>
      <c r="HV25" s="202"/>
      <c r="HW25" s="203"/>
      <c r="HX25" s="204"/>
      <c r="HY25" s="204"/>
      <c r="HZ25" s="204"/>
      <c r="IA25" s="204"/>
      <c r="IB25" s="204"/>
      <c r="IC25" s="204"/>
      <c r="ID25" s="204"/>
      <c r="IE25" s="205"/>
      <c r="IF25" s="202"/>
      <c r="IG25" s="203"/>
      <c r="IH25" s="204"/>
      <c r="II25" s="204"/>
      <c r="IJ25" s="204"/>
      <c r="IK25" s="204"/>
      <c r="IL25" s="204"/>
      <c r="IM25" s="204"/>
      <c r="IN25" s="204"/>
      <c r="IO25" s="205"/>
      <c r="IP25" s="24"/>
      <c r="IQ25" s="25">
        <v>11</v>
      </c>
      <c r="IR25" s="26">
        <v>0</v>
      </c>
      <c r="IS25" s="26">
        <v>1.0069999999999999</v>
      </c>
      <c r="IT25" s="26">
        <v>0.44600000000000001</v>
      </c>
      <c r="IU25" s="26">
        <v>0.75</v>
      </c>
      <c r="IV25" s="26">
        <v>1</v>
      </c>
      <c r="IW25" s="26">
        <v>0</v>
      </c>
      <c r="IX25" s="8"/>
    </row>
    <row r="26" spans="2:258" ht="15.75" thickBot="1" x14ac:dyDescent="0.3">
      <c r="B26" s="103">
        <f t="shared" si="15"/>
        <v>48</v>
      </c>
      <c r="C26" s="226">
        <v>9</v>
      </c>
      <c r="D26" s="98">
        <f t="shared" si="1"/>
        <v>0.36994047619047615</v>
      </c>
      <c r="E26" s="96">
        <f t="shared" si="2"/>
        <v>0.41197916666666662</v>
      </c>
      <c r="F26" s="96">
        <f t="shared" si="3"/>
        <v>0.43159722222222219</v>
      </c>
      <c r="G26" s="96">
        <f t="shared" si="4"/>
        <v>0.44140624999999994</v>
      </c>
      <c r="H26" s="96">
        <f t="shared" si="5"/>
        <v>0.43159722222222213</v>
      </c>
      <c r="I26" s="96">
        <f t="shared" si="6"/>
        <v>0.43813657407407397</v>
      </c>
      <c r="J26" s="96">
        <f t="shared" si="7"/>
        <v>0.44280753968253966</v>
      </c>
      <c r="K26" s="96">
        <f t="shared" si="8"/>
        <v>0.44631076388888885</v>
      </c>
      <c r="L26" s="96">
        <f t="shared" si="9"/>
        <v>0.4490354938271604</v>
      </c>
      <c r="M26" s="96">
        <f t="shared" si="10"/>
        <v>0.4512152777777777</v>
      </c>
      <c r="N26" s="238"/>
      <c r="O26" s="238"/>
      <c r="P26" s="238"/>
      <c r="Q26" s="238"/>
      <c r="R26" s="238"/>
      <c r="S26" s="238"/>
      <c r="T26" s="238"/>
      <c r="U26" s="238"/>
      <c r="V26" s="238"/>
      <c r="W26" s="238"/>
      <c r="X26" s="96"/>
      <c r="Y26" s="65"/>
      <c r="AA26" s="83"/>
      <c r="AT26" s="4"/>
      <c r="AU26" s="27">
        <f t="shared" si="101"/>
        <v>30</v>
      </c>
      <c r="AV26" s="28" t="str">
        <f t="shared" si="86"/>
        <v>(750)</v>
      </c>
      <c r="AW26" s="19">
        <f t="shared" si="102"/>
        <v>11</v>
      </c>
      <c r="AX26" s="20">
        <f t="shared" si="16"/>
        <v>0.51703819444444443</v>
      </c>
      <c r="AY26" s="29" t="str">
        <f t="shared" si="87"/>
        <v>(0.05)</v>
      </c>
      <c r="AZ26" s="22">
        <v>2</v>
      </c>
      <c r="BA26" s="22">
        <f t="shared" si="18"/>
        <v>1.5</v>
      </c>
      <c r="BB26" s="30">
        <v>0</v>
      </c>
      <c r="BC26" s="22">
        <f t="shared" si="19"/>
        <v>0</v>
      </c>
      <c r="BD26" s="30">
        <v>0</v>
      </c>
      <c r="BE26" s="22">
        <f t="shared" si="20"/>
        <v>0</v>
      </c>
      <c r="BF26" s="22">
        <f t="shared" si="88"/>
        <v>1.5</v>
      </c>
      <c r="BG26" s="23">
        <f t="shared" si="22"/>
        <v>5.5</v>
      </c>
      <c r="BH26" s="373">
        <f t="shared" si="23"/>
        <v>0.98707291666666663</v>
      </c>
      <c r="BI26" s="374" t="str">
        <f t="shared" si="89"/>
        <v>(0.09)</v>
      </c>
      <c r="BJ26" s="375">
        <v>2</v>
      </c>
      <c r="BK26" s="375">
        <f t="shared" si="25"/>
        <v>1.5</v>
      </c>
      <c r="BL26" s="375">
        <v>0</v>
      </c>
      <c r="BM26" s="375">
        <f t="shared" si="26"/>
        <v>0</v>
      </c>
      <c r="BN26" s="375">
        <v>0</v>
      </c>
      <c r="BO26" s="375">
        <f t="shared" si="27"/>
        <v>0</v>
      </c>
      <c r="BP26" s="375">
        <f t="shared" si="90"/>
        <v>1.5</v>
      </c>
      <c r="BQ26" s="376">
        <f t="shared" si="29"/>
        <v>10.5</v>
      </c>
      <c r="BR26" s="373">
        <f t="shared" si="30"/>
        <v>1.5511145833333331</v>
      </c>
      <c r="BS26" s="374" t="str">
        <f t="shared" si="31"/>
        <v>(0.14)</v>
      </c>
      <c r="BT26" s="375">
        <v>2</v>
      </c>
      <c r="BU26" s="375">
        <f t="shared" si="32"/>
        <v>1.5</v>
      </c>
      <c r="BV26" s="375">
        <v>0</v>
      </c>
      <c r="BW26" s="375">
        <f t="shared" si="33"/>
        <v>0</v>
      </c>
      <c r="BX26" s="375">
        <v>0</v>
      </c>
      <c r="BY26" s="375">
        <f t="shared" si="34"/>
        <v>0</v>
      </c>
      <c r="BZ26" s="375">
        <f t="shared" si="91"/>
        <v>1.5</v>
      </c>
      <c r="CA26" s="376">
        <f t="shared" si="36"/>
        <v>16.5</v>
      </c>
      <c r="CB26" s="373">
        <f t="shared" si="37"/>
        <v>2.1151562500000001</v>
      </c>
      <c r="CC26" s="374" t="str">
        <f t="shared" si="38"/>
        <v>(0.2)</v>
      </c>
      <c r="CD26" s="375">
        <v>2</v>
      </c>
      <c r="CE26" s="375">
        <f t="shared" si="39"/>
        <v>1.5</v>
      </c>
      <c r="CF26" s="375">
        <v>0</v>
      </c>
      <c r="CG26" s="375">
        <f t="shared" si="40"/>
        <v>0</v>
      </c>
      <c r="CH26" s="375">
        <v>0</v>
      </c>
      <c r="CI26" s="375">
        <f t="shared" si="41"/>
        <v>0</v>
      </c>
      <c r="CJ26" s="375">
        <f t="shared" si="92"/>
        <v>1.5</v>
      </c>
      <c r="CK26" s="376">
        <f t="shared" si="43"/>
        <v>22.5</v>
      </c>
      <c r="CL26" s="373">
        <f t="shared" si="44"/>
        <v>2.5851909722222222</v>
      </c>
      <c r="CM26" s="374" t="str">
        <f t="shared" si="45"/>
        <v>(0.24)</v>
      </c>
      <c r="CN26" s="375">
        <v>2</v>
      </c>
      <c r="CO26" s="375">
        <f t="shared" si="46"/>
        <v>1.5</v>
      </c>
      <c r="CP26" s="375">
        <v>0</v>
      </c>
      <c r="CQ26" s="375">
        <f t="shared" si="47"/>
        <v>0</v>
      </c>
      <c r="CR26" s="375">
        <v>1</v>
      </c>
      <c r="CS26" s="375">
        <f t="shared" si="48"/>
        <v>1</v>
      </c>
      <c r="CT26" s="375">
        <f t="shared" si="93"/>
        <v>2.5</v>
      </c>
      <c r="CU26" s="376">
        <f t="shared" si="50"/>
        <v>27.5</v>
      </c>
      <c r="CV26" s="373">
        <f t="shared" si="51"/>
        <v>3.1492326388888885</v>
      </c>
      <c r="CW26" s="374" t="str">
        <f t="shared" si="52"/>
        <v>(0.29)</v>
      </c>
      <c r="CX26" s="375">
        <v>2</v>
      </c>
      <c r="CY26" s="375">
        <f t="shared" si="53"/>
        <v>1.5</v>
      </c>
      <c r="CZ26" s="375">
        <v>0</v>
      </c>
      <c r="DA26" s="375">
        <f t="shared" si="54"/>
        <v>0</v>
      </c>
      <c r="DB26" s="375">
        <v>1</v>
      </c>
      <c r="DC26" s="375">
        <f t="shared" si="55"/>
        <v>1</v>
      </c>
      <c r="DD26" s="375">
        <f t="shared" si="94"/>
        <v>2.5</v>
      </c>
      <c r="DE26" s="376">
        <f t="shared" si="57"/>
        <v>33.5</v>
      </c>
      <c r="DF26" s="373">
        <f t="shared" si="58"/>
        <v>3.7132743055555557</v>
      </c>
      <c r="DG26" s="374" t="str">
        <f t="shared" si="59"/>
        <v>(0.34)</v>
      </c>
      <c r="DH26" s="375">
        <v>2</v>
      </c>
      <c r="DI26" s="375">
        <f t="shared" si="60"/>
        <v>1.5</v>
      </c>
      <c r="DJ26" s="375">
        <v>0</v>
      </c>
      <c r="DK26" s="375">
        <f t="shared" si="61"/>
        <v>0</v>
      </c>
      <c r="DL26" s="375">
        <v>1</v>
      </c>
      <c r="DM26" s="375">
        <f t="shared" si="62"/>
        <v>1</v>
      </c>
      <c r="DN26" s="375">
        <f t="shared" si="95"/>
        <v>2.5</v>
      </c>
      <c r="DO26" s="376">
        <f t="shared" si="64"/>
        <v>39.5</v>
      </c>
      <c r="DP26" s="373">
        <f t="shared" si="65"/>
        <v>4.2773159722222225</v>
      </c>
      <c r="DQ26" s="374" t="str">
        <f t="shared" si="66"/>
        <v>(0.4)</v>
      </c>
      <c r="DR26" s="375">
        <v>2</v>
      </c>
      <c r="DS26" s="375">
        <f t="shared" si="67"/>
        <v>1.5</v>
      </c>
      <c r="DT26" s="375">
        <v>0</v>
      </c>
      <c r="DU26" s="375">
        <f t="shared" si="68"/>
        <v>0</v>
      </c>
      <c r="DV26" s="375">
        <v>1</v>
      </c>
      <c r="DW26" s="375">
        <f t="shared" si="69"/>
        <v>1</v>
      </c>
      <c r="DX26" s="375">
        <f t="shared" si="96"/>
        <v>2.5</v>
      </c>
      <c r="DY26" s="376">
        <f t="shared" si="71"/>
        <v>45.5</v>
      </c>
      <c r="DZ26" s="373">
        <f t="shared" si="72"/>
        <v>4.8413576388888888</v>
      </c>
      <c r="EA26" s="374" t="str">
        <f t="shared" si="97"/>
        <v>(0.45)</v>
      </c>
      <c r="EB26" s="375">
        <v>2</v>
      </c>
      <c r="EC26" s="375">
        <f t="shared" si="74"/>
        <v>1.5</v>
      </c>
      <c r="ED26" s="375">
        <v>0</v>
      </c>
      <c r="EE26" s="375">
        <f t="shared" si="75"/>
        <v>0</v>
      </c>
      <c r="EF26" s="375">
        <v>1</v>
      </c>
      <c r="EG26" s="375">
        <f t="shared" si="76"/>
        <v>1</v>
      </c>
      <c r="EH26" s="375">
        <f t="shared" si="98"/>
        <v>2.5</v>
      </c>
      <c r="EI26" s="376">
        <f t="shared" si="78"/>
        <v>51.5</v>
      </c>
      <c r="EJ26" s="373">
        <f t="shared" si="79"/>
        <v>5.4053993055555551</v>
      </c>
      <c r="EK26" s="374" t="str">
        <f t="shared" si="99"/>
        <v>(0.50)</v>
      </c>
      <c r="EL26" s="22">
        <v>2</v>
      </c>
      <c r="EM26" s="22">
        <f t="shared" si="81"/>
        <v>1.5</v>
      </c>
      <c r="EN26" s="30">
        <v>0</v>
      </c>
      <c r="EO26" s="22">
        <f t="shared" si="82"/>
        <v>0</v>
      </c>
      <c r="EP26" s="30">
        <v>1</v>
      </c>
      <c r="EQ26" s="22">
        <f t="shared" si="83"/>
        <v>1</v>
      </c>
      <c r="ER26" s="22">
        <f t="shared" si="100"/>
        <v>2.5</v>
      </c>
      <c r="ES26" s="23">
        <f t="shared" si="85"/>
        <v>57.5</v>
      </c>
      <c r="ET26" s="202"/>
      <c r="EU26" s="203"/>
      <c r="EV26" s="204"/>
      <c r="EW26" s="204"/>
      <c r="EX26" s="204"/>
      <c r="EY26" s="204"/>
      <c r="EZ26" s="204"/>
      <c r="FA26" s="204"/>
      <c r="FB26" s="204"/>
      <c r="FC26" s="205"/>
      <c r="FD26" s="202"/>
      <c r="FE26" s="203"/>
      <c r="FF26" s="204"/>
      <c r="FG26" s="204"/>
      <c r="FH26" s="204"/>
      <c r="FI26" s="204"/>
      <c r="FJ26" s="204"/>
      <c r="FK26" s="204"/>
      <c r="FL26" s="204"/>
      <c r="FM26" s="205"/>
      <c r="FN26" s="202"/>
      <c r="FO26" s="203"/>
      <c r="FP26" s="204"/>
      <c r="FQ26" s="204"/>
      <c r="FR26" s="204"/>
      <c r="FS26" s="204"/>
      <c r="FT26" s="204"/>
      <c r="FU26" s="204"/>
      <c r="FV26" s="204"/>
      <c r="FW26" s="205"/>
      <c r="FX26" s="202"/>
      <c r="FY26" s="203"/>
      <c r="FZ26" s="204"/>
      <c r="GA26" s="204"/>
      <c r="GB26" s="204"/>
      <c r="GC26" s="204"/>
      <c r="GD26" s="204"/>
      <c r="GE26" s="204"/>
      <c r="GF26" s="204"/>
      <c r="GG26" s="205"/>
      <c r="GH26" s="202"/>
      <c r="GI26" s="203"/>
      <c r="GJ26" s="204"/>
      <c r="GK26" s="204"/>
      <c r="GL26" s="204"/>
      <c r="GM26" s="204"/>
      <c r="GN26" s="204"/>
      <c r="GO26" s="204"/>
      <c r="GP26" s="204"/>
      <c r="GQ26" s="205"/>
      <c r="GR26" s="202"/>
      <c r="GS26" s="203"/>
      <c r="GT26" s="204"/>
      <c r="GU26" s="204"/>
      <c r="GV26" s="204"/>
      <c r="GW26" s="204"/>
      <c r="GX26" s="204"/>
      <c r="GY26" s="204"/>
      <c r="GZ26" s="204"/>
      <c r="HA26" s="205"/>
      <c r="HB26" s="202"/>
      <c r="HC26" s="203"/>
      <c r="HD26" s="204"/>
      <c r="HE26" s="204"/>
      <c r="HF26" s="204"/>
      <c r="HG26" s="204"/>
      <c r="HH26" s="204"/>
      <c r="HI26" s="204"/>
      <c r="HJ26" s="204"/>
      <c r="HK26" s="205"/>
      <c r="HL26" s="202"/>
      <c r="HM26" s="203"/>
      <c r="HN26" s="204"/>
      <c r="HO26" s="204"/>
      <c r="HP26" s="204"/>
      <c r="HQ26" s="204"/>
      <c r="HR26" s="204"/>
      <c r="HS26" s="204"/>
      <c r="HT26" s="204"/>
      <c r="HU26" s="205"/>
      <c r="HV26" s="202"/>
      <c r="HW26" s="203"/>
      <c r="HX26" s="204"/>
      <c r="HY26" s="204"/>
      <c r="HZ26" s="204"/>
      <c r="IA26" s="204"/>
      <c r="IB26" s="204"/>
      <c r="IC26" s="204"/>
      <c r="ID26" s="204"/>
      <c r="IE26" s="205"/>
      <c r="IF26" s="202"/>
      <c r="IG26" s="203"/>
      <c r="IH26" s="204"/>
      <c r="II26" s="204"/>
      <c r="IJ26" s="204"/>
      <c r="IK26" s="204"/>
      <c r="IL26" s="204"/>
      <c r="IM26" s="204"/>
      <c r="IN26" s="204"/>
      <c r="IO26" s="205"/>
      <c r="IP26" s="24"/>
      <c r="IQ26" s="25">
        <v>14</v>
      </c>
      <c r="IR26" s="26">
        <v>0</v>
      </c>
      <c r="IS26" s="26">
        <v>1.0069999999999999</v>
      </c>
      <c r="IT26" s="26">
        <v>0.44600000000000001</v>
      </c>
      <c r="IU26" s="26">
        <v>0.75</v>
      </c>
      <c r="IV26" s="26">
        <v>1</v>
      </c>
      <c r="IW26" s="26">
        <v>0</v>
      </c>
      <c r="IX26" s="8"/>
    </row>
    <row r="27" spans="2:258" ht="15.75" thickBot="1" x14ac:dyDescent="0.3">
      <c r="B27" s="103">
        <f t="shared" si="15"/>
        <v>54</v>
      </c>
      <c r="C27" s="221">
        <v>10</v>
      </c>
      <c r="D27" s="98">
        <f t="shared" si="1"/>
        <v>0.37279232804232798</v>
      </c>
      <c r="E27" s="96">
        <f t="shared" si="2"/>
        <v>0.41515509259259253</v>
      </c>
      <c r="F27" s="96">
        <f t="shared" si="3"/>
        <v>0.43492438271604933</v>
      </c>
      <c r="G27" s="96">
        <f t="shared" si="4"/>
        <v>0.44480902777777775</v>
      </c>
      <c r="H27" s="96">
        <f t="shared" si="5"/>
        <v>0.43492438271604938</v>
      </c>
      <c r="I27" s="96">
        <f t="shared" si="6"/>
        <v>0.44151414609053496</v>
      </c>
      <c r="J27" s="96">
        <f t="shared" si="7"/>
        <v>0.44622111992945329</v>
      </c>
      <c r="K27" s="96">
        <f t="shared" si="8"/>
        <v>0.44975135030864194</v>
      </c>
      <c r="L27" s="96">
        <f t="shared" si="9"/>
        <v>0.45249708504801089</v>
      </c>
      <c r="M27" s="96">
        <f t="shared" si="10"/>
        <v>0.45469367283950618</v>
      </c>
      <c r="N27" s="238"/>
      <c r="O27" s="238"/>
      <c r="P27" s="238"/>
      <c r="Q27" s="238"/>
      <c r="R27" s="238"/>
      <c r="S27" s="238"/>
      <c r="T27" s="238"/>
      <c r="U27" s="238"/>
      <c r="V27" s="238"/>
      <c r="W27" s="238"/>
      <c r="X27" s="96"/>
      <c r="Y27" s="65"/>
      <c r="AA27" s="83"/>
      <c r="AT27" s="4"/>
      <c r="AU27" s="14">
        <f t="shared" si="101"/>
        <v>36</v>
      </c>
      <c r="AV27" s="12" t="str">
        <f t="shared" si="86"/>
        <v>(900)</v>
      </c>
      <c r="AW27" s="19">
        <f t="shared" si="102"/>
        <v>12</v>
      </c>
      <c r="AX27" s="20">
        <f t="shared" si="16"/>
        <v>0.63242361111111112</v>
      </c>
      <c r="AY27" s="21" t="str">
        <f t="shared" si="87"/>
        <v>(0.06)</v>
      </c>
      <c r="AZ27" s="22">
        <v>2</v>
      </c>
      <c r="BA27" s="22">
        <f t="shared" si="18"/>
        <v>1.5</v>
      </c>
      <c r="BB27" s="22">
        <v>0</v>
      </c>
      <c r="BC27" s="22">
        <f t="shared" si="19"/>
        <v>0</v>
      </c>
      <c r="BD27" s="22">
        <v>0</v>
      </c>
      <c r="BE27" s="22">
        <f t="shared" si="20"/>
        <v>0</v>
      </c>
      <c r="BF27" s="22">
        <f t="shared" si="88"/>
        <v>1.5</v>
      </c>
      <c r="BG27" s="23">
        <f t="shared" si="22"/>
        <v>5.5</v>
      </c>
      <c r="BH27" s="373">
        <f t="shared" si="23"/>
        <v>1.2073541666666667</v>
      </c>
      <c r="BI27" s="374" t="str">
        <f t="shared" si="89"/>
        <v>(0.11)</v>
      </c>
      <c r="BJ27" s="375">
        <v>2</v>
      </c>
      <c r="BK27" s="375">
        <f t="shared" si="25"/>
        <v>1.5</v>
      </c>
      <c r="BL27" s="375">
        <v>0</v>
      </c>
      <c r="BM27" s="375">
        <f t="shared" si="26"/>
        <v>0</v>
      </c>
      <c r="BN27" s="375">
        <v>0</v>
      </c>
      <c r="BO27" s="375">
        <f t="shared" si="27"/>
        <v>0</v>
      </c>
      <c r="BP27" s="375">
        <f t="shared" si="90"/>
        <v>1.5</v>
      </c>
      <c r="BQ27" s="376">
        <f t="shared" si="29"/>
        <v>10.5</v>
      </c>
      <c r="BR27" s="373">
        <f t="shared" si="30"/>
        <v>1.8972708333333332</v>
      </c>
      <c r="BS27" s="374" t="str">
        <f t="shared" si="31"/>
        <v>(0.18)</v>
      </c>
      <c r="BT27" s="375">
        <v>2</v>
      </c>
      <c r="BU27" s="375">
        <f t="shared" si="32"/>
        <v>1.5</v>
      </c>
      <c r="BV27" s="375">
        <v>0</v>
      </c>
      <c r="BW27" s="375">
        <f t="shared" si="33"/>
        <v>0</v>
      </c>
      <c r="BX27" s="375">
        <v>0</v>
      </c>
      <c r="BY27" s="375">
        <f t="shared" si="34"/>
        <v>0</v>
      </c>
      <c r="BZ27" s="375">
        <f t="shared" si="91"/>
        <v>1.5</v>
      </c>
      <c r="CA27" s="376">
        <f t="shared" si="36"/>
        <v>16.5</v>
      </c>
      <c r="CB27" s="373">
        <f t="shared" si="37"/>
        <v>2.5871875000000002</v>
      </c>
      <c r="CC27" s="374" t="str">
        <f t="shared" si="38"/>
        <v>(0.24)</v>
      </c>
      <c r="CD27" s="375">
        <v>2</v>
      </c>
      <c r="CE27" s="375">
        <f t="shared" si="39"/>
        <v>1.5</v>
      </c>
      <c r="CF27" s="375">
        <v>0</v>
      </c>
      <c r="CG27" s="375">
        <f t="shared" si="40"/>
        <v>0</v>
      </c>
      <c r="CH27" s="375">
        <v>0</v>
      </c>
      <c r="CI27" s="375">
        <f t="shared" si="41"/>
        <v>0</v>
      </c>
      <c r="CJ27" s="375">
        <f t="shared" si="92"/>
        <v>1.5</v>
      </c>
      <c r="CK27" s="376">
        <f t="shared" si="43"/>
        <v>22.5</v>
      </c>
      <c r="CL27" s="373">
        <f t="shared" si="44"/>
        <v>3.1621180555555553</v>
      </c>
      <c r="CM27" s="374" t="str">
        <f t="shared" si="45"/>
        <v>(0.29)</v>
      </c>
      <c r="CN27" s="375">
        <v>2</v>
      </c>
      <c r="CO27" s="375">
        <f t="shared" si="46"/>
        <v>1.5</v>
      </c>
      <c r="CP27" s="375">
        <v>0</v>
      </c>
      <c r="CQ27" s="375">
        <f t="shared" si="47"/>
        <v>0</v>
      </c>
      <c r="CR27" s="375">
        <v>1</v>
      </c>
      <c r="CS27" s="375">
        <f t="shared" si="48"/>
        <v>1</v>
      </c>
      <c r="CT27" s="375">
        <f t="shared" si="93"/>
        <v>2.5</v>
      </c>
      <c r="CU27" s="376">
        <f t="shared" si="50"/>
        <v>27.5</v>
      </c>
      <c r="CV27" s="373">
        <f t="shared" si="51"/>
        <v>3.8520347222222222</v>
      </c>
      <c r="CW27" s="374" t="str">
        <f t="shared" si="52"/>
        <v>(0.36)</v>
      </c>
      <c r="CX27" s="375">
        <v>2</v>
      </c>
      <c r="CY27" s="375">
        <f t="shared" si="53"/>
        <v>1.5</v>
      </c>
      <c r="CZ27" s="375">
        <v>0</v>
      </c>
      <c r="DA27" s="375">
        <f t="shared" si="54"/>
        <v>0</v>
      </c>
      <c r="DB27" s="375">
        <v>1</v>
      </c>
      <c r="DC27" s="375">
        <f t="shared" si="55"/>
        <v>1</v>
      </c>
      <c r="DD27" s="375">
        <f t="shared" si="94"/>
        <v>2.5</v>
      </c>
      <c r="DE27" s="376">
        <f t="shared" si="57"/>
        <v>33.5</v>
      </c>
      <c r="DF27" s="373">
        <f t="shared" si="58"/>
        <v>4.5419513888888883</v>
      </c>
      <c r="DG27" s="374" t="str">
        <f t="shared" si="59"/>
        <v>(0.42)</v>
      </c>
      <c r="DH27" s="375">
        <v>2</v>
      </c>
      <c r="DI27" s="375">
        <f t="shared" si="60"/>
        <v>1.5</v>
      </c>
      <c r="DJ27" s="375">
        <v>0</v>
      </c>
      <c r="DK27" s="375">
        <f t="shared" si="61"/>
        <v>0</v>
      </c>
      <c r="DL27" s="375">
        <v>1</v>
      </c>
      <c r="DM27" s="375">
        <f t="shared" si="62"/>
        <v>1</v>
      </c>
      <c r="DN27" s="375">
        <f t="shared" si="95"/>
        <v>2.5</v>
      </c>
      <c r="DO27" s="376">
        <f t="shared" si="64"/>
        <v>39.5</v>
      </c>
      <c r="DP27" s="373">
        <f t="shared" si="65"/>
        <v>5.2318680555555552</v>
      </c>
      <c r="DQ27" s="374" t="str">
        <f t="shared" si="66"/>
        <v>(0.49)</v>
      </c>
      <c r="DR27" s="375">
        <v>2</v>
      </c>
      <c r="DS27" s="375">
        <f t="shared" si="67"/>
        <v>1.5</v>
      </c>
      <c r="DT27" s="375">
        <v>0</v>
      </c>
      <c r="DU27" s="375">
        <f t="shared" si="68"/>
        <v>0</v>
      </c>
      <c r="DV27" s="375">
        <v>1</v>
      </c>
      <c r="DW27" s="375">
        <f t="shared" si="69"/>
        <v>1</v>
      </c>
      <c r="DX27" s="375">
        <f t="shared" si="96"/>
        <v>2.5</v>
      </c>
      <c r="DY27" s="376">
        <f t="shared" si="71"/>
        <v>45.5</v>
      </c>
      <c r="DZ27" s="373">
        <f t="shared" si="72"/>
        <v>5.9217847222222222</v>
      </c>
      <c r="EA27" s="374" t="str">
        <f t="shared" si="97"/>
        <v>(0.55)</v>
      </c>
      <c r="EB27" s="375">
        <v>2</v>
      </c>
      <c r="EC27" s="375">
        <f t="shared" si="74"/>
        <v>1.5</v>
      </c>
      <c r="ED27" s="375">
        <v>0</v>
      </c>
      <c r="EE27" s="375">
        <f t="shared" si="75"/>
        <v>0</v>
      </c>
      <c r="EF27" s="375">
        <v>1</v>
      </c>
      <c r="EG27" s="375">
        <f t="shared" si="76"/>
        <v>1</v>
      </c>
      <c r="EH27" s="375">
        <f t="shared" si="98"/>
        <v>2.5</v>
      </c>
      <c r="EI27" s="376">
        <f t="shared" si="78"/>
        <v>51.5</v>
      </c>
      <c r="EJ27" s="373">
        <f t="shared" si="79"/>
        <v>6.6117013888888891</v>
      </c>
      <c r="EK27" s="374" t="str">
        <f t="shared" si="99"/>
        <v>(0.61)</v>
      </c>
      <c r="EL27" s="22">
        <v>2</v>
      </c>
      <c r="EM27" s="22">
        <f t="shared" si="81"/>
        <v>1.5</v>
      </c>
      <c r="EN27" s="22">
        <v>0</v>
      </c>
      <c r="EO27" s="22">
        <f t="shared" si="82"/>
        <v>0</v>
      </c>
      <c r="EP27" s="22">
        <v>1</v>
      </c>
      <c r="EQ27" s="22">
        <f t="shared" si="83"/>
        <v>1</v>
      </c>
      <c r="ER27" s="22">
        <f t="shared" si="100"/>
        <v>2.5</v>
      </c>
      <c r="ES27" s="23">
        <f t="shared" si="85"/>
        <v>57.5</v>
      </c>
      <c r="ET27" s="202"/>
      <c r="EU27" s="203"/>
      <c r="EV27" s="204"/>
      <c r="EW27" s="204"/>
      <c r="EX27" s="204"/>
      <c r="EY27" s="204"/>
      <c r="EZ27" s="204"/>
      <c r="FA27" s="204"/>
      <c r="FB27" s="204"/>
      <c r="FC27" s="205"/>
      <c r="FD27" s="202"/>
      <c r="FE27" s="203"/>
      <c r="FF27" s="204"/>
      <c r="FG27" s="204"/>
      <c r="FH27" s="204"/>
      <c r="FI27" s="204"/>
      <c r="FJ27" s="204"/>
      <c r="FK27" s="204"/>
      <c r="FL27" s="204"/>
      <c r="FM27" s="205"/>
      <c r="FN27" s="202"/>
      <c r="FO27" s="203"/>
      <c r="FP27" s="204"/>
      <c r="FQ27" s="204"/>
      <c r="FR27" s="204"/>
      <c r="FS27" s="204"/>
      <c r="FT27" s="204"/>
      <c r="FU27" s="204"/>
      <c r="FV27" s="204"/>
      <c r="FW27" s="205"/>
      <c r="FX27" s="202"/>
      <c r="FY27" s="203"/>
      <c r="FZ27" s="204"/>
      <c r="GA27" s="204"/>
      <c r="GB27" s="204"/>
      <c r="GC27" s="204"/>
      <c r="GD27" s="204"/>
      <c r="GE27" s="204"/>
      <c r="GF27" s="204"/>
      <c r="GG27" s="205"/>
      <c r="GH27" s="202"/>
      <c r="GI27" s="203"/>
      <c r="GJ27" s="204"/>
      <c r="GK27" s="204"/>
      <c r="GL27" s="204"/>
      <c r="GM27" s="204"/>
      <c r="GN27" s="204"/>
      <c r="GO27" s="204"/>
      <c r="GP27" s="204"/>
      <c r="GQ27" s="205"/>
      <c r="GR27" s="202"/>
      <c r="GS27" s="203"/>
      <c r="GT27" s="204"/>
      <c r="GU27" s="204"/>
      <c r="GV27" s="204"/>
      <c r="GW27" s="204"/>
      <c r="GX27" s="204"/>
      <c r="GY27" s="204"/>
      <c r="GZ27" s="204"/>
      <c r="HA27" s="205"/>
      <c r="HB27" s="202"/>
      <c r="HC27" s="203"/>
      <c r="HD27" s="204"/>
      <c r="HE27" s="204"/>
      <c r="HF27" s="204"/>
      <c r="HG27" s="204"/>
      <c r="HH27" s="204"/>
      <c r="HI27" s="204"/>
      <c r="HJ27" s="204"/>
      <c r="HK27" s="205"/>
      <c r="HL27" s="202"/>
      <c r="HM27" s="203"/>
      <c r="HN27" s="204"/>
      <c r="HO27" s="204"/>
      <c r="HP27" s="204"/>
      <c r="HQ27" s="204"/>
      <c r="HR27" s="204"/>
      <c r="HS27" s="204"/>
      <c r="HT27" s="204"/>
      <c r="HU27" s="205"/>
      <c r="HV27" s="202"/>
      <c r="HW27" s="203"/>
      <c r="HX27" s="204"/>
      <c r="HY27" s="204"/>
      <c r="HZ27" s="204"/>
      <c r="IA27" s="204"/>
      <c r="IB27" s="204"/>
      <c r="IC27" s="204"/>
      <c r="ID27" s="204"/>
      <c r="IE27" s="205"/>
      <c r="IF27" s="202"/>
      <c r="IG27" s="203"/>
      <c r="IH27" s="204"/>
      <c r="II27" s="204"/>
      <c r="IJ27" s="204"/>
      <c r="IK27" s="204"/>
      <c r="IL27" s="204"/>
      <c r="IM27" s="204"/>
      <c r="IN27" s="204"/>
      <c r="IO27" s="205"/>
      <c r="IP27" s="24"/>
      <c r="IQ27" s="25">
        <v>17</v>
      </c>
      <c r="IR27" s="26">
        <v>0</v>
      </c>
      <c r="IS27" s="26">
        <v>1.0069999999999999</v>
      </c>
      <c r="IT27" s="26">
        <v>0.44600000000000001</v>
      </c>
      <c r="IU27" s="26">
        <v>0.75</v>
      </c>
      <c r="IV27" s="26">
        <v>1</v>
      </c>
      <c r="IW27" s="26">
        <v>0</v>
      </c>
      <c r="IX27" s="8"/>
    </row>
    <row r="28" spans="2:258" ht="15.75" thickBot="1" x14ac:dyDescent="0.3">
      <c r="B28" s="103">
        <f t="shared" si="15"/>
        <v>60</v>
      </c>
      <c r="C28" s="226">
        <v>11</v>
      </c>
      <c r="D28" s="98">
        <f t="shared" si="1"/>
        <v>0.37507380952380953</v>
      </c>
      <c r="E28" s="96">
        <f t="shared" si="2"/>
        <v>0.41769583333333332</v>
      </c>
      <c r="F28" s="96">
        <f t="shared" si="3"/>
        <v>0.43758611111111112</v>
      </c>
      <c r="G28" s="96">
        <f t="shared" si="4"/>
        <v>0.44753124999999994</v>
      </c>
      <c r="H28" s="96">
        <f t="shared" si="5"/>
        <v>0.43758611111111106</v>
      </c>
      <c r="I28" s="96">
        <f t="shared" si="6"/>
        <v>0.44421620370370368</v>
      </c>
      <c r="J28" s="96">
        <f t="shared" si="7"/>
        <v>0.44895198412698412</v>
      </c>
      <c r="K28" s="96">
        <f t="shared" si="8"/>
        <v>0.45250381944444451</v>
      </c>
      <c r="L28" s="96">
        <f t="shared" si="9"/>
        <v>0.45526635802469129</v>
      </c>
      <c r="M28" s="96">
        <f t="shared" si="10"/>
        <v>0.45747638888888886</v>
      </c>
      <c r="N28" s="238"/>
      <c r="O28" s="238"/>
      <c r="P28" s="238"/>
      <c r="Q28" s="238"/>
      <c r="R28" s="238"/>
      <c r="S28" s="238"/>
      <c r="T28" s="238"/>
      <c r="U28" s="238"/>
      <c r="V28" s="238"/>
      <c r="W28" s="238"/>
      <c r="X28" s="96"/>
      <c r="Y28" s="65"/>
      <c r="AA28" s="83"/>
      <c r="AT28" s="4"/>
      <c r="AU28" s="14">
        <f t="shared" si="101"/>
        <v>42</v>
      </c>
      <c r="AV28" s="12" t="str">
        <f t="shared" si="86"/>
        <v>(1050)</v>
      </c>
      <c r="AW28" s="19">
        <f t="shared" si="102"/>
        <v>13</v>
      </c>
      <c r="AX28" s="20">
        <f t="shared" si="16"/>
        <v>0.7478090277777778</v>
      </c>
      <c r="AY28" s="21" t="str">
        <f t="shared" si="87"/>
        <v>(0.07)</v>
      </c>
      <c r="AZ28" s="22">
        <v>2</v>
      </c>
      <c r="BA28" s="22">
        <f t="shared" si="18"/>
        <v>1.5</v>
      </c>
      <c r="BB28" s="22">
        <v>0</v>
      </c>
      <c r="BC28" s="22">
        <f t="shared" si="19"/>
        <v>0</v>
      </c>
      <c r="BD28" s="22">
        <v>0</v>
      </c>
      <c r="BE28" s="22">
        <f t="shared" si="20"/>
        <v>0</v>
      </c>
      <c r="BF28" s="22">
        <f t="shared" si="88"/>
        <v>1.5</v>
      </c>
      <c r="BG28" s="23">
        <f t="shared" si="22"/>
        <v>5.5</v>
      </c>
      <c r="BH28" s="373">
        <f t="shared" si="23"/>
        <v>1.4276354166666667</v>
      </c>
      <c r="BI28" s="374" t="str">
        <f t="shared" si="89"/>
        <v>(0.13)</v>
      </c>
      <c r="BJ28" s="375">
        <v>2</v>
      </c>
      <c r="BK28" s="375">
        <f t="shared" si="25"/>
        <v>1.5</v>
      </c>
      <c r="BL28" s="375">
        <v>0</v>
      </c>
      <c r="BM28" s="375">
        <f t="shared" si="26"/>
        <v>0</v>
      </c>
      <c r="BN28" s="375">
        <v>0</v>
      </c>
      <c r="BO28" s="375">
        <f t="shared" si="27"/>
        <v>0</v>
      </c>
      <c r="BP28" s="375">
        <f t="shared" si="90"/>
        <v>1.5</v>
      </c>
      <c r="BQ28" s="376">
        <f t="shared" si="29"/>
        <v>10.5</v>
      </c>
      <c r="BR28" s="373">
        <f t="shared" si="30"/>
        <v>2.2434270833333332</v>
      </c>
      <c r="BS28" s="374" t="str">
        <f t="shared" si="31"/>
        <v>(0.21)</v>
      </c>
      <c r="BT28" s="375">
        <v>2</v>
      </c>
      <c r="BU28" s="375">
        <f t="shared" si="32"/>
        <v>1.5</v>
      </c>
      <c r="BV28" s="375">
        <v>0</v>
      </c>
      <c r="BW28" s="375">
        <f t="shared" si="33"/>
        <v>0</v>
      </c>
      <c r="BX28" s="375">
        <v>0</v>
      </c>
      <c r="BY28" s="375">
        <f t="shared" si="34"/>
        <v>0</v>
      </c>
      <c r="BZ28" s="375">
        <f t="shared" si="91"/>
        <v>1.5</v>
      </c>
      <c r="CA28" s="376">
        <f t="shared" si="36"/>
        <v>16.5</v>
      </c>
      <c r="CB28" s="373">
        <f t="shared" si="37"/>
        <v>3.0592187500000003</v>
      </c>
      <c r="CC28" s="374" t="str">
        <f t="shared" si="38"/>
        <v>(0.28)</v>
      </c>
      <c r="CD28" s="375">
        <v>2</v>
      </c>
      <c r="CE28" s="375">
        <f t="shared" si="39"/>
        <v>1.5</v>
      </c>
      <c r="CF28" s="375">
        <v>0</v>
      </c>
      <c r="CG28" s="375">
        <f t="shared" si="40"/>
        <v>0</v>
      </c>
      <c r="CH28" s="375">
        <v>0</v>
      </c>
      <c r="CI28" s="375">
        <f t="shared" si="41"/>
        <v>0</v>
      </c>
      <c r="CJ28" s="375">
        <f t="shared" si="92"/>
        <v>1.5</v>
      </c>
      <c r="CK28" s="376">
        <f t="shared" si="43"/>
        <v>22.5</v>
      </c>
      <c r="CL28" s="373">
        <f t="shared" si="44"/>
        <v>3.7390451388888888</v>
      </c>
      <c r="CM28" s="374" t="str">
        <f t="shared" si="45"/>
        <v>(0.35)</v>
      </c>
      <c r="CN28" s="375">
        <v>2</v>
      </c>
      <c r="CO28" s="375">
        <f t="shared" si="46"/>
        <v>1.5</v>
      </c>
      <c r="CP28" s="375">
        <v>0</v>
      </c>
      <c r="CQ28" s="375">
        <f t="shared" si="47"/>
        <v>0</v>
      </c>
      <c r="CR28" s="375">
        <v>1</v>
      </c>
      <c r="CS28" s="375">
        <f t="shared" si="48"/>
        <v>1</v>
      </c>
      <c r="CT28" s="375">
        <f t="shared" si="93"/>
        <v>2.5</v>
      </c>
      <c r="CU28" s="376">
        <f t="shared" si="50"/>
        <v>27.5</v>
      </c>
      <c r="CV28" s="373">
        <f t="shared" si="51"/>
        <v>4.5548368055555564</v>
      </c>
      <c r="CW28" s="374" t="str">
        <f t="shared" si="52"/>
        <v>(0.42)</v>
      </c>
      <c r="CX28" s="375">
        <v>2</v>
      </c>
      <c r="CY28" s="375">
        <f t="shared" si="53"/>
        <v>1.5</v>
      </c>
      <c r="CZ28" s="375">
        <v>0</v>
      </c>
      <c r="DA28" s="375">
        <f t="shared" si="54"/>
        <v>0</v>
      </c>
      <c r="DB28" s="375">
        <v>1</v>
      </c>
      <c r="DC28" s="375">
        <f t="shared" si="55"/>
        <v>1</v>
      </c>
      <c r="DD28" s="375">
        <f t="shared" si="94"/>
        <v>2.5</v>
      </c>
      <c r="DE28" s="376">
        <f t="shared" si="57"/>
        <v>33.5</v>
      </c>
      <c r="DF28" s="373">
        <f t="shared" si="58"/>
        <v>5.3706284722222222</v>
      </c>
      <c r="DG28" s="374" t="str">
        <f t="shared" si="59"/>
        <v>(0.5)</v>
      </c>
      <c r="DH28" s="375">
        <v>2</v>
      </c>
      <c r="DI28" s="375">
        <f t="shared" si="60"/>
        <v>1.5</v>
      </c>
      <c r="DJ28" s="375">
        <v>0</v>
      </c>
      <c r="DK28" s="375">
        <f t="shared" si="61"/>
        <v>0</v>
      </c>
      <c r="DL28" s="375">
        <v>1</v>
      </c>
      <c r="DM28" s="375">
        <f t="shared" si="62"/>
        <v>1</v>
      </c>
      <c r="DN28" s="375">
        <f t="shared" si="95"/>
        <v>2.5</v>
      </c>
      <c r="DO28" s="376">
        <f t="shared" si="64"/>
        <v>39.5</v>
      </c>
      <c r="DP28" s="373">
        <f t="shared" si="65"/>
        <v>6.1864201388888889</v>
      </c>
      <c r="DQ28" s="374" t="str">
        <f t="shared" si="66"/>
        <v>(0.57)</v>
      </c>
      <c r="DR28" s="375">
        <v>2</v>
      </c>
      <c r="DS28" s="375">
        <f t="shared" si="67"/>
        <v>1.5</v>
      </c>
      <c r="DT28" s="375">
        <v>0</v>
      </c>
      <c r="DU28" s="375">
        <f t="shared" si="68"/>
        <v>0</v>
      </c>
      <c r="DV28" s="375">
        <v>1</v>
      </c>
      <c r="DW28" s="375">
        <f t="shared" si="69"/>
        <v>1</v>
      </c>
      <c r="DX28" s="375">
        <f t="shared" si="96"/>
        <v>2.5</v>
      </c>
      <c r="DY28" s="376">
        <f t="shared" si="71"/>
        <v>45.5</v>
      </c>
      <c r="DZ28" s="373">
        <f t="shared" si="72"/>
        <v>7.0022118055555564</v>
      </c>
      <c r="EA28" s="374" t="str">
        <f t="shared" si="97"/>
        <v>(0.65)</v>
      </c>
      <c r="EB28" s="375">
        <v>2</v>
      </c>
      <c r="EC28" s="375">
        <f t="shared" si="74"/>
        <v>1.5</v>
      </c>
      <c r="ED28" s="375">
        <v>0</v>
      </c>
      <c r="EE28" s="375">
        <f t="shared" si="75"/>
        <v>0</v>
      </c>
      <c r="EF28" s="375">
        <v>1</v>
      </c>
      <c r="EG28" s="375">
        <f t="shared" si="76"/>
        <v>1</v>
      </c>
      <c r="EH28" s="375">
        <f t="shared" si="98"/>
        <v>2.5</v>
      </c>
      <c r="EI28" s="376">
        <f t="shared" si="78"/>
        <v>51.5</v>
      </c>
      <c r="EJ28" s="373">
        <f t="shared" si="79"/>
        <v>7.8180034722222222</v>
      </c>
      <c r="EK28" s="374" t="str">
        <f t="shared" si="99"/>
        <v>(0.73)</v>
      </c>
      <c r="EL28" s="22">
        <v>2</v>
      </c>
      <c r="EM28" s="22">
        <f t="shared" si="81"/>
        <v>1.5</v>
      </c>
      <c r="EN28" s="22">
        <v>0</v>
      </c>
      <c r="EO28" s="22">
        <f t="shared" si="82"/>
        <v>0</v>
      </c>
      <c r="EP28" s="22">
        <v>1</v>
      </c>
      <c r="EQ28" s="22">
        <f t="shared" si="83"/>
        <v>1</v>
      </c>
      <c r="ER28" s="22">
        <f t="shared" si="100"/>
        <v>2.5</v>
      </c>
      <c r="ES28" s="23">
        <f t="shared" si="85"/>
        <v>57.5</v>
      </c>
      <c r="ET28" s="202"/>
      <c r="EU28" s="203"/>
      <c r="EV28" s="204"/>
      <c r="EW28" s="204"/>
      <c r="EX28" s="204"/>
      <c r="EY28" s="204"/>
      <c r="EZ28" s="204"/>
      <c r="FA28" s="204"/>
      <c r="FB28" s="204"/>
      <c r="FC28" s="205"/>
      <c r="FD28" s="202"/>
      <c r="FE28" s="203"/>
      <c r="FF28" s="204"/>
      <c r="FG28" s="204"/>
      <c r="FH28" s="204"/>
      <c r="FI28" s="204"/>
      <c r="FJ28" s="204"/>
      <c r="FK28" s="204"/>
      <c r="FL28" s="204"/>
      <c r="FM28" s="205"/>
      <c r="FN28" s="202"/>
      <c r="FO28" s="203"/>
      <c r="FP28" s="204"/>
      <c r="FQ28" s="204"/>
      <c r="FR28" s="204"/>
      <c r="FS28" s="204"/>
      <c r="FT28" s="204"/>
      <c r="FU28" s="204"/>
      <c r="FV28" s="204"/>
      <c r="FW28" s="205"/>
      <c r="FX28" s="202"/>
      <c r="FY28" s="203"/>
      <c r="FZ28" s="204"/>
      <c r="GA28" s="204"/>
      <c r="GB28" s="204"/>
      <c r="GC28" s="204"/>
      <c r="GD28" s="204"/>
      <c r="GE28" s="204"/>
      <c r="GF28" s="204"/>
      <c r="GG28" s="205"/>
      <c r="GH28" s="202"/>
      <c r="GI28" s="203"/>
      <c r="GJ28" s="204"/>
      <c r="GK28" s="204"/>
      <c r="GL28" s="204"/>
      <c r="GM28" s="204"/>
      <c r="GN28" s="204"/>
      <c r="GO28" s="204"/>
      <c r="GP28" s="204"/>
      <c r="GQ28" s="205"/>
      <c r="GR28" s="202"/>
      <c r="GS28" s="203"/>
      <c r="GT28" s="204"/>
      <c r="GU28" s="204"/>
      <c r="GV28" s="204"/>
      <c r="GW28" s="204"/>
      <c r="GX28" s="204"/>
      <c r="GY28" s="204"/>
      <c r="GZ28" s="204"/>
      <c r="HA28" s="205"/>
      <c r="HB28" s="202"/>
      <c r="HC28" s="203"/>
      <c r="HD28" s="204"/>
      <c r="HE28" s="204"/>
      <c r="HF28" s="204"/>
      <c r="HG28" s="204"/>
      <c r="HH28" s="204"/>
      <c r="HI28" s="204"/>
      <c r="HJ28" s="204"/>
      <c r="HK28" s="205"/>
      <c r="HL28" s="202"/>
      <c r="HM28" s="203"/>
      <c r="HN28" s="204"/>
      <c r="HO28" s="204"/>
      <c r="HP28" s="204"/>
      <c r="HQ28" s="204"/>
      <c r="HR28" s="204"/>
      <c r="HS28" s="204"/>
      <c r="HT28" s="204"/>
      <c r="HU28" s="205"/>
      <c r="HV28" s="202"/>
      <c r="HW28" s="203"/>
      <c r="HX28" s="204"/>
      <c r="HY28" s="204"/>
      <c r="HZ28" s="204"/>
      <c r="IA28" s="204"/>
      <c r="IB28" s="204"/>
      <c r="IC28" s="204"/>
      <c r="ID28" s="204"/>
      <c r="IE28" s="205"/>
      <c r="IF28" s="202"/>
      <c r="IG28" s="203"/>
      <c r="IH28" s="204"/>
      <c r="II28" s="204"/>
      <c r="IJ28" s="204"/>
      <c r="IK28" s="204"/>
      <c r="IL28" s="204"/>
      <c r="IM28" s="204"/>
      <c r="IN28" s="204"/>
      <c r="IO28" s="205"/>
      <c r="IP28" s="24"/>
      <c r="IQ28" s="25">
        <v>20</v>
      </c>
      <c r="IR28" s="26">
        <v>0</v>
      </c>
      <c r="IS28" s="26">
        <v>1.0069999999999999</v>
      </c>
      <c r="IT28" s="26">
        <v>0.44600000000000001</v>
      </c>
      <c r="IU28" s="26">
        <v>0.75</v>
      </c>
      <c r="IV28" s="26">
        <v>1</v>
      </c>
      <c r="IW28" s="26">
        <v>0</v>
      </c>
      <c r="IX28" s="8"/>
    </row>
    <row r="29" spans="2:258" ht="15.75" thickBot="1" x14ac:dyDescent="0.3">
      <c r="B29" s="103">
        <f t="shared" si="15"/>
        <v>66</v>
      </c>
      <c r="C29" s="221">
        <v>12</v>
      </c>
      <c r="D29" s="98">
        <f t="shared" si="1"/>
        <v>0.37694047619047616</v>
      </c>
      <c r="E29" s="96">
        <f t="shared" si="2"/>
        <v>0.41977462121212117</v>
      </c>
      <c r="F29" s="96">
        <f t="shared" si="3"/>
        <v>0.43976388888888884</v>
      </c>
      <c r="G29" s="96">
        <f t="shared" si="4"/>
        <v>0.44975852272727262</v>
      </c>
      <c r="H29" s="96">
        <f t="shared" si="5"/>
        <v>0.4397638888888889</v>
      </c>
      <c r="I29" s="96">
        <f t="shared" si="6"/>
        <v>0.44642697811447807</v>
      </c>
      <c r="J29" s="96">
        <f t="shared" si="7"/>
        <v>0.45118632756132759</v>
      </c>
      <c r="K29" s="96">
        <f t="shared" si="8"/>
        <v>0.4547558396464646</v>
      </c>
      <c r="L29" s="96">
        <f t="shared" si="9"/>
        <v>0.45753212682379341</v>
      </c>
      <c r="M29" s="96">
        <f t="shared" si="10"/>
        <v>0.45975315656565652</v>
      </c>
      <c r="N29" s="238"/>
      <c r="O29" s="238"/>
      <c r="P29" s="238"/>
      <c r="Q29" s="238"/>
      <c r="R29" s="238"/>
      <c r="S29" s="238"/>
      <c r="T29" s="238"/>
      <c r="U29" s="238"/>
      <c r="V29" s="238"/>
      <c r="W29" s="238"/>
      <c r="X29" s="96"/>
      <c r="Y29" s="65"/>
      <c r="AA29" s="83"/>
      <c r="AT29" s="4"/>
      <c r="AU29" s="14">
        <f t="shared" si="101"/>
        <v>48</v>
      </c>
      <c r="AV29" s="12" t="str">
        <f t="shared" si="86"/>
        <v>(1200)</v>
      </c>
      <c r="AW29" s="19">
        <f t="shared" si="102"/>
        <v>14</v>
      </c>
      <c r="AX29" s="20">
        <f t="shared" si="16"/>
        <v>0.86319444444444438</v>
      </c>
      <c r="AY29" s="21" t="str">
        <f t="shared" si="87"/>
        <v>(0.08)</v>
      </c>
      <c r="AZ29" s="22">
        <v>2</v>
      </c>
      <c r="BA29" s="22">
        <f t="shared" si="18"/>
        <v>1.5</v>
      </c>
      <c r="BB29" s="22">
        <v>0</v>
      </c>
      <c r="BC29" s="22">
        <f t="shared" si="19"/>
        <v>0</v>
      </c>
      <c r="BD29" s="22">
        <v>0</v>
      </c>
      <c r="BE29" s="22">
        <f t="shared" si="20"/>
        <v>0</v>
      </c>
      <c r="BF29" s="22">
        <f t="shared" si="88"/>
        <v>1.5</v>
      </c>
      <c r="BG29" s="23">
        <f t="shared" si="22"/>
        <v>5.5</v>
      </c>
      <c r="BH29" s="373">
        <f t="shared" si="23"/>
        <v>1.6479166666666665</v>
      </c>
      <c r="BI29" s="374" t="str">
        <f t="shared" si="89"/>
        <v>(0.15)</v>
      </c>
      <c r="BJ29" s="375">
        <v>2</v>
      </c>
      <c r="BK29" s="375">
        <f t="shared" si="25"/>
        <v>1.5</v>
      </c>
      <c r="BL29" s="375">
        <v>0</v>
      </c>
      <c r="BM29" s="375">
        <f t="shared" si="26"/>
        <v>0</v>
      </c>
      <c r="BN29" s="375">
        <v>0</v>
      </c>
      <c r="BO29" s="375">
        <f t="shared" si="27"/>
        <v>0</v>
      </c>
      <c r="BP29" s="375">
        <f t="shared" si="90"/>
        <v>1.5</v>
      </c>
      <c r="BQ29" s="376">
        <f t="shared" si="29"/>
        <v>10.5</v>
      </c>
      <c r="BR29" s="373">
        <f t="shared" si="30"/>
        <v>2.5895833333333331</v>
      </c>
      <c r="BS29" s="374" t="str">
        <f t="shared" si="31"/>
        <v>(0.24)</v>
      </c>
      <c r="BT29" s="375">
        <v>2</v>
      </c>
      <c r="BU29" s="375">
        <f t="shared" si="32"/>
        <v>1.5</v>
      </c>
      <c r="BV29" s="375">
        <v>0</v>
      </c>
      <c r="BW29" s="375">
        <f t="shared" si="33"/>
        <v>0</v>
      </c>
      <c r="BX29" s="375">
        <v>0</v>
      </c>
      <c r="BY29" s="375">
        <f t="shared" si="34"/>
        <v>0</v>
      </c>
      <c r="BZ29" s="375">
        <f t="shared" si="91"/>
        <v>1.5</v>
      </c>
      <c r="CA29" s="376">
        <f t="shared" si="36"/>
        <v>16.5</v>
      </c>
      <c r="CB29" s="373">
        <f t="shared" si="37"/>
        <v>3.5312499999999996</v>
      </c>
      <c r="CC29" s="374" t="str">
        <f t="shared" si="38"/>
        <v>(0.33)</v>
      </c>
      <c r="CD29" s="375">
        <v>2</v>
      </c>
      <c r="CE29" s="375">
        <f t="shared" si="39"/>
        <v>1.5</v>
      </c>
      <c r="CF29" s="375">
        <v>0</v>
      </c>
      <c r="CG29" s="375">
        <f t="shared" si="40"/>
        <v>0</v>
      </c>
      <c r="CH29" s="375">
        <v>0</v>
      </c>
      <c r="CI29" s="375">
        <f t="shared" si="41"/>
        <v>0</v>
      </c>
      <c r="CJ29" s="375">
        <f t="shared" si="92"/>
        <v>1.5</v>
      </c>
      <c r="CK29" s="376">
        <f t="shared" si="43"/>
        <v>22.5</v>
      </c>
      <c r="CL29" s="373">
        <f t="shared" si="44"/>
        <v>4.3159722222222214</v>
      </c>
      <c r="CM29" s="374" t="str">
        <f t="shared" si="45"/>
        <v>(0.4)</v>
      </c>
      <c r="CN29" s="375">
        <v>2</v>
      </c>
      <c r="CO29" s="375">
        <f t="shared" si="46"/>
        <v>1.5</v>
      </c>
      <c r="CP29" s="375">
        <v>0</v>
      </c>
      <c r="CQ29" s="375">
        <f t="shared" si="47"/>
        <v>0</v>
      </c>
      <c r="CR29" s="375">
        <v>1</v>
      </c>
      <c r="CS29" s="375">
        <f t="shared" si="48"/>
        <v>1</v>
      </c>
      <c r="CT29" s="375">
        <f t="shared" si="93"/>
        <v>2.5</v>
      </c>
      <c r="CU29" s="376">
        <f t="shared" si="50"/>
        <v>27.5</v>
      </c>
      <c r="CV29" s="373">
        <f t="shared" si="51"/>
        <v>5.2576388888888879</v>
      </c>
      <c r="CW29" s="374" t="str">
        <f t="shared" si="52"/>
        <v>(0.49)</v>
      </c>
      <c r="CX29" s="375">
        <v>2</v>
      </c>
      <c r="CY29" s="375">
        <f t="shared" si="53"/>
        <v>1.5</v>
      </c>
      <c r="CZ29" s="375">
        <v>0</v>
      </c>
      <c r="DA29" s="375">
        <f t="shared" si="54"/>
        <v>0</v>
      </c>
      <c r="DB29" s="375">
        <v>1</v>
      </c>
      <c r="DC29" s="375">
        <f t="shared" si="55"/>
        <v>1</v>
      </c>
      <c r="DD29" s="375">
        <f t="shared" si="94"/>
        <v>2.5</v>
      </c>
      <c r="DE29" s="376">
        <f t="shared" si="57"/>
        <v>33.5</v>
      </c>
      <c r="DF29" s="373">
        <f t="shared" si="58"/>
        <v>6.1993055555555552</v>
      </c>
      <c r="DG29" s="374" t="str">
        <f t="shared" si="59"/>
        <v>(0.58)</v>
      </c>
      <c r="DH29" s="375">
        <v>2</v>
      </c>
      <c r="DI29" s="375">
        <f t="shared" si="60"/>
        <v>1.5</v>
      </c>
      <c r="DJ29" s="375">
        <v>0</v>
      </c>
      <c r="DK29" s="375">
        <f t="shared" si="61"/>
        <v>0</v>
      </c>
      <c r="DL29" s="375">
        <v>1</v>
      </c>
      <c r="DM29" s="375">
        <f t="shared" si="62"/>
        <v>1</v>
      </c>
      <c r="DN29" s="375">
        <f t="shared" si="95"/>
        <v>2.5</v>
      </c>
      <c r="DO29" s="376">
        <f t="shared" si="64"/>
        <v>39.5</v>
      </c>
      <c r="DP29" s="377">
        <f t="shared" si="65"/>
        <v>7.1409722222222216</v>
      </c>
      <c r="DQ29" s="378" t="str">
        <f t="shared" si="66"/>
        <v>(0.66)</v>
      </c>
      <c r="DR29" s="375">
        <v>2</v>
      </c>
      <c r="DS29" s="375">
        <f t="shared" si="67"/>
        <v>1.5</v>
      </c>
      <c r="DT29" s="375">
        <v>0</v>
      </c>
      <c r="DU29" s="375">
        <f t="shared" si="68"/>
        <v>0</v>
      </c>
      <c r="DV29" s="375">
        <v>1</v>
      </c>
      <c r="DW29" s="375">
        <f t="shared" si="69"/>
        <v>1</v>
      </c>
      <c r="DX29" s="375">
        <f t="shared" si="96"/>
        <v>2.5</v>
      </c>
      <c r="DY29" s="376">
        <f t="shared" si="71"/>
        <v>45.5</v>
      </c>
      <c r="DZ29" s="373">
        <f t="shared" si="72"/>
        <v>8.0826388888888872</v>
      </c>
      <c r="EA29" s="374" t="str">
        <f t="shared" si="97"/>
        <v>(0.75)</v>
      </c>
      <c r="EB29" s="375">
        <v>2</v>
      </c>
      <c r="EC29" s="375">
        <f t="shared" si="74"/>
        <v>1.5</v>
      </c>
      <c r="ED29" s="375">
        <v>0</v>
      </c>
      <c r="EE29" s="375">
        <f t="shared" si="75"/>
        <v>0</v>
      </c>
      <c r="EF29" s="375">
        <v>1</v>
      </c>
      <c r="EG29" s="375">
        <f t="shared" si="76"/>
        <v>1</v>
      </c>
      <c r="EH29" s="375">
        <f t="shared" si="98"/>
        <v>2.5</v>
      </c>
      <c r="EI29" s="376">
        <f t="shared" si="78"/>
        <v>51.5</v>
      </c>
      <c r="EJ29" s="373">
        <f t="shared" si="79"/>
        <v>9.0243055555555536</v>
      </c>
      <c r="EK29" s="374" t="str">
        <f t="shared" si="99"/>
        <v>(0.84)</v>
      </c>
      <c r="EL29" s="22">
        <v>2</v>
      </c>
      <c r="EM29" s="22">
        <f t="shared" si="81"/>
        <v>1.5</v>
      </c>
      <c r="EN29" s="22">
        <v>0</v>
      </c>
      <c r="EO29" s="22">
        <f t="shared" si="82"/>
        <v>0</v>
      </c>
      <c r="EP29" s="22">
        <v>1</v>
      </c>
      <c r="EQ29" s="22">
        <f t="shared" si="83"/>
        <v>1</v>
      </c>
      <c r="ER29" s="22">
        <f t="shared" si="100"/>
        <v>2.5</v>
      </c>
      <c r="ES29" s="23">
        <f t="shared" si="85"/>
        <v>57.5</v>
      </c>
      <c r="ET29" s="202"/>
      <c r="EU29" s="203"/>
      <c r="EV29" s="204"/>
      <c r="EW29" s="204"/>
      <c r="EX29" s="204"/>
      <c r="EY29" s="204"/>
      <c r="EZ29" s="204"/>
      <c r="FA29" s="204"/>
      <c r="FB29" s="204"/>
      <c r="FC29" s="205"/>
      <c r="FD29" s="202"/>
      <c r="FE29" s="203"/>
      <c r="FF29" s="204"/>
      <c r="FG29" s="204"/>
      <c r="FH29" s="204"/>
      <c r="FI29" s="204"/>
      <c r="FJ29" s="204"/>
      <c r="FK29" s="204"/>
      <c r="FL29" s="204"/>
      <c r="FM29" s="205"/>
      <c r="FN29" s="202"/>
      <c r="FO29" s="203"/>
      <c r="FP29" s="204"/>
      <c r="FQ29" s="204"/>
      <c r="FR29" s="204"/>
      <c r="FS29" s="204"/>
      <c r="FT29" s="204"/>
      <c r="FU29" s="204"/>
      <c r="FV29" s="204"/>
      <c r="FW29" s="205"/>
      <c r="FX29" s="202"/>
      <c r="FY29" s="203"/>
      <c r="FZ29" s="204"/>
      <c r="GA29" s="204"/>
      <c r="GB29" s="204"/>
      <c r="GC29" s="204"/>
      <c r="GD29" s="204"/>
      <c r="GE29" s="204"/>
      <c r="GF29" s="204"/>
      <c r="GG29" s="205"/>
      <c r="GH29" s="202"/>
      <c r="GI29" s="203"/>
      <c r="GJ29" s="204"/>
      <c r="GK29" s="204"/>
      <c r="GL29" s="204"/>
      <c r="GM29" s="204"/>
      <c r="GN29" s="204"/>
      <c r="GO29" s="204"/>
      <c r="GP29" s="204"/>
      <c r="GQ29" s="205"/>
      <c r="GR29" s="202"/>
      <c r="GS29" s="203"/>
      <c r="GT29" s="204"/>
      <c r="GU29" s="204"/>
      <c r="GV29" s="204"/>
      <c r="GW29" s="204"/>
      <c r="GX29" s="204"/>
      <c r="GY29" s="204"/>
      <c r="GZ29" s="204"/>
      <c r="HA29" s="205"/>
      <c r="HB29" s="202"/>
      <c r="HC29" s="203"/>
      <c r="HD29" s="204"/>
      <c r="HE29" s="204"/>
      <c r="HF29" s="204"/>
      <c r="HG29" s="204"/>
      <c r="HH29" s="204"/>
      <c r="HI29" s="204"/>
      <c r="HJ29" s="204"/>
      <c r="HK29" s="205"/>
      <c r="HL29" s="202"/>
      <c r="HM29" s="203"/>
      <c r="HN29" s="204"/>
      <c r="HO29" s="204"/>
      <c r="HP29" s="204"/>
      <c r="HQ29" s="204"/>
      <c r="HR29" s="204"/>
      <c r="HS29" s="204"/>
      <c r="HT29" s="204"/>
      <c r="HU29" s="205"/>
      <c r="HV29" s="202"/>
      <c r="HW29" s="203"/>
      <c r="HX29" s="204"/>
      <c r="HY29" s="204"/>
      <c r="HZ29" s="204"/>
      <c r="IA29" s="204"/>
      <c r="IB29" s="204"/>
      <c r="IC29" s="204"/>
      <c r="ID29" s="204"/>
      <c r="IE29" s="205"/>
      <c r="IF29" s="202"/>
      <c r="IG29" s="203"/>
      <c r="IH29" s="204"/>
      <c r="II29" s="204"/>
      <c r="IJ29" s="204"/>
      <c r="IK29" s="204"/>
      <c r="IL29" s="204"/>
      <c r="IM29" s="204"/>
      <c r="IN29" s="204"/>
      <c r="IO29" s="205"/>
      <c r="IP29" s="24"/>
      <c r="IQ29" s="25">
        <v>23</v>
      </c>
      <c r="IR29" s="26">
        <v>0</v>
      </c>
      <c r="IS29" s="26">
        <v>1.0069999999999999</v>
      </c>
      <c r="IT29" s="26">
        <v>0.44600000000000001</v>
      </c>
      <c r="IU29" s="26">
        <v>0.75</v>
      </c>
      <c r="IV29" s="26">
        <v>1</v>
      </c>
      <c r="IW29" s="26">
        <v>0</v>
      </c>
      <c r="IX29" s="8"/>
    </row>
    <row r="30" spans="2:258" ht="15.75" thickBot="1" x14ac:dyDescent="0.3">
      <c r="B30" s="103">
        <f t="shared" si="15"/>
        <v>72</v>
      </c>
      <c r="C30" s="226">
        <v>13</v>
      </c>
      <c r="D30" s="98">
        <f t="shared" si="1"/>
        <v>0.37849603174603175</v>
      </c>
      <c r="E30" s="96">
        <f t="shared" si="2"/>
        <v>0.42150694444444436</v>
      </c>
      <c r="F30" s="96">
        <f t="shared" si="3"/>
        <v>0.44157870370370367</v>
      </c>
      <c r="G30" s="96">
        <f t="shared" si="4"/>
        <v>0.45161458333333332</v>
      </c>
      <c r="H30" s="96">
        <f t="shared" si="5"/>
        <v>0.44157870370370372</v>
      </c>
      <c r="I30" s="96">
        <f t="shared" si="6"/>
        <v>0.44826929012345684</v>
      </c>
      <c r="J30" s="96">
        <f t="shared" si="7"/>
        <v>0.45304828042328038</v>
      </c>
      <c r="K30" s="96">
        <f t="shared" si="8"/>
        <v>0.45663252314814812</v>
      </c>
      <c r="L30" s="96">
        <f t="shared" si="9"/>
        <v>0.45942026748971188</v>
      </c>
      <c r="M30" s="96">
        <f t="shared" si="10"/>
        <v>0.46165046296296292</v>
      </c>
      <c r="N30" s="238"/>
      <c r="O30" s="238"/>
      <c r="P30" s="238"/>
      <c r="Q30" s="238"/>
      <c r="R30" s="238"/>
      <c r="S30" s="238"/>
      <c r="T30" s="238"/>
      <c r="U30" s="238"/>
      <c r="V30" s="238"/>
      <c r="W30" s="238"/>
      <c r="X30" s="96"/>
      <c r="Y30" s="65"/>
      <c r="AA30" s="83"/>
      <c r="AT30" s="4"/>
      <c r="AU30" s="14">
        <f t="shared" si="101"/>
        <v>54</v>
      </c>
      <c r="AV30" s="12" t="str">
        <f t="shared" si="86"/>
        <v>(1350)</v>
      </c>
      <c r="AW30" s="19">
        <f t="shared" si="102"/>
        <v>15</v>
      </c>
      <c r="AX30" s="20">
        <f t="shared" si="16"/>
        <v>0.97857986111111095</v>
      </c>
      <c r="AY30" s="21" t="str">
        <f t="shared" si="87"/>
        <v>(0.09)</v>
      </c>
      <c r="AZ30" s="22">
        <v>2</v>
      </c>
      <c r="BA30" s="22">
        <f t="shared" si="18"/>
        <v>1.5</v>
      </c>
      <c r="BB30" s="22">
        <v>0</v>
      </c>
      <c r="BC30" s="22">
        <f t="shared" si="19"/>
        <v>0</v>
      </c>
      <c r="BD30" s="22">
        <v>0</v>
      </c>
      <c r="BE30" s="22">
        <f t="shared" si="20"/>
        <v>0</v>
      </c>
      <c r="BF30" s="22">
        <f t="shared" si="88"/>
        <v>1.5</v>
      </c>
      <c r="BG30" s="23">
        <f t="shared" si="22"/>
        <v>5.5</v>
      </c>
      <c r="BH30" s="373">
        <f t="shared" si="23"/>
        <v>1.8681979166666665</v>
      </c>
      <c r="BI30" s="374" t="str">
        <f t="shared" si="89"/>
        <v>(0.17)</v>
      </c>
      <c r="BJ30" s="375">
        <v>2</v>
      </c>
      <c r="BK30" s="375">
        <f t="shared" si="25"/>
        <v>1.5</v>
      </c>
      <c r="BL30" s="375">
        <v>0</v>
      </c>
      <c r="BM30" s="375">
        <f t="shared" si="26"/>
        <v>0</v>
      </c>
      <c r="BN30" s="375">
        <v>0</v>
      </c>
      <c r="BO30" s="375">
        <f t="shared" si="27"/>
        <v>0</v>
      </c>
      <c r="BP30" s="375">
        <f t="shared" si="90"/>
        <v>1.5</v>
      </c>
      <c r="BQ30" s="376">
        <f t="shared" si="29"/>
        <v>10.5</v>
      </c>
      <c r="BR30" s="373">
        <f t="shared" si="30"/>
        <v>2.9357395833333331</v>
      </c>
      <c r="BS30" s="374" t="str">
        <f t="shared" si="31"/>
        <v>(0.27)</v>
      </c>
      <c r="BT30" s="375">
        <v>2</v>
      </c>
      <c r="BU30" s="375">
        <f t="shared" si="32"/>
        <v>1.5</v>
      </c>
      <c r="BV30" s="375">
        <v>0</v>
      </c>
      <c r="BW30" s="375">
        <f t="shared" si="33"/>
        <v>0</v>
      </c>
      <c r="BX30" s="375">
        <v>0</v>
      </c>
      <c r="BY30" s="375">
        <f t="shared" si="34"/>
        <v>0</v>
      </c>
      <c r="BZ30" s="375">
        <f t="shared" si="91"/>
        <v>1.5</v>
      </c>
      <c r="CA30" s="376">
        <f t="shared" si="36"/>
        <v>16.5</v>
      </c>
      <c r="CB30" s="373">
        <f t="shared" si="37"/>
        <v>4.0032812499999997</v>
      </c>
      <c r="CC30" s="374" t="str">
        <f t="shared" si="38"/>
        <v>(0.37)</v>
      </c>
      <c r="CD30" s="375">
        <v>2</v>
      </c>
      <c r="CE30" s="375">
        <f t="shared" si="39"/>
        <v>1.5</v>
      </c>
      <c r="CF30" s="375">
        <v>0</v>
      </c>
      <c r="CG30" s="375">
        <f t="shared" si="40"/>
        <v>0</v>
      </c>
      <c r="CH30" s="375">
        <v>0</v>
      </c>
      <c r="CI30" s="375">
        <f t="shared" si="41"/>
        <v>0</v>
      </c>
      <c r="CJ30" s="375">
        <f t="shared" si="92"/>
        <v>1.5</v>
      </c>
      <c r="CK30" s="376">
        <f t="shared" si="43"/>
        <v>22.5</v>
      </c>
      <c r="CL30" s="373">
        <f t="shared" si="44"/>
        <v>4.8928993055555559</v>
      </c>
      <c r="CM30" s="374" t="str">
        <f t="shared" si="45"/>
        <v>(0.45)</v>
      </c>
      <c r="CN30" s="375">
        <v>2</v>
      </c>
      <c r="CO30" s="375">
        <f t="shared" si="46"/>
        <v>1.5</v>
      </c>
      <c r="CP30" s="375">
        <v>0</v>
      </c>
      <c r="CQ30" s="375">
        <f t="shared" si="47"/>
        <v>0</v>
      </c>
      <c r="CR30" s="375">
        <v>1</v>
      </c>
      <c r="CS30" s="375">
        <f t="shared" si="48"/>
        <v>1</v>
      </c>
      <c r="CT30" s="375">
        <f t="shared" si="93"/>
        <v>2.5</v>
      </c>
      <c r="CU30" s="376">
        <f t="shared" si="50"/>
        <v>27.5</v>
      </c>
      <c r="CV30" s="373">
        <f t="shared" si="51"/>
        <v>5.960440972222222</v>
      </c>
      <c r="CW30" s="374" t="str">
        <f t="shared" si="52"/>
        <v>(0.55)</v>
      </c>
      <c r="CX30" s="375">
        <v>2</v>
      </c>
      <c r="CY30" s="375">
        <f t="shared" si="53"/>
        <v>1.5</v>
      </c>
      <c r="CZ30" s="375">
        <v>0</v>
      </c>
      <c r="DA30" s="375">
        <f t="shared" si="54"/>
        <v>0</v>
      </c>
      <c r="DB30" s="375">
        <v>1</v>
      </c>
      <c r="DC30" s="375">
        <f t="shared" si="55"/>
        <v>1</v>
      </c>
      <c r="DD30" s="375">
        <f t="shared" si="94"/>
        <v>2.5</v>
      </c>
      <c r="DE30" s="376">
        <f t="shared" si="57"/>
        <v>33.5</v>
      </c>
      <c r="DF30" s="373">
        <f t="shared" si="58"/>
        <v>7.0279826388888891</v>
      </c>
      <c r="DG30" s="374" t="str">
        <f t="shared" si="59"/>
        <v>(0.65)</v>
      </c>
      <c r="DH30" s="375">
        <v>2</v>
      </c>
      <c r="DI30" s="375">
        <f t="shared" si="60"/>
        <v>1.5</v>
      </c>
      <c r="DJ30" s="375">
        <v>0</v>
      </c>
      <c r="DK30" s="375">
        <f t="shared" si="61"/>
        <v>0</v>
      </c>
      <c r="DL30" s="375">
        <v>1</v>
      </c>
      <c r="DM30" s="375">
        <f t="shared" si="62"/>
        <v>1</v>
      </c>
      <c r="DN30" s="375">
        <f t="shared" si="95"/>
        <v>2.5</v>
      </c>
      <c r="DO30" s="376">
        <f t="shared" si="64"/>
        <v>39.5</v>
      </c>
      <c r="DP30" s="373">
        <f t="shared" si="65"/>
        <v>8.0955243055555552</v>
      </c>
      <c r="DQ30" s="374" t="str">
        <f t="shared" si="66"/>
        <v>(0.75)</v>
      </c>
      <c r="DR30" s="375">
        <v>2</v>
      </c>
      <c r="DS30" s="375">
        <f t="shared" si="67"/>
        <v>1.5</v>
      </c>
      <c r="DT30" s="375">
        <v>0</v>
      </c>
      <c r="DU30" s="375">
        <f t="shared" si="68"/>
        <v>0</v>
      </c>
      <c r="DV30" s="375">
        <v>1</v>
      </c>
      <c r="DW30" s="375">
        <f t="shared" si="69"/>
        <v>1</v>
      </c>
      <c r="DX30" s="375">
        <f t="shared" si="96"/>
        <v>2.5</v>
      </c>
      <c r="DY30" s="376">
        <f t="shared" si="71"/>
        <v>45.5</v>
      </c>
      <c r="DZ30" s="373">
        <f t="shared" si="72"/>
        <v>9.1630659722222205</v>
      </c>
      <c r="EA30" s="374" t="str">
        <f t="shared" si="97"/>
        <v>(0.85)</v>
      </c>
      <c r="EB30" s="375">
        <v>2</v>
      </c>
      <c r="EC30" s="375">
        <f t="shared" si="74"/>
        <v>1.5</v>
      </c>
      <c r="ED30" s="375">
        <v>0</v>
      </c>
      <c r="EE30" s="375">
        <f t="shared" si="75"/>
        <v>0</v>
      </c>
      <c r="EF30" s="375">
        <v>1</v>
      </c>
      <c r="EG30" s="375">
        <f t="shared" si="76"/>
        <v>1</v>
      </c>
      <c r="EH30" s="375">
        <f t="shared" si="98"/>
        <v>2.5</v>
      </c>
      <c r="EI30" s="376">
        <f t="shared" si="78"/>
        <v>51.5</v>
      </c>
      <c r="EJ30" s="373">
        <f t="shared" si="79"/>
        <v>10.230607638888889</v>
      </c>
      <c r="EK30" s="374" t="str">
        <f t="shared" si="99"/>
        <v>(0.95)</v>
      </c>
      <c r="EL30" s="22">
        <v>2</v>
      </c>
      <c r="EM30" s="22">
        <f t="shared" si="81"/>
        <v>1.5</v>
      </c>
      <c r="EN30" s="22">
        <v>0</v>
      </c>
      <c r="EO30" s="22">
        <f t="shared" si="82"/>
        <v>0</v>
      </c>
      <c r="EP30" s="22">
        <v>1</v>
      </c>
      <c r="EQ30" s="22">
        <f t="shared" si="83"/>
        <v>1</v>
      </c>
      <c r="ER30" s="22">
        <f t="shared" si="100"/>
        <v>2.5</v>
      </c>
      <c r="ES30" s="23">
        <f t="shared" si="85"/>
        <v>57.5</v>
      </c>
      <c r="ET30" s="202"/>
      <c r="EU30" s="203"/>
      <c r="EV30" s="204"/>
      <c r="EW30" s="204"/>
      <c r="EX30" s="204"/>
      <c r="EY30" s="204"/>
      <c r="EZ30" s="204"/>
      <c r="FA30" s="204"/>
      <c r="FB30" s="204"/>
      <c r="FC30" s="205"/>
      <c r="FD30" s="202"/>
      <c r="FE30" s="203"/>
      <c r="FF30" s="204"/>
      <c r="FG30" s="204"/>
      <c r="FH30" s="204"/>
      <c r="FI30" s="204"/>
      <c r="FJ30" s="204"/>
      <c r="FK30" s="204"/>
      <c r="FL30" s="204"/>
      <c r="FM30" s="205"/>
      <c r="FN30" s="202"/>
      <c r="FO30" s="203"/>
      <c r="FP30" s="204"/>
      <c r="FQ30" s="204"/>
      <c r="FR30" s="204"/>
      <c r="FS30" s="204"/>
      <c r="FT30" s="204"/>
      <c r="FU30" s="204"/>
      <c r="FV30" s="204"/>
      <c r="FW30" s="205"/>
      <c r="FX30" s="202"/>
      <c r="FY30" s="203"/>
      <c r="FZ30" s="204"/>
      <c r="GA30" s="204"/>
      <c r="GB30" s="204"/>
      <c r="GC30" s="204"/>
      <c r="GD30" s="204"/>
      <c r="GE30" s="204"/>
      <c r="GF30" s="204"/>
      <c r="GG30" s="205"/>
      <c r="GH30" s="202"/>
      <c r="GI30" s="203"/>
      <c r="GJ30" s="204"/>
      <c r="GK30" s="204"/>
      <c r="GL30" s="204"/>
      <c r="GM30" s="204"/>
      <c r="GN30" s="204"/>
      <c r="GO30" s="204"/>
      <c r="GP30" s="204"/>
      <c r="GQ30" s="205"/>
      <c r="GR30" s="202"/>
      <c r="GS30" s="203"/>
      <c r="GT30" s="204"/>
      <c r="GU30" s="204"/>
      <c r="GV30" s="204"/>
      <c r="GW30" s="204"/>
      <c r="GX30" s="204"/>
      <c r="GY30" s="204"/>
      <c r="GZ30" s="204"/>
      <c r="HA30" s="205"/>
      <c r="HB30" s="202"/>
      <c r="HC30" s="203"/>
      <c r="HD30" s="204"/>
      <c r="HE30" s="204"/>
      <c r="HF30" s="204"/>
      <c r="HG30" s="204"/>
      <c r="HH30" s="204"/>
      <c r="HI30" s="204"/>
      <c r="HJ30" s="204"/>
      <c r="HK30" s="205"/>
      <c r="HL30" s="202"/>
      <c r="HM30" s="203"/>
      <c r="HN30" s="204"/>
      <c r="HO30" s="204"/>
      <c r="HP30" s="204"/>
      <c r="HQ30" s="204"/>
      <c r="HR30" s="204"/>
      <c r="HS30" s="204"/>
      <c r="HT30" s="204"/>
      <c r="HU30" s="205"/>
      <c r="HV30" s="202"/>
      <c r="HW30" s="203"/>
      <c r="HX30" s="204"/>
      <c r="HY30" s="204"/>
      <c r="HZ30" s="204"/>
      <c r="IA30" s="204"/>
      <c r="IB30" s="204"/>
      <c r="IC30" s="204"/>
      <c r="ID30" s="204"/>
      <c r="IE30" s="205"/>
      <c r="IF30" s="202"/>
      <c r="IG30" s="203"/>
      <c r="IH30" s="204"/>
      <c r="II30" s="204"/>
      <c r="IJ30" s="204"/>
      <c r="IK30" s="204"/>
      <c r="IL30" s="204"/>
      <c r="IM30" s="204"/>
      <c r="IN30" s="204"/>
      <c r="IO30" s="205"/>
      <c r="IP30" s="24"/>
      <c r="IQ30" s="25">
        <v>26</v>
      </c>
      <c r="IR30" s="26">
        <v>0</v>
      </c>
      <c r="IS30" s="26">
        <v>1.0069999999999999</v>
      </c>
      <c r="IT30" s="26">
        <v>0.44600000000000001</v>
      </c>
      <c r="IU30" s="26">
        <v>0.75</v>
      </c>
      <c r="IV30" s="26">
        <v>1</v>
      </c>
      <c r="IW30" s="26">
        <v>0</v>
      </c>
      <c r="IX30" s="8"/>
    </row>
    <row r="31" spans="2:258" ht="15.75" thickBot="1" x14ac:dyDescent="0.3">
      <c r="B31" s="103">
        <f t="shared" si="15"/>
        <v>78</v>
      </c>
      <c r="C31" s="221">
        <v>14</v>
      </c>
      <c r="D31" s="98">
        <f t="shared" si="1"/>
        <v>0.379812271062271</v>
      </c>
      <c r="E31" s="96">
        <f t="shared" si="2"/>
        <v>0.42297275641025628</v>
      </c>
      <c r="F31" s="96">
        <f t="shared" si="3"/>
        <v>0.44311431623931613</v>
      </c>
      <c r="G31" s="96">
        <f t="shared" si="4"/>
        <v>0.45318509615384611</v>
      </c>
      <c r="H31" s="96">
        <f t="shared" si="5"/>
        <v>0.44311431623931613</v>
      </c>
      <c r="I31" s="96">
        <f t="shared" si="6"/>
        <v>0.44982816951566934</v>
      </c>
      <c r="J31" s="96">
        <f t="shared" si="7"/>
        <v>0.45462377899877893</v>
      </c>
      <c r="K31" s="96">
        <f t="shared" si="8"/>
        <v>0.45822048611111099</v>
      </c>
      <c r="L31" s="96">
        <f t="shared" si="9"/>
        <v>0.46101792497625821</v>
      </c>
      <c r="M31" s="96">
        <f t="shared" si="10"/>
        <v>0.46325587606837593</v>
      </c>
      <c r="N31" s="238"/>
      <c r="O31" s="238"/>
      <c r="P31" s="238"/>
      <c r="Q31" s="238"/>
      <c r="R31" s="238"/>
      <c r="S31" s="238"/>
      <c r="T31" s="238"/>
      <c r="U31" s="238"/>
      <c r="V31" s="238"/>
      <c r="W31" s="238"/>
      <c r="X31" s="96"/>
      <c r="Y31" s="65"/>
      <c r="AT31" s="4"/>
      <c r="AU31" s="27">
        <f t="shared" si="101"/>
        <v>60</v>
      </c>
      <c r="AV31" s="28" t="str">
        <f t="shared" si="86"/>
        <v>(1500)</v>
      </c>
      <c r="AW31" s="19">
        <f t="shared" si="102"/>
        <v>16</v>
      </c>
      <c r="AX31" s="20">
        <f t="shared" si="16"/>
        <v>1.0939652777777777</v>
      </c>
      <c r="AY31" s="29" t="str">
        <f>"("&amp;FIXED(AX31*0.092903,2)&amp;")"</f>
        <v>(0.10)</v>
      </c>
      <c r="AZ31" s="22">
        <v>2</v>
      </c>
      <c r="BA31" s="22">
        <f t="shared" si="18"/>
        <v>1.5</v>
      </c>
      <c r="BB31" s="30">
        <v>0</v>
      </c>
      <c r="BC31" s="22">
        <f t="shared" si="19"/>
        <v>0</v>
      </c>
      <c r="BD31" s="30">
        <v>0</v>
      </c>
      <c r="BE31" s="22">
        <f t="shared" si="20"/>
        <v>0</v>
      </c>
      <c r="BF31" s="22">
        <f t="shared" si="88"/>
        <v>1.5</v>
      </c>
      <c r="BG31" s="23">
        <f t="shared" si="22"/>
        <v>5.5</v>
      </c>
      <c r="BH31" s="373">
        <f t="shared" si="23"/>
        <v>2.0884791666666667</v>
      </c>
      <c r="BI31" s="374" t="str">
        <f>"("&amp;FIXED(BH31*0.092903,2)&amp;")"</f>
        <v>(0.19)</v>
      </c>
      <c r="BJ31" s="375">
        <v>2</v>
      </c>
      <c r="BK31" s="375">
        <f t="shared" si="25"/>
        <v>1.5</v>
      </c>
      <c r="BL31" s="375">
        <v>0</v>
      </c>
      <c r="BM31" s="375">
        <f t="shared" si="26"/>
        <v>0</v>
      </c>
      <c r="BN31" s="375">
        <v>0</v>
      </c>
      <c r="BO31" s="375">
        <f t="shared" si="27"/>
        <v>0</v>
      </c>
      <c r="BP31" s="375">
        <f t="shared" si="90"/>
        <v>1.5</v>
      </c>
      <c r="BQ31" s="376">
        <f t="shared" si="29"/>
        <v>10.5</v>
      </c>
      <c r="BR31" s="373">
        <f t="shared" si="30"/>
        <v>3.2818958333333335</v>
      </c>
      <c r="BS31" s="374" t="str">
        <f t="shared" si="31"/>
        <v>(0.3)</v>
      </c>
      <c r="BT31" s="375">
        <v>2</v>
      </c>
      <c r="BU31" s="375">
        <f t="shared" si="32"/>
        <v>1.5</v>
      </c>
      <c r="BV31" s="375">
        <v>0</v>
      </c>
      <c r="BW31" s="375">
        <f t="shared" si="33"/>
        <v>0</v>
      </c>
      <c r="BX31" s="375">
        <v>0</v>
      </c>
      <c r="BY31" s="375">
        <f t="shared" si="34"/>
        <v>0</v>
      </c>
      <c r="BZ31" s="375">
        <f t="shared" si="91"/>
        <v>1.5</v>
      </c>
      <c r="CA31" s="376">
        <f t="shared" si="36"/>
        <v>16.5</v>
      </c>
      <c r="CB31" s="373">
        <f t="shared" si="37"/>
        <v>4.4753124999999994</v>
      </c>
      <c r="CC31" s="374" t="str">
        <f t="shared" si="38"/>
        <v>(0.42)</v>
      </c>
      <c r="CD31" s="375">
        <v>2</v>
      </c>
      <c r="CE31" s="375">
        <f t="shared" si="39"/>
        <v>1.5</v>
      </c>
      <c r="CF31" s="375">
        <v>0</v>
      </c>
      <c r="CG31" s="375">
        <f t="shared" si="40"/>
        <v>0</v>
      </c>
      <c r="CH31" s="375">
        <v>0</v>
      </c>
      <c r="CI31" s="375">
        <f t="shared" si="41"/>
        <v>0</v>
      </c>
      <c r="CJ31" s="375">
        <f t="shared" si="92"/>
        <v>1.5</v>
      </c>
      <c r="CK31" s="376">
        <f t="shared" si="43"/>
        <v>22.5</v>
      </c>
      <c r="CL31" s="373">
        <f t="shared" si="44"/>
        <v>5.4698263888888885</v>
      </c>
      <c r="CM31" s="374" t="str">
        <f t="shared" si="45"/>
        <v>(0.51)</v>
      </c>
      <c r="CN31" s="375">
        <v>2</v>
      </c>
      <c r="CO31" s="375">
        <f t="shared" si="46"/>
        <v>1.5</v>
      </c>
      <c r="CP31" s="375">
        <v>0</v>
      </c>
      <c r="CQ31" s="375">
        <f t="shared" si="47"/>
        <v>0</v>
      </c>
      <c r="CR31" s="375">
        <v>1</v>
      </c>
      <c r="CS31" s="375">
        <f t="shared" si="48"/>
        <v>1</v>
      </c>
      <c r="CT31" s="375">
        <f t="shared" si="93"/>
        <v>2.5</v>
      </c>
      <c r="CU31" s="376">
        <f t="shared" si="50"/>
        <v>27.5</v>
      </c>
      <c r="CV31" s="373">
        <f t="shared" si="51"/>
        <v>6.6632430555555553</v>
      </c>
      <c r="CW31" s="374" t="str">
        <f t="shared" si="52"/>
        <v>(0.62)</v>
      </c>
      <c r="CX31" s="375">
        <v>2</v>
      </c>
      <c r="CY31" s="375">
        <f t="shared" si="53"/>
        <v>1.5</v>
      </c>
      <c r="CZ31" s="375">
        <v>0</v>
      </c>
      <c r="DA31" s="375">
        <f t="shared" si="54"/>
        <v>0</v>
      </c>
      <c r="DB31" s="375">
        <v>1</v>
      </c>
      <c r="DC31" s="375">
        <f t="shared" si="55"/>
        <v>1</v>
      </c>
      <c r="DD31" s="375">
        <f t="shared" si="94"/>
        <v>2.5</v>
      </c>
      <c r="DE31" s="376">
        <f t="shared" si="57"/>
        <v>33.5</v>
      </c>
      <c r="DF31" s="373">
        <f t="shared" si="58"/>
        <v>7.8566597222222221</v>
      </c>
      <c r="DG31" s="374" t="str">
        <f t="shared" si="59"/>
        <v>(0.73)</v>
      </c>
      <c r="DH31" s="375">
        <v>2</v>
      </c>
      <c r="DI31" s="375">
        <f t="shared" si="60"/>
        <v>1.5</v>
      </c>
      <c r="DJ31" s="375">
        <v>0</v>
      </c>
      <c r="DK31" s="375">
        <f t="shared" si="61"/>
        <v>0</v>
      </c>
      <c r="DL31" s="375">
        <v>1</v>
      </c>
      <c r="DM31" s="375">
        <f t="shared" si="62"/>
        <v>1</v>
      </c>
      <c r="DN31" s="375">
        <f t="shared" si="95"/>
        <v>2.5</v>
      </c>
      <c r="DO31" s="376">
        <f t="shared" si="64"/>
        <v>39.5</v>
      </c>
      <c r="DP31" s="373">
        <f t="shared" si="65"/>
        <v>9.0500763888888898</v>
      </c>
      <c r="DQ31" s="374" t="str">
        <f t="shared" si="66"/>
        <v>(0.84)</v>
      </c>
      <c r="DR31" s="375">
        <v>2</v>
      </c>
      <c r="DS31" s="375">
        <f t="shared" si="67"/>
        <v>1.5</v>
      </c>
      <c r="DT31" s="375">
        <v>0</v>
      </c>
      <c r="DU31" s="375">
        <f t="shared" si="68"/>
        <v>0</v>
      </c>
      <c r="DV31" s="375">
        <v>1</v>
      </c>
      <c r="DW31" s="375">
        <f t="shared" si="69"/>
        <v>1</v>
      </c>
      <c r="DX31" s="375">
        <f t="shared" si="96"/>
        <v>2.5</v>
      </c>
      <c r="DY31" s="376">
        <f t="shared" si="71"/>
        <v>45.5</v>
      </c>
      <c r="DZ31" s="373">
        <f t="shared" si="72"/>
        <v>10.243493055555554</v>
      </c>
      <c r="EA31" s="374" t="str">
        <f>"("&amp;FIXED(DZ31*0.092903,2)&amp;")"</f>
        <v>(0.95)</v>
      </c>
      <c r="EB31" s="375">
        <v>2</v>
      </c>
      <c r="EC31" s="375">
        <f t="shared" si="74"/>
        <v>1.5</v>
      </c>
      <c r="ED31" s="375">
        <v>0</v>
      </c>
      <c r="EE31" s="375">
        <f t="shared" si="75"/>
        <v>0</v>
      </c>
      <c r="EF31" s="375">
        <v>1</v>
      </c>
      <c r="EG31" s="375">
        <f t="shared" si="76"/>
        <v>1</v>
      </c>
      <c r="EH31" s="375">
        <f t="shared" si="98"/>
        <v>2.5</v>
      </c>
      <c r="EI31" s="376">
        <f t="shared" si="78"/>
        <v>51.5</v>
      </c>
      <c r="EJ31" s="373">
        <f t="shared" si="79"/>
        <v>11.436909722222222</v>
      </c>
      <c r="EK31" s="374" t="str">
        <f>"("&amp;FIXED(EJ31*0.092903,2)&amp;")"</f>
        <v>(1.06)</v>
      </c>
      <c r="EL31" s="22">
        <v>2</v>
      </c>
      <c r="EM31" s="22">
        <f t="shared" si="81"/>
        <v>1.5</v>
      </c>
      <c r="EN31" s="30">
        <v>0</v>
      </c>
      <c r="EO31" s="22">
        <f t="shared" si="82"/>
        <v>0</v>
      </c>
      <c r="EP31" s="30">
        <v>1</v>
      </c>
      <c r="EQ31" s="22">
        <f t="shared" si="83"/>
        <v>1</v>
      </c>
      <c r="ER31" s="22">
        <f t="shared" si="100"/>
        <v>2.5</v>
      </c>
      <c r="ES31" s="23">
        <f t="shared" si="85"/>
        <v>57.5</v>
      </c>
      <c r="ET31" s="202"/>
      <c r="EU31" s="203"/>
      <c r="EV31" s="204"/>
      <c r="EW31" s="204"/>
      <c r="EX31" s="204"/>
      <c r="EY31" s="204"/>
      <c r="EZ31" s="204"/>
      <c r="FA31" s="204"/>
      <c r="FB31" s="204"/>
      <c r="FC31" s="205"/>
      <c r="FD31" s="202"/>
      <c r="FE31" s="203"/>
      <c r="FF31" s="204"/>
      <c r="FG31" s="204"/>
      <c r="FH31" s="204"/>
      <c r="FI31" s="204"/>
      <c r="FJ31" s="204"/>
      <c r="FK31" s="204"/>
      <c r="FL31" s="204"/>
      <c r="FM31" s="205"/>
      <c r="FN31" s="202"/>
      <c r="FO31" s="203"/>
      <c r="FP31" s="204"/>
      <c r="FQ31" s="204"/>
      <c r="FR31" s="204"/>
      <c r="FS31" s="204"/>
      <c r="FT31" s="204"/>
      <c r="FU31" s="204"/>
      <c r="FV31" s="204"/>
      <c r="FW31" s="205"/>
      <c r="FX31" s="202"/>
      <c r="FY31" s="203"/>
      <c r="FZ31" s="204"/>
      <c r="GA31" s="204"/>
      <c r="GB31" s="204"/>
      <c r="GC31" s="204"/>
      <c r="GD31" s="204"/>
      <c r="GE31" s="204"/>
      <c r="GF31" s="204"/>
      <c r="GG31" s="205"/>
      <c r="GH31" s="202"/>
      <c r="GI31" s="203"/>
      <c r="GJ31" s="204"/>
      <c r="GK31" s="204"/>
      <c r="GL31" s="204"/>
      <c r="GM31" s="204"/>
      <c r="GN31" s="204"/>
      <c r="GO31" s="204"/>
      <c r="GP31" s="204"/>
      <c r="GQ31" s="205"/>
      <c r="GR31" s="202"/>
      <c r="GS31" s="203"/>
      <c r="GT31" s="204"/>
      <c r="GU31" s="204"/>
      <c r="GV31" s="204"/>
      <c r="GW31" s="204"/>
      <c r="GX31" s="204"/>
      <c r="GY31" s="204"/>
      <c r="GZ31" s="204"/>
      <c r="HA31" s="205"/>
      <c r="HB31" s="202"/>
      <c r="HC31" s="203"/>
      <c r="HD31" s="204"/>
      <c r="HE31" s="204"/>
      <c r="HF31" s="204"/>
      <c r="HG31" s="204"/>
      <c r="HH31" s="204"/>
      <c r="HI31" s="204"/>
      <c r="HJ31" s="204"/>
      <c r="HK31" s="205"/>
      <c r="HL31" s="202"/>
      <c r="HM31" s="203"/>
      <c r="HN31" s="204"/>
      <c r="HO31" s="204"/>
      <c r="HP31" s="204"/>
      <c r="HQ31" s="204"/>
      <c r="HR31" s="204"/>
      <c r="HS31" s="204"/>
      <c r="HT31" s="204"/>
      <c r="HU31" s="205"/>
      <c r="HV31" s="202"/>
      <c r="HW31" s="203"/>
      <c r="HX31" s="204"/>
      <c r="HY31" s="204"/>
      <c r="HZ31" s="204"/>
      <c r="IA31" s="204"/>
      <c r="IB31" s="204"/>
      <c r="IC31" s="204"/>
      <c r="ID31" s="204"/>
      <c r="IE31" s="205"/>
      <c r="IF31" s="202"/>
      <c r="IG31" s="203"/>
      <c r="IH31" s="204"/>
      <c r="II31" s="204"/>
      <c r="IJ31" s="204"/>
      <c r="IK31" s="204"/>
      <c r="IL31" s="204"/>
      <c r="IM31" s="204"/>
      <c r="IN31" s="204"/>
      <c r="IO31" s="205"/>
      <c r="IP31" s="24"/>
      <c r="IQ31" s="25">
        <v>29</v>
      </c>
      <c r="IR31" s="26">
        <v>0</v>
      </c>
      <c r="IS31" s="26">
        <v>1.0069999999999999</v>
      </c>
      <c r="IT31" s="26">
        <v>0.44600000000000001</v>
      </c>
      <c r="IU31" s="26">
        <v>0.75</v>
      </c>
      <c r="IV31" s="26">
        <v>1</v>
      </c>
      <c r="IW31" s="26">
        <v>0</v>
      </c>
      <c r="IX31" s="8"/>
    </row>
    <row r="32" spans="2:258" ht="15.75" thickBot="1" x14ac:dyDescent="0.3">
      <c r="B32" s="103">
        <f t="shared" si="15"/>
        <v>84</v>
      </c>
      <c r="C32" s="226">
        <v>15</v>
      </c>
      <c r="D32" s="98">
        <f t="shared" si="1"/>
        <v>0.38094047619047616</v>
      </c>
      <c r="E32" s="96">
        <f t="shared" si="2"/>
        <v>0.4242291666666666</v>
      </c>
      <c r="F32" s="96">
        <f t="shared" si="3"/>
        <v>0.44443055555555544</v>
      </c>
      <c r="G32" s="96">
        <f t="shared" si="4"/>
        <v>0.45453124999999994</v>
      </c>
      <c r="H32" s="96">
        <f t="shared" si="5"/>
        <v>0.44443055555555544</v>
      </c>
      <c r="I32" s="96">
        <f t="shared" si="6"/>
        <v>0.45116435185185177</v>
      </c>
      <c r="J32" s="96">
        <f t="shared" si="7"/>
        <v>0.45597420634920627</v>
      </c>
      <c r="K32" s="96">
        <f t="shared" si="8"/>
        <v>0.45958159722222219</v>
      </c>
      <c r="L32" s="96">
        <f t="shared" si="9"/>
        <v>0.4623873456790123</v>
      </c>
      <c r="M32" s="96">
        <f t="shared" si="10"/>
        <v>0.46463194444444428</v>
      </c>
      <c r="N32" s="238"/>
      <c r="O32" s="238"/>
      <c r="P32" s="238"/>
      <c r="Q32" s="238"/>
      <c r="R32" s="238"/>
      <c r="S32" s="238"/>
      <c r="T32" s="238"/>
      <c r="U32" s="238"/>
      <c r="V32" s="238"/>
      <c r="W32" s="238"/>
      <c r="X32" s="96"/>
      <c r="Y32" s="65"/>
      <c r="AT32" s="4"/>
      <c r="AU32" s="14">
        <f t="shared" si="101"/>
        <v>66</v>
      </c>
      <c r="AV32" s="12" t="str">
        <f t="shared" si="86"/>
        <v>(1700)</v>
      </c>
      <c r="AW32" s="19">
        <f t="shared" si="102"/>
        <v>17</v>
      </c>
      <c r="AX32" s="20">
        <f t="shared" si="16"/>
        <v>1.2093506944444443</v>
      </c>
      <c r="AY32" s="21" t="str">
        <f t="shared" ref="AY32:AY40" si="103">"("&amp;FIXED(AX32*0.092903,2)&amp;")"</f>
        <v>(0.11)</v>
      </c>
      <c r="AZ32" s="22">
        <v>2</v>
      </c>
      <c r="BA32" s="22">
        <f t="shared" si="18"/>
        <v>1.5</v>
      </c>
      <c r="BB32" s="22">
        <v>0</v>
      </c>
      <c r="BC32" s="22">
        <f t="shared" si="19"/>
        <v>0</v>
      </c>
      <c r="BD32" s="22">
        <v>0</v>
      </c>
      <c r="BE32" s="22">
        <f t="shared" si="20"/>
        <v>0</v>
      </c>
      <c r="BF32" s="22">
        <f t="shared" si="88"/>
        <v>1.5</v>
      </c>
      <c r="BG32" s="23">
        <f t="shared" si="22"/>
        <v>5.5</v>
      </c>
      <c r="BH32" s="373">
        <f t="shared" si="23"/>
        <v>2.3087604166666664</v>
      </c>
      <c r="BI32" s="374" t="str">
        <f t="shared" si="89"/>
        <v>(0.21)</v>
      </c>
      <c r="BJ32" s="375">
        <v>2</v>
      </c>
      <c r="BK32" s="375">
        <f t="shared" si="25"/>
        <v>1.5</v>
      </c>
      <c r="BL32" s="375">
        <v>0</v>
      </c>
      <c r="BM32" s="375">
        <f t="shared" si="26"/>
        <v>0</v>
      </c>
      <c r="BN32" s="375">
        <v>0</v>
      </c>
      <c r="BO32" s="375">
        <f t="shared" si="27"/>
        <v>0</v>
      </c>
      <c r="BP32" s="375">
        <f t="shared" si="90"/>
        <v>1.5</v>
      </c>
      <c r="BQ32" s="376">
        <f t="shared" si="29"/>
        <v>10.5</v>
      </c>
      <c r="BR32" s="373">
        <f t="shared" si="30"/>
        <v>3.628052083333333</v>
      </c>
      <c r="BS32" s="374" t="str">
        <f t="shared" si="31"/>
        <v>(0.34)</v>
      </c>
      <c r="BT32" s="375">
        <v>2</v>
      </c>
      <c r="BU32" s="375">
        <f t="shared" si="32"/>
        <v>1.5</v>
      </c>
      <c r="BV32" s="375">
        <v>0</v>
      </c>
      <c r="BW32" s="375">
        <f t="shared" si="33"/>
        <v>0</v>
      </c>
      <c r="BX32" s="375">
        <v>0</v>
      </c>
      <c r="BY32" s="375">
        <f t="shared" si="34"/>
        <v>0</v>
      </c>
      <c r="BZ32" s="375">
        <f t="shared" si="91"/>
        <v>1.5</v>
      </c>
      <c r="CA32" s="376">
        <f t="shared" si="36"/>
        <v>16.5</v>
      </c>
      <c r="CB32" s="373">
        <f t="shared" si="37"/>
        <v>4.947343749999999</v>
      </c>
      <c r="CC32" s="374" t="str">
        <f t="shared" si="38"/>
        <v>(0.46)</v>
      </c>
      <c r="CD32" s="375">
        <v>2</v>
      </c>
      <c r="CE32" s="375">
        <f t="shared" si="39"/>
        <v>1.5</v>
      </c>
      <c r="CF32" s="375">
        <v>0</v>
      </c>
      <c r="CG32" s="375">
        <f t="shared" si="40"/>
        <v>0</v>
      </c>
      <c r="CH32" s="375">
        <v>0</v>
      </c>
      <c r="CI32" s="375">
        <f t="shared" si="41"/>
        <v>0</v>
      </c>
      <c r="CJ32" s="375">
        <f t="shared" si="92"/>
        <v>1.5</v>
      </c>
      <c r="CK32" s="376">
        <f t="shared" si="43"/>
        <v>22.5</v>
      </c>
      <c r="CL32" s="373">
        <f t="shared" si="44"/>
        <v>6.046753472222222</v>
      </c>
      <c r="CM32" s="374" t="str">
        <f t="shared" si="45"/>
        <v>(0.56)</v>
      </c>
      <c r="CN32" s="375">
        <v>2</v>
      </c>
      <c r="CO32" s="375">
        <f t="shared" si="46"/>
        <v>1.5</v>
      </c>
      <c r="CP32" s="375">
        <v>0</v>
      </c>
      <c r="CQ32" s="375">
        <f t="shared" si="47"/>
        <v>0</v>
      </c>
      <c r="CR32" s="375">
        <v>1</v>
      </c>
      <c r="CS32" s="375">
        <f t="shared" si="48"/>
        <v>1</v>
      </c>
      <c r="CT32" s="375">
        <f t="shared" si="93"/>
        <v>2.5</v>
      </c>
      <c r="CU32" s="376">
        <f t="shared" si="50"/>
        <v>27.5</v>
      </c>
      <c r="CV32" s="373">
        <f t="shared" si="51"/>
        <v>7.3660451388888886</v>
      </c>
      <c r="CW32" s="374" t="str">
        <f t="shared" si="52"/>
        <v>(0.68)</v>
      </c>
      <c r="CX32" s="375">
        <v>2</v>
      </c>
      <c r="CY32" s="375">
        <f t="shared" si="53"/>
        <v>1.5</v>
      </c>
      <c r="CZ32" s="375">
        <v>0</v>
      </c>
      <c r="DA32" s="375">
        <f t="shared" si="54"/>
        <v>0</v>
      </c>
      <c r="DB32" s="375">
        <v>1</v>
      </c>
      <c r="DC32" s="375">
        <f t="shared" si="55"/>
        <v>1</v>
      </c>
      <c r="DD32" s="375">
        <f t="shared" si="94"/>
        <v>2.5</v>
      </c>
      <c r="DE32" s="376">
        <f t="shared" si="57"/>
        <v>33.5</v>
      </c>
      <c r="DF32" s="373">
        <f t="shared" si="58"/>
        <v>8.685336805555556</v>
      </c>
      <c r="DG32" s="374" t="str">
        <f t="shared" si="59"/>
        <v>(0.81)</v>
      </c>
      <c r="DH32" s="375">
        <v>2</v>
      </c>
      <c r="DI32" s="375">
        <f t="shared" si="60"/>
        <v>1.5</v>
      </c>
      <c r="DJ32" s="375">
        <v>0</v>
      </c>
      <c r="DK32" s="375">
        <f t="shared" si="61"/>
        <v>0</v>
      </c>
      <c r="DL32" s="375">
        <v>1</v>
      </c>
      <c r="DM32" s="375">
        <f t="shared" si="62"/>
        <v>1</v>
      </c>
      <c r="DN32" s="375">
        <f t="shared" si="95"/>
        <v>2.5</v>
      </c>
      <c r="DO32" s="376">
        <f t="shared" si="64"/>
        <v>39.5</v>
      </c>
      <c r="DP32" s="373">
        <f t="shared" si="65"/>
        <v>10.004628472222221</v>
      </c>
      <c r="DQ32" s="374" t="str">
        <f t="shared" si="66"/>
        <v>(0.93)</v>
      </c>
      <c r="DR32" s="375">
        <v>2</v>
      </c>
      <c r="DS32" s="375">
        <f t="shared" si="67"/>
        <v>1.5</v>
      </c>
      <c r="DT32" s="375">
        <v>0</v>
      </c>
      <c r="DU32" s="375">
        <f t="shared" si="68"/>
        <v>0</v>
      </c>
      <c r="DV32" s="375">
        <v>1</v>
      </c>
      <c r="DW32" s="375">
        <f t="shared" si="69"/>
        <v>1</v>
      </c>
      <c r="DX32" s="375">
        <f t="shared" si="96"/>
        <v>2.5</v>
      </c>
      <c r="DY32" s="376">
        <f t="shared" si="71"/>
        <v>45.5</v>
      </c>
      <c r="DZ32" s="373">
        <f t="shared" si="72"/>
        <v>11.323920138888887</v>
      </c>
      <c r="EA32" s="374" t="str">
        <f t="shared" si="97"/>
        <v>(1.05)</v>
      </c>
      <c r="EB32" s="375">
        <v>2</v>
      </c>
      <c r="EC32" s="375">
        <f t="shared" si="74"/>
        <v>1.5</v>
      </c>
      <c r="ED32" s="375">
        <v>0</v>
      </c>
      <c r="EE32" s="375">
        <f t="shared" si="75"/>
        <v>0</v>
      </c>
      <c r="EF32" s="375">
        <v>1</v>
      </c>
      <c r="EG32" s="375">
        <f t="shared" si="76"/>
        <v>1</v>
      </c>
      <c r="EH32" s="375">
        <f t="shared" si="98"/>
        <v>2.5</v>
      </c>
      <c r="EI32" s="376">
        <f t="shared" si="78"/>
        <v>51.5</v>
      </c>
      <c r="EJ32" s="373">
        <f t="shared" si="79"/>
        <v>12.643211805555554</v>
      </c>
      <c r="EK32" s="374" t="str">
        <f t="shared" ref="EK32:EK40" si="104">"("&amp;FIXED(EJ32*0.092903,2)&amp;")"</f>
        <v>(1.17)</v>
      </c>
      <c r="EL32" s="22">
        <v>2</v>
      </c>
      <c r="EM32" s="22">
        <f t="shared" si="81"/>
        <v>1.5</v>
      </c>
      <c r="EN32" s="22">
        <v>0</v>
      </c>
      <c r="EO32" s="22">
        <f t="shared" si="82"/>
        <v>0</v>
      </c>
      <c r="EP32" s="22">
        <v>1</v>
      </c>
      <c r="EQ32" s="22">
        <f t="shared" si="83"/>
        <v>1</v>
      </c>
      <c r="ER32" s="22">
        <f t="shared" si="100"/>
        <v>2.5</v>
      </c>
      <c r="ES32" s="23">
        <f t="shared" si="85"/>
        <v>57.5</v>
      </c>
      <c r="ET32" s="202"/>
      <c r="EU32" s="203"/>
      <c r="EV32" s="204"/>
      <c r="EW32" s="204"/>
      <c r="EX32" s="204"/>
      <c r="EY32" s="204"/>
      <c r="EZ32" s="204"/>
      <c r="FA32" s="204"/>
      <c r="FB32" s="204"/>
      <c r="FC32" s="205"/>
      <c r="FD32" s="202"/>
      <c r="FE32" s="203"/>
      <c r="FF32" s="204"/>
      <c r="FG32" s="204"/>
      <c r="FH32" s="204"/>
      <c r="FI32" s="204"/>
      <c r="FJ32" s="204"/>
      <c r="FK32" s="204"/>
      <c r="FL32" s="204"/>
      <c r="FM32" s="205"/>
      <c r="FN32" s="202"/>
      <c r="FO32" s="203"/>
      <c r="FP32" s="204"/>
      <c r="FQ32" s="204"/>
      <c r="FR32" s="204"/>
      <c r="FS32" s="204"/>
      <c r="FT32" s="204"/>
      <c r="FU32" s="204"/>
      <c r="FV32" s="204"/>
      <c r="FW32" s="205"/>
      <c r="FX32" s="202"/>
      <c r="FY32" s="203"/>
      <c r="FZ32" s="204"/>
      <c r="GA32" s="204"/>
      <c r="GB32" s="204"/>
      <c r="GC32" s="204"/>
      <c r="GD32" s="204"/>
      <c r="GE32" s="204"/>
      <c r="GF32" s="204"/>
      <c r="GG32" s="205"/>
      <c r="GH32" s="202"/>
      <c r="GI32" s="203"/>
      <c r="GJ32" s="204"/>
      <c r="GK32" s="204"/>
      <c r="GL32" s="204"/>
      <c r="GM32" s="204"/>
      <c r="GN32" s="204"/>
      <c r="GO32" s="204"/>
      <c r="GP32" s="204"/>
      <c r="GQ32" s="205"/>
      <c r="GR32" s="202"/>
      <c r="GS32" s="203"/>
      <c r="GT32" s="204"/>
      <c r="GU32" s="204"/>
      <c r="GV32" s="204"/>
      <c r="GW32" s="204"/>
      <c r="GX32" s="204"/>
      <c r="GY32" s="204"/>
      <c r="GZ32" s="204"/>
      <c r="HA32" s="205"/>
      <c r="HB32" s="202"/>
      <c r="HC32" s="203"/>
      <c r="HD32" s="204"/>
      <c r="HE32" s="204"/>
      <c r="HF32" s="204"/>
      <c r="HG32" s="204"/>
      <c r="HH32" s="204"/>
      <c r="HI32" s="204"/>
      <c r="HJ32" s="204"/>
      <c r="HK32" s="205"/>
      <c r="HL32" s="202"/>
      <c r="HM32" s="203"/>
      <c r="HN32" s="204"/>
      <c r="HO32" s="204"/>
      <c r="HP32" s="204"/>
      <c r="HQ32" s="204"/>
      <c r="HR32" s="204"/>
      <c r="HS32" s="204"/>
      <c r="HT32" s="204"/>
      <c r="HU32" s="205"/>
      <c r="HV32" s="202"/>
      <c r="HW32" s="203"/>
      <c r="HX32" s="204"/>
      <c r="HY32" s="204"/>
      <c r="HZ32" s="204"/>
      <c r="IA32" s="204"/>
      <c r="IB32" s="204"/>
      <c r="IC32" s="204"/>
      <c r="ID32" s="204"/>
      <c r="IE32" s="205"/>
      <c r="IF32" s="202"/>
      <c r="IG32" s="203"/>
      <c r="IH32" s="204"/>
      <c r="II32" s="204"/>
      <c r="IJ32" s="204"/>
      <c r="IK32" s="204"/>
      <c r="IL32" s="204"/>
      <c r="IM32" s="204"/>
      <c r="IN32" s="204"/>
      <c r="IO32" s="205"/>
      <c r="IP32" s="24"/>
      <c r="IQ32" s="25">
        <v>32</v>
      </c>
      <c r="IR32" s="26">
        <v>0</v>
      </c>
      <c r="IS32" s="26">
        <v>1.0069999999999999</v>
      </c>
      <c r="IT32" s="26">
        <v>0.44600000000000001</v>
      </c>
      <c r="IU32" s="26">
        <v>0.75</v>
      </c>
      <c r="IV32" s="26">
        <v>1</v>
      </c>
      <c r="IW32" s="26">
        <v>0</v>
      </c>
      <c r="IX32" s="8"/>
    </row>
    <row r="33" spans="2:258" ht="15.75" thickBot="1" x14ac:dyDescent="0.3">
      <c r="B33" s="103">
        <f t="shared" si="15"/>
        <v>90</v>
      </c>
      <c r="C33" s="221">
        <v>16</v>
      </c>
      <c r="D33" s="98">
        <f t="shared" si="1"/>
        <v>0.38191825396825391</v>
      </c>
      <c r="E33" s="96">
        <f t="shared" si="2"/>
        <v>0.42531805555555552</v>
      </c>
      <c r="F33" s="96">
        <f t="shared" si="3"/>
        <v>0.44557129629629627</v>
      </c>
      <c r="G33" s="96">
        <f t="shared" si="4"/>
        <v>0.45569791666666665</v>
      </c>
      <c r="H33" s="96">
        <f t="shared" si="5"/>
        <v>0.44557129629629616</v>
      </c>
      <c r="I33" s="96">
        <f t="shared" si="6"/>
        <v>0.45232237654320984</v>
      </c>
      <c r="J33" s="96">
        <f t="shared" si="7"/>
        <v>0.45714457671957665</v>
      </c>
      <c r="K33" s="96">
        <f t="shared" si="8"/>
        <v>0.46076122685185178</v>
      </c>
      <c r="L33" s="96">
        <f t="shared" si="9"/>
        <v>0.46357417695473241</v>
      </c>
      <c r="M33" s="96">
        <f t="shared" si="10"/>
        <v>0.46582453703703691</v>
      </c>
      <c r="N33" s="238"/>
      <c r="O33" s="238"/>
      <c r="P33" s="238"/>
      <c r="Q33" s="238"/>
      <c r="R33" s="238"/>
      <c r="S33" s="238"/>
      <c r="T33" s="238"/>
      <c r="U33" s="238"/>
      <c r="V33" s="238"/>
      <c r="W33" s="238"/>
      <c r="X33" s="96"/>
      <c r="Y33" s="65"/>
      <c r="AT33" s="4"/>
      <c r="AU33" s="14">
        <f t="shared" si="101"/>
        <v>72</v>
      </c>
      <c r="AV33" s="12" t="str">
        <f t="shared" si="86"/>
        <v>(1850)</v>
      </c>
      <c r="AW33" s="19">
        <f t="shared" si="102"/>
        <v>18</v>
      </c>
      <c r="AX33" s="20">
        <f t="shared" si="16"/>
        <v>1.3247361111111111</v>
      </c>
      <c r="AY33" s="21" t="str">
        <f t="shared" si="103"/>
        <v>(0.12)</v>
      </c>
      <c r="AZ33" s="22">
        <v>2</v>
      </c>
      <c r="BA33" s="22">
        <f t="shared" si="18"/>
        <v>1.5</v>
      </c>
      <c r="BB33" s="22">
        <v>0</v>
      </c>
      <c r="BC33" s="22">
        <f t="shared" si="19"/>
        <v>0</v>
      </c>
      <c r="BD33" s="22">
        <v>0</v>
      </c>
      <c r="BE33" s="22">
        <f t="shared" si="20"/>
        <v>0</v>
      </c>
      <c r="BF33" s="22">
        <f t="shared" si="88"/>
        <v>1.5</v>
      </c>
      <c r="BG33" s="23">
        <f t="shared" si="22"/>
        <v>5.5</v>
      </c>
      <c r="BH33" s="373">
        <f t="shared" si="23"/>
        <v>2.5290416666666662</v>
      </c>
      <c r="BI33" s="374" t="str">
        <f t="shared" si="89"/>
        <v>(0.23)</v>
      </c>
      <c r="BJ33" s="375">
        <v>2</v>
      </c>
      <c r="BK33" s="375">
        <f t="shared" si="25"/>
        <v>1.5</v>
      </c>
      <c r="BL33" s="375">
        <v>0</v>
      </c>
      <c r="BM33" s="375">
        <f t="shared" si="26"/>
        <v>0</v>
      </c>
      <c r="BN33" s="375">
        <v>0</v>
      </c>
      <c r="BO33" s="375">
        <f t="shared" si="27"/>
        <v>0</v>
      </c>
      <c r="BP33" s="375">
        <f t="shared" si="90"/>
        <v>1.5</v>
      </c>
      <c r="BQ33" s="376">
        <f t="shared" si="29"/>
        <v>10.5</v>
      </c>
      <c r="BR33" s="373">
        <f t="shared" si="30"/>
        <v>3.9742083333333329</v>
      </c>
      <c r="BS33" s="374" t="str">
        <f t="shared" si="31"/>
        <v>(0.37)</v>
      </c>
      <c r="BT33" s="375">
        <v>2</v>
      </c>
      <c r="BU33" s="375">
        <f t="shared" si="32"/>
        <v>1.5</v>
      </c>
      <c r="BV33" s="375">
        <v>0</v>
      </c>
      <c r="BW33" s="375">
        <f t="shared" si="33"/>
        <v>0</v>
      </c>
      <c r="BX33" s="375">
        <v>0</v>
      </c>
      <c r="BY33" s="375">
        <f t="shared" si="34"/>
        <v>0</v>
      </c>
      <c r="BZ33" s="375">
        <f t="shared" si="91"/>
        <v>1.5</v>
      </c>
      <c r="CA33" s="376">
        <f t="shared" si="36"/>
        <v>16.5</v>
      </c>
      <c r="CB33" s="373">
        <f t="shared" si="37"/>
        <v>5.4193749999999996</v>
      </c>
      <c r="CC33" s="374" t="str">
        <f t="shared" si="38"/>
        <v>(0.5)</v>
      </c>
      <c r="CD33" s="375">
        <v>2</v>
      </c>
      <c r="CE33" s="375">
        <f t="shared" si="39"/>
        <v>1.5</v>
      </c>
      <c r="CF33" s="375">
        <v>0</v>
      </c>
      <c r="CG33" s="375">
        <f t="shared" si="40"/>
        <v>0</v>
      </c>
      <c r="CH33" s="375">
        <v>0</v>
      </c>
      <c r="CI33" s="375">
        <f t="shared" si="41"/>
        <v>0</v>
      </c>
      <c r="CJ33" s="375">
        <f t="shared" si="92"/>
        <v>1.5</v>
      </c>
      <c r="CK33" s="376">
        <f t="shared" si="43"/>
        <v>22.5</v>
      </c>
      <c r="CL33" s="373">
        <f t="shared" si="44"/>
        <v>6.6236805555555556</v>
      </c>
      <c r="CM33" s="374" t="str">
        <f t="shared" si="45"/>
        <v>(0.62)</v>
      </c>
      <c r="CN33" s="375">
        <v>2</v>
      </c>
      <c r="CO33" s="375">
        <f t="shared" si="46"/>
        <v>1.5</v>
      </c>
      <c r="CP33" s="375">
        <v>0</v>
      </c>
      <c r="CQ33" s="375">
        <f t="shared" si="47"/>
        <v>0</v>
      </c>
      <c r="CR33" s="375">
        <v>1</v>
      </c>
      <c r="CS33" s="375">
        <f t="shared" si="48"/>
        <v>1</v>
      </c>
      <c r="CT33" s="375">
        <f t="shared" si="93"/>
        <v>2.5</v>
      </c>
      <c r="CU33" s="376">
        <f t="shared" si="50"/>
        <v>27.5</v>
      </c>
      <c r="CV33" s="373">
        <f t="shared" si="51"/>
        <v>8.0688472222222227</v>
      </c>
      <c r="CW33" s="374" t="str">
        <f t="shared" si="52"/>
        <v>(0.75)</v>
      </c>
      <c r="CX33" s="375">
        <v>2</v>
      </c>
      <c r="CY33" s="375">
        <f t="shared" si="53"/>
        <v>1.5</v>
      </c>
      <c r="CZ33" s="375">
        <v>0</v>
      </c>
      <c r="DA33" s="375">
        <f t="shared" si="54"/>
        <v>0</v>
      </c>
      <c r="DB33" s="375">
        <v>1</v>
      </c>
      <c r="DC33" s="375">
        <f t="shared" si="55"/>
        <v>1</v>
      </c>
      <c r="DD33" s="375">
        <f t="shared" si="94"/>
        <v>2.5</v>
      </c>
      <c r="DE33" s="376">
        <f t="shared" si="57"/>
        <v>33.5</v>
      </c>
      <c r="DF33" s="373">
        <f t="shared" si="58"/>
        <v>9.5140138888888881</v>
      </c>
      <c r="DG33" s="374" t="str">
        <f t="shared" si="59"/>
        <v>(0.88)</v>
      </c>
      <c r="DH33" s="375">
        <v>2</v>
      </c>
      <c r="DI33" s="375">
        <f t="shared" si="60"/>
        <v>1.5</v>
      </c>
      <c r="DJ33" s="375">
        <v>0</v>
      </c>
      <c r="DK33" s="375">
        <f t="shared" si="61"/>
        <v>0</v>
      </c>
      <c r="DL33" s="375">
        <v>1</v>
      </c>
      <c r="DM33" s="375">
        <f t="shared" si="62"/>
        <v>1</v>
      </c>
      <c r="DN33" s="375">
        <f t="shared" si="95"/>
        <v>2.5</v>
      </c>
      <c r="DO33" s="376">
        <f t="shared" si="64"/>
        <v>39.5</v>
      </c>
      <c r="DP33" s="373">
        <f t="shared" si="65"/>
        <v>10.959180555555555</v>
      </c>
      <c r="DQ33" s="374" t="str">
        <f t="shared" si="66"/>
        <v>(1.02)</v>
      </c>
      <c r="DR33" s="375">
        <v>2</v>
      </c>
      <c r="DS33" s="375">
        <f t="shared" si="67"/>
        <v>1.5</v>
      </c>
      <c r="DT33" s="375">
        <v>0</v>
      </c>
      <c r="DU33" s="375">
        <f t="shared" si="68"/>
        <v>0</v>
      </c>
      <c r="DV33" s="375">
        <v>1</v>
      </c>
      <c r="DW33" s="375">
        <f t="shared" si="69"/>
        <v>1</v>
      </c>
      <c r="DX33" s="375">
        <f t="shared" si="96"/>
        <v>2.5</v>
      </c>
      <c r="DY33" s="376">
        <f t="shared" si="71"/>
        <v>45.5</v>
      </c>
      <c r="DZ33" s="373">
        <f t="shared" si="72"/>
        <v>12.404347222222221</v>
      </c>
      <c r="EA33" s="374" t="str">
        <f t="shared" si="97"/>
        <v>(1.15)</v>
      </c>
      <c r="EB33" s="375">
        <v>2</v>
      </c>
      <c r="EC33" s="375">
        <f t="shared" si="74"/>
        <v>1.5</v>
      </c>
      <c r="ED33" s="375">
        <v>0</v>
      </c>
      <c r="EE33" s="375">
        <f t="shared" si="75"/>
        <v>0</v>
      </c>
      <c r="EF33" s="375">
        <v>1</v>
      </c>
      <c r="EG33" s="375">
        <f t="shared" si="76"/>
        <v>1</v>
      </c>
      <c r="EH33" s="375">
        <f t="shared" si="98"/>
        <v>2.5</v>
      </c>
      <c r="EI33" s="376">
        <f t="shared" si="78"/>
        <v>51.5</v>
      </c>
      <c r="EJ33" s="373">
        <f t="shared" si="79"/>
        <v>13.849513888888888</v>
      </c>
      <c r="EK33" s="374" t="str">
        <f t="shared" si="104"/>
        <v>(1.29)</v>
      </c>
      <c r="EL33" s="22">
        <v>2</v>
      </c>
      <c r="EM33" s="22">
        <f t="shared" si="81"/>
        <v>1.5</v>
      </c>
      <c r="EN33" s="22">
        <v>0</v>
      </c>
      <c r="EO33" s="22">
        <f t="shared" si="82"/>
        <v>0</v>
      </c>
      <c r="EP33" s="22">
        <v>1</v>
      </c>
      <c r="EQ33" s="22">
        <f t="shared" si="83"/>
        <v>1</v>
      </c>
      <c r="ER33" s="22">
        <f t="shared" si="100"/>
        <v>2.5</v>
      </c>
      <c r="ES33" s="23">
        <f t="shared" si="85"/>
        <v>57.5</v>
      </c>
      <c r="ET33" s="202"/>
      <c r="EU33" s="203"/>
      <c r="EV33" s="204"/>
      <c r="EW33" s="204"/>
      <c r="EX33" s="204"/>
      <c r="EY33" s="204"/>
      <c r="EZ33" s="204"/>
      <c r="FA33" s="204"/>
      <c r="FB33" s="204"/>
      <c r="FC33" s="205"/>
      <c r="FD33" s="202"/>
      <c r="FE33" s="203"/>
      <c r="FF33" s="204"/>
      <c r="FG33" s="204"/>
      <c r="FH33" s="204"/>
      <c r="FI33" s="204"/>
      <c r="FJ33" s="204"/>
      <c r="FK33" s="204"/>
      <c r="FL33" s="204"/>
      <c r="FM33" s="205"/>
      <c r="FN33" s="202"/>
      <c r="FO33" s="203"/>
      <c r="FP33" s="204"/>
      <c r="FQ33" s="204"/>
      <c r="FR33" s="204"/>
      <c r="FS33" s="204"/>
      <c r="FT33" s="204"/>
      <c r="FU33" s="204"/>
      <c r="FV33" s="204"/>
      <c r="FW33" s="205"/>
      <c r="FX33" s="202"/>
      <c r="FY33" s="203"/>
      <c r="FZ33" s="204"/>
      <c r="GA33" s="204"/>
      <c r="GB33" s="204"/>
      <c r="GC33" s="204"/>
      <c r="GD33" s="204"/>
      <c r="GE33" s="204"/>
      <c r="GF33" s="204"/>
      <c r="GG33" s="205"/>
      <c r="GH33" s="202"/>
      <c r="GI33" s="203"/>
      <c r="GJ33" s="204"/>
      <c r="GK33" s="204"/>
      <c r="GL33" s="204"/>
      <c r="GM33" s="204"/>
      <c r="GN33" s="204"/>
      <c r="GO33" s="204"/>
      <c r="GP33" s="204"/>
      <c r="GQ33" s="205"/>
      <c r="GR33" s="202"/>
      <c r="GS33" s="203"/>
      <c r="GT33" s="204"/>
      <c r="GU33" s="204"/>
      <c r="GV33" s="204"/>
      <c r="GW33" s="204"/>
      <c r="GX33" s="204"/>
      <c r="GY33" s="204"/>
      <c r="GZ33" s="204"/>
      <c r="HA33" s="205"/>
      <c r="HB33" s="202"/>
      <c r="HC33" s="203"/>
      <c r="HD33" s="204"/>
      <c r="HE33" s="204"/>
      <c r="HF33" s="204"/>
      <c r="HG33" s="204"/>
      <c r="HH33" s="204"/>
      <c r="HI33" s="204"/>
      <c r="HJ33" s="204"/>
      <c r="HK33" s="205"/>
      <c r="HL33" s="202"/>
      <c r="HM33" s="203"/>
      <c r="HN33" s="204"/>
      <c r="HO33" s="204"/>
      <c r="HP33" s="204"/>
      <c r="HQ33" s="204"/>
      <c r="HR33" s="204"/>
      <c r="HS33" s="204"/>
      <c r="HT33" s="204"/>
      <c r="HU33" s="205"/>
      <c r="HV33" s="202"/>
      <c r="HW33" s="203"/>
      <c r="HX33" s="204"/>
      <c r="HY33" s="204"/>
      <c r="HZ33" s="204"/>
      <c r="IA33" s="204"/>
      <c r="IB33" s="204"/>
      <c r="IC33" s="204"/>
      <c r="ID33" s="204"/>
      <c r="IE33" s="205"/>
      <c r="IF33" s="202"/>
      <c r="IG33" s="203"/>
      <c r="IH33" s="204"/>
      <c r="II33" s="204"/>
      <c r="IJ33" s="204"/>
      <c r="IK33" s="204"/>
      <c r="IL33" s="204"/>
      <c r="IM33" s="204"/>
      <c r="IN33" s="204"/>
      <c r="IO33" s="205"/>
      <c r="IP33" s="24"/>
      <c r="IQ33" s="25">
        <v>35</v>
      </c>
      <c r="IR33" s="26">
        <v>0</v>
      </c>
      <c r="IS33" s="26">
        <v>1.0069999999999999</v>
      </c>
      <c r="IT33" s="26">
        <v>0.44600000000000001</v>
      </c>
      <c r="IU33" s="26">
        <v>0.75</v>
      </c>
      <c r="IV33" s="26">
        <v>1</v>
      </c>
      <c r="IW33" s="26">
        <v>0</v>
      </c>
      <c r="IX33" s="8"/>
    </row>
    <row r="34" spans="2:258" ht="15.75" thickBot="1" x14ac:dyDescent="0.3">
      <c r="B34" s="103">
        <f t="shared" si="15"/>
        <v>96</v>
      </c>
      <c r="C34" s="226">
        <v>17</v>
      </c>
      <c r="D34" s="98">
        <f t="shared" si="1"/>
        <v>0.38277380952380946</v>
      </c>
      <c r="E34" s="96">
        <f t="shared" si="2"/>
        <v>0.42627083333333327</v>
      </c>
      <c r="F34" s="96">
        <f t="shared" si="3"/>
        <v>0.44656944444444441</v>
      </c>
      <c r="G34" s="96">
        <f t="shared" si="4"/>
        <v>0.4567187499999999</v>
      </c>
      <c r="H34" s="96">
        <f t="shared" si="5"/>
        <v>0.44656944444444441</v>
      </c>
      <c r="I34" s="96">
        <f t="shared" si="6"/>
        <v>0.45333564814814808</v>
      </c>
      <c r="J34" s="96">
        <f t="shared" si="7"/>
        <v>0.45816865079365071</v>
      </c>
      <c r="K34" s="96">
        <f t="shared" si="8"/>
        <v>0.4617934027777777</v>
      </c>
      <c r="L34" s="96">
        <f t="shared" si="9"/>
        <v>0.46461265432098764</v>
      </c>
      <c r="M34" s="96">
        <f t="shared" si="10"/>
        <v>0.46686805555555555</v>
      </c>
      <c r="N34" s="238"/>
      <c r="O34" s="238"/>
      <c r="P34" s="238"/>
      <c r="Q34" s="238"/>
      <c r="R34" s="238"/>
      <c r="S34" s="238"/>
      <c r="T34" s="238"/>
      <c r="U34" s="238"/>
      <c r="V34" s="238"/>
      <c r="W34" s="238"/>
      <c r="X34" s="96"/>
      <c r="Y34" s="65"/>
      <c r="AT34" s="4"/>
      <c r="AU34" s="14">
        <f t="shared" si="101"/>
        <v>78</v>
      </c>
      <c r="AV34" s="12" t="str">
        <f t="shared" si="86"/>
        <v>(2000)</v>
      </c>
      <c r="AW34" s="19">
        <f t="shared" si="102"/>
        <v>19</v>
      </c>
      <c r="AX34" s="20">
        <f t="shared" si="16"/>
        <v>1.4401215277777775</v>
      </c>
      <c r="AY34" s="21" t="str">
        <f t="shared" si="103"/>
        <v>(0.13)</v>
      </c>
      <c r="AZ34" s="22">
        <v>2</v>
      </c>
      <c r="BA34" s="22">
        <f t="shared" si="18"/>
        <v>1.5</v>
      </c>
      <c r="BB34" s="22">
        <v>0</v>
      </c>
      <c r="BC34" s="22">
        <f t="shared" si="19"/>
        <v>0</v>
      </c>
      <c r="BD34" s="22">
        <v>0</v>
      </c>
      <c r="BE34" s="22">
        <f t="shared" si="20"/>
        <v>0</v>
      </c>
      <c r="BF34" s="22">
        <f t="shared" si="88"/>
        <v>1.5</v>
      </c>
      <c r="BG34" s="23">
        <f t="shared" si="22"/>
        <v>5.5</v>
      </c>
      <c r="BH34" s="373">
        <f t="shared" si="23"/>
        <v>2.749322916666666</v>
      </c>
      <c r="BI34" s="374" t="str">
        <f t="shared" si="89"/>
        <v>(0.26)</v>
      </c>
      <c r="BJ34" s="375">
        <v>2</v>
      </c>
      <c r="BK34" s="375">
        <f t="shared" si="25"/>
        <v>1.5</v>
      </c>
      <c r="BL34" s="375">
        <v>0</v>
      </c>
      <c r="BM34" s="375">
        <f t="shared" si="26"/>
        <v>0</v>
      </c>
      <c r="BN34" s="375">
        <v>0</v>
      </c>
      <c r="BO34" s="375">
        <f t="shared" si="27"/>
        <v>0</v>
      </c>
      <c r="BP34" s="375">
        <f t="shared" si="90"/>
        <v>1.5</v>
      </c>
      <c r="BQ34" s="376">
        <f t="shared" si="29"/>
        <v>10.5</v>
      </c>
      <c r="BR34" s="373">
        <f t="shared" si="30"/>
        <v>4.3203645833333324</v>
      </c>
      <c r="BS34" s="374" t="str">
        <f t="shared" si="31"/>
        <v>(0.4)</v>
      </c>
      <c r="BT34" s="375">
        <v>2</v>
      </c>
      <c r="BU34" s="375">
        <f t="shared" si="32"/>
        <v>1.5</v>
      </c>
      <c r="BV34" s="375">
        <v>0</v>
      </c>
      <c r="BW34" s="375">
        <f t="shared" si="33"/>
        <v>0</v>
      </c>
      <c r="BX34" s="375">
        <v>0</v>
      </c>
      <c r="BY34" s="375">
        <f t="shared" si="34"/>
        <v>0</v>
      </c>
      <c r="BZ34" s="375">
        <f t="shared" si="91"/>
        <v>1.5</v>
      </c>
      <c r="CA34" s="376">
        <f t="shared" si="36"/>
        <v>16.5</v>
      </c>
      <c r="CB34" s="373">
        <f t="shared" si="37"/>
        <v>5.8914062499999993</v>
      </c>
      <c r="CC34" s="374" t="str">
        <f t="shared" si="38"/>
        <v>(0.55)</v>
      </c>
      <c r="CD34" s="375">
        <v>2</v>
      </c>
      <c r="CE34" s="375">
        <f t="shared" si="39"/>
        <v>1.5</v>
      </c>
      <c r="CF34" s="375">
        <v>0</v>
      </c>
      <c r="CG34" s="375">
        <f t="shared" si="40"/>
        <v>0</v>
      </c>
      <c r="CH34" s="375">
        <v>0</v>
      </c>
      <c r="CI34" s="375">
        <f t="shared" si="41"/>
        <v>0</v>
      </c>
      <c r="CJ34" s="375">
        <f t="shared" si="92"/>
        <v>1.5</v>
      </c>
      <c r="CK34" s="376">
        <f t="shared" si="43"/>
        <v>22.5</v>
      </c>
      <c r="CL34" s="373">
        <f t="shared" si="44"/>
        <v>7.2006076388888873</v>
      </c>
      <c r="CM34" s="374" t="str">
        <f t="shared" si="45"/>
        <v>(0.67)</v>
      </c>
      <c r="CN34" s="375">
        <v>2</v>
      </c>
      <c r="CO34" s="375">
        <f t="shared" si="46"/>
        <v>1.5</v>
      </c>
      <c r="CP34" s="375">
        <v>0</v>
      </c>
      <c r="CQ34" s="375">
        <f t="shared" si="47"/>
        <v>0</v>
      </c>
      <c r="CR34" s="375">
        <v>1</v>
      </c>
      <c r="CS34" s="375">
        <f t="shared" si="48"/>
        <v>1</v>
      </c>
      <c r="CT34" s="375">
        <f t="shared" si="93"/>
        <v>2.5</v>
      </c>
      <c r="CU34" s="376">
        <f t="shared" si="50"/>
        <v>27.5</v>
      </c>
      <c r="CV34" s="373">
        <f t="shared" si="51"/>
        <v>8.7716493055555524</v>
      </c>
      <c r="CW34" s="374" t="str">
        <f t="shared" si="52"/>
        <v>(0.81)</v>
      </c>
      <c r="CX34" s="375">
        <v>2</v>
      </c>
      <c r="CY34" s="375">
        <f t="shared" si="53"/>
        <v>1.5</v>
      </c>
      <c r="CZ34" s="375">
        <v>0</v>
      </c>
      <c r="DA34" s="375">
        <f t="shared" si="54"/>
        <v>0</v>
      </c>
      <c r="DB34" s="375">
        <v>1</v>
      </c>
      <c r="DC34" s="375">
        <f t="shared" si="55"/>
        <v>1</v>
      </c>
      <c r="DD34" s="375">
        <f t="shared" si="94"/>
        <v>2.5</v>
      </c>
      <c r="DE34" s="376">
        <f t="shared" si="57"/>
        <v>33.5</v>
      </c>
      <c r="DF34" s="373">
        <f t="shared" si="58"/>
        <v>10.34269097222222</v>
      </c>
      <c r="DG34" s="374" t="str">
        <f t="shared" si="59"/>
        <v>(0.96)</v>
      </c>
      <c r="DH34" s="375">
        <v>2</v>
      </c>
      <c r="DI34" s="375">
        <f t="shared" si="60"/>
        <v>1.5</v>
      </c>
      <c r="DJ34" s="375">
        <v>0</v>
      </c>
      <c r="DK34" s="375">
        <f t="shared" si="61"/>
        <v>0</v>
      </c>
      <c r="DL34" s="375">
        <v>1</v>
      </c>
      <c r="DM34" s="375">
        <f t="shared" si="62"/>
        <v>1</v>
      </c>
      <c r="DN34" s="375">
        <f t="shared" si="95"/>
        <v>2.5</v>
      </c>
      <c r="DO34" s="376">
        <f t="shared" si="64"/>
        <v>39.5</v>
      </c>
      <c r="DP34" s="373">
        <f t="shared" si="65"/>
        <v>11.913732638888886</v>
      </c>
      <c r="DQ34" s="374" t="str">
        <f t="shared" si="66"/>
        <v>(1.11)</v>
      </c>
      <c r="DR34" s="375">
        <v>2</v>
      </c>
      <c r="DS34" s="375">
        <f t="shared" si="67"/>
        <v>1.5</v>
      </c>
      <c r="DT34" s="375">
        <v>0</v>
      </c>
      <c r="DU34" s="375">
        <f t="shared" si="68"/>
        <v>0</v>
      </c>
      <c r="DV34" s="375">
        <v>1</v>
      </c>
      <c r="DW34" s="375">
        <f t="shared" si="69"/>
        <v>1</v>
      </c>
      <c r="DX34" s="375">
        <f t="shared" si="96"/>
        <v>2.5</v>
      </c>
      <c r="DY34" s="376">
        <f t="shared" si="71"/>
        <v>45.5</v>
      </c>
      <c r="DZ34" s="373">
        <f t="shared" si="72"/>
        <v>13.484774305555552</v>
      </c>
      <c r="EA34" s="374" t="str">
        <f t="shared" si="97"/>
        <v>(1.25)</v>
      </c>
      <c r="EB34" s="375">
        <v>2</v>
      </c>
      <c r="EC34" s="375">
        <f t="shared" si="74"/>
        <v>1.5</v>
      </c>
      <c r="ED34" s="375">
        <v>0</v>
      </c>
      <c r="EE34" s="375">
        <f t="shared" si="75"/>
        <v>0</v>
      </c>
      <c r="EF34" s="375">
        <v>1</v>
      </c>
      <c r="EG34" s="375">
        <f t="shared" si="76"/>
        <v>1</v>
      </c>
      <c r="EH34" s="375">
        <f t="shared" si="98"/>
        <v>2.5</v>
      </c>
      <c r="EI34" s="376">
        <f t="shared" si="78"/>
        <v>51.5</v>
      </c>
      <c r="EJ34" s="373">
        <f t="shared" si="79"/>
        <v>15.055815972222218</v>
      </c>
      <c r="EK34" s="374" t="str">
        <f t="shared" si="104"/>
        <v>(1.40)</v>
      </c>
      <c r="EL34" s="22">
        <v>2</v>
      </c>
      <c r="EM34" s="22">
        <f t="shared" si="81"/>
        <v>1.5</v>
      </c>
      <c r="EN34" s="22">
        <v>0</v>
      </c>
      <c r="EO34" s="22">
        <f t="shared" si="82"/>
        <v>0</v>
      </c>
      <c r="EP34" s="22">
        <v>1</v>
      </c>
      <c r="EQ34" s="22">
        <f t="shared" si="83"/>
        <v>1</v>
      </c>
      <c r="ER34" s="22">
        <f t="shared" si="100"/>
        <v>2.5</v>
      </c>
      <c r="ES34" s="23">
        <f t="shared" si="85"/>
        <v>57.5</v>
      </c>
      <c r="ET34" s="202"/>
      <c r="EU34" s="203"/>
      <c r="EV34" s="204"/>
      <c r="EW34" s="204"/>
      <c r="EX34" s="204"/>
      <c r="EY34" s="204"/>
      <c r="EZ34" s="204"/>
      <c r="FA34" s="204"/>
      <c r="FB34" s="204"/>
      <c r="FC34" s="205"/>
      <c r="FD34" s="202"/>
      <c r="FE34" s="203"/>
      <c r="FF34" s="204"/>
      <c r="FG34" s="204"/>
      <c r="FH34" s="204"/>
      <c r="FI34" s="204"/>
      <c r="FJ34" s="204"/>
      <c r="FK34" s="204"/>
      <c r="FL34" s="204"/>
      <c r="FM34" s="205"/>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v>38</v>
      </c>
      <c r="IR34" s="26">
        <v>0</v>
      </c>
      <c r="IS34" s="26">
        <v>1.0069999999999999</v>
      </c>
      <c r="IT34" s="26">
        <v>0.44600000000000001</v>
      </c>
      <c r="IU34" s="26">
        <v>0.75</v>
      </c>
      <c r="IV34" s="26">
        <v>1</v>
      </c>
      <c r="IW34" s="26">
        <v>0</v>
      </c>
      <c r="IX34" s="8"/>
    </row>
    <row r="35" spans="2:258" ht="15.75" thickBot="1" x14ac:dyDescent="0.3">
      <c r="B35" s="103">
        <f t="shared" si="15"/>
        <v>102</v>
      </c>
      <c r="C35" s="221">
        <v>18</v>
      </c>
      <c r="D35" s="98">
        <f t="shared" si="1"/>
        <v>0.38352871148459383</v>
      </c>
      <c r="E35" s="96">
        <f t="shared" si="2"/>
        <v>0.4271115196078431</v>
      </c>
      <c r="F35" s="96">
        <f t="shared" si="3"/>
        <v>0.44745016339869281</v>
      </c>
      <c r="G35" s="96">
        <f t="shared" si="4"/>
        <v>0.45761948529411756</v>
      </c>
      <c r="H35" s="96">
        <f t="shared" si="5"/>
        <v>0.44745016339869276</v>
      </c>
      <c r="I35" s="96">
        <f t="shared" si="6"/>
        <v>0.45422971132897605</v>
      </c>
      <c r="J35" s="96">
        <f t="shared" si="7"/>
        <v>0.45907224556489257</v>
      </c>
      <c r="K35" s="96">
        <f t="shared" si="8"/>
        <v>0.46270414624182998</v>
      </c>
      <c r="L35" s="96">
        <f t="shared" si="9"/>
        <v>0.46552895787944804</v>
      </c>
      <c r="M35" s="96">
        <f t="shared" si="10"/>
        <v>0.46778880718954252</v>
      </c>
      <c r="N35" s="238"/>
      <c r="O35" s="238"/>
      <c r="P35" s="238"/>
      <c r="Q35" s="238"/>
      <c r="R35" s="238"/>
      <c r="S35" s="238"/>
      <c r="T35" s="238"/>
      <c r="U35" s="238"/>
      <c r="V35" s="238"/>
      <c r="W35" s="238"/>
      <c r="X35" s="96"/>
      <c r="Y35" s="65"/>
      <c r="AT35" s="4"/>
      <c r="AU35" s="14">
        <f t="shared" si="101"/>
        <v>84</v>
      </c>
      <c r="AV35" s="12" t="str">
        <f t="shared" si="86"/>
        <v>(2150)</v>
      </c>
      <c r="AW35" s="19">
        <f t="shared" si="102"/>
        <v>20</v>
      </c>
      <c r="AX35" s="20">
        <f t="shared" si="16"/>
        <v>1.5555069444444443</v>
      </c>
      <c r="AY35" s="21" t="str">
        <f t="shared" si="103"/>
        <v>(0.14)</v>
      </c>
      <c r="AZ35" s="22">
        <v>2</v>
      </c>
      <c r="BA35" s="22">
        <f t="shared" si="18"/>
        <v>1.5</v>
      </c>
      <c r="BB35" s="22">
        <v>0</v>
      </c>
      <c r="BC35" s="22">
        <f t="shared" si="19"/>
        <v>0</v>
      </c>
      <c r="BD35" s="22">
        <v>0</v>
      </c>
      <c r="BE35" s="22">
        <f t="shared" si="20"/>
        <v>0</v>
      </c>
      <c r="BF35" s="22">
        <f t="shared" si="88"/>
        <v>1.5</v>
      </c>
      <c r="BG35" s="23">
        <f t="shared" si="22"/>
        <v>5.5</v>
      </c>
      <c r="BH35" s="373">
        <f t="shared" si="23"/>
        <v>2.9696041666666662</v>
      </c>
      <c r="BI35" s="374" t="str">
        <f t="shared" si="89"/>
        <v>(0.28)</v>
      </c>
      <c r="BJ35" s="375">
        <v>2</v>
      </c>
      <c r="BK35" s="375">
        <f t="shared" si="25"/>
        <v>1.5</v>
      </c>
      <c r="BL35" s="375">
        <v>0</v>
      </c>
      <c r="BM35" s="375">
        <f t="shared" si="26"/>
        <v>0</v>
      </c>
      <c r="BN35" s="375">
        <v>0</v>
      </c>
      <c r="BO35" s="375">
        <f t="shared" si="27"/>
        <v>0</v>
      </c>
      <c r="BP35" s="375">
        <f t="shared" si="90"/>
        <v>1.5</v>
      </c>
      <c r="BQ35" s="376">
        <f t="shared" si="29"/>
        <v>10.5</v>
      </c>
      <c r="BR35" s="373">
        <f t="shared" si="30"/>
        <v>4.6665208333333323</v>
      </c>
      <c r="BS35" s="374" t="str">
        <f t="shared" si="31"/>
        <v>(0.43)</v>
      </c>
      <c r="BT35" s="375">
        <v>2</v>
      </c>
      <c r="BU35" s="375">
        <f t="shared" si="32"/>
        <v>1.5</v>
      </c>
      <c r="BV35" s="375">
        <v>0</v>
      </c>
      <c r="BW35" s="375">
        <f t="shared" si="33"/>
        <v>0</v>
      </c>
      <c r="BX35" s="375">
        <v>0</v>
      </c>
      <c r="BY35" s="375">
        <f t="shared" si="34"/>
        <v>0</v>
      </c>
      <c r="BZ35" s="375">
        <f t="shared" si="91"/>
        <v>1.5</v>
      </c>
      <c r="CA35" s="376">
        <f t="shared" si="36"/>
        <v>16.5</v>
      </c>
      <c r="CB35" s="373">
        <f t="shared" si="37"/>
        <v>6.363437499999999</v>
      </c>
      <c r="CC35" s="374" t="str">
        <f t="shared" si="38"/>
        <v>(0.59)</v>
      </c>
      <c r="CD35" s="375">
        <v>2</v>
      </c>
      <c r="CE35" s="375">
        <f t="shared" si="39"/>
        <v>1.5</v>
      </c>
      <c r="CF35" s="375">
        <v>0</v>
      </c>
      <c r="CG35" s="375">
        <f t="shared" si="40"/>
        <v>0</v>
      </c>
      <c r="CH35" s="375">
        <v>0</v>
      </c>
      <c r="CI35" s="375">
        <f t="shared" si="41"/>
        <v>0</v>
      </c>
      <c r="CJ35" s="375">
        <f t="shared" si="92"/>
        <v>1.5</v>
      </c>
      <c r="CK35" s="376">
        <f t="shared" si="43"/>
        <v>22.5</v>
      </c>
      <c r="CL35" s="373">
        <f t="shared" si="44"/>
        <v>7.77753472222222</v>
      </c>
      <c r="CM35" s="374" t="str">
        <f t="shared" si="45"/>
        <v>(0.72)</v>
      </c>
      <c r="CN35" s="375">
        <v>2</v>
      </c>
      <c r="CO35" s="375">
        <f t="shared" si="46"/>
        <v>1.5</v>
      </c>
      <c r="CP35" s="375">
        <v>0</v>
      </c>
      <c r="CQ35" s="375">
        <f t="shared" si="47"/>
        <v>0</v>
      </c>
      <c r="CR35" s="375">
        <v>1</v>
      </c>
      <c r="CS35" s="375">
        <f t="shared" si="48"/>
        <v>1</v>
      </c>
      <c r="CT35" s="375">
        <f t="shared" si="93"/>
        <v>2.5</v>
      </c>
      <c r="CU35" s="376">
        <f t="shared" si="50"/>
        <v>27.5</v>
      </c>
      <c r="CV35" s="373">
        <f t="shared" si="51"/>
        <v>9.4744513888888875</v>
      </c>
      <c r="CW35" s="374" t="str">
        <f t="shared" si="52"/>
        <v>(0.88)</v>
      </c>
      <c r="CX35" s="375">
        <v>2</v>
      </c>
      <c r="CY35" s="375">
        <f t="shared" si="53"/>
        <v>1.5</v>
      </c>
      <c r="CZ35" s="375">
        <v>0</v>
      </c>
      <c r="DA35" s="375">
        <f t="shared" si="54"/>
        <v>0</v>
      </c>
      <c r="DB35" s="375">
        <v>1</v>
      </c>
      <c r="DC35" s="375">
        <f t="shared" si="55"/>
        <v>1</v>
      </c>
      <c r="DD35" s="375">
        <f t="shared" si="94"/>
        <v>2.5</v>
      </c>
      <c r="DE35" s="376">
        <f t="shared" si="57"/>
        <v>33.5</v>
      </c>
      <c r="DF35" s="373">
        <f t="shared" si="58"/>
        <v>11.171368055555554</v>
      </c>
      <c r="DG35" s="374" t="str">
        <f t="shared" si="59"/>
        <v>(1.04)</v>
      </c>
      <c r="DH35" s="375">
        <v>2</v>
      </c>
      <c r="DI35" s="375">
        <f t="shared" si="60"/>
        <v>1.5</v>
      </c>
      <c r="DJ35" s="375">
        <v>0</v>
      </c>
      <c r="DK35" s="375">
        <f t="shared" si="61"/>
        <v>0</v>
      </c>
      <c r="DL35" s="375">
        <v>1</v>
      </c>
      <c r="DM35" s="375">
        <f t="shared" si="62"/>
        <v>1</v>
      </c>
      <c r="DN35" s="375">
        <f t="shared" si="95"/>
        <v>2.5</v>
      </c>
      <c r="DO35" s="376">
        <f t="shared" si="64"/>
        <v>39.5</v>
      </c>
      <c r="DP35" s="373">
        <f t="shared" si="65"/>
        <v>12.868284722222221</v>
      </c>
      <c r="DQ35" s="374" t="str">
        <f t="shared" si="66"/>
        <v>(1.2)</v>
      </c>
      <c r="DR35" s="375">
        <v>2</v>
      </c>
      <c r="DS35" s="375">
        <f t="shared" si="67"/>
        <v>1.5</v>
      </c>
      <c r="DT35" s="375">
        <v>0</v>
      </c>
      <c r="DU35" s="375">
        <f t="shared" si="68"/>
        <v>0</v>
      </c>
      <c r="DV35" s="375">
        <v>1</v>
      </c>
      <c r="DW35" s="375">
        <f t="shared" si="69"/>
        <v>1</v>
      </c>
      <c r="DX35" s="375">
        <f t="shared" si="96"/>
        <v>2.5</v>
      </c>
      <c r="DY35" s="376">
        <f t="shared" si="71"/>
        <v>45.5</v>
      </c>
      <c r="DZ35" s="373">
        <f t="shared" si="72"/>
        <v>14.565201388888887</v>
      </c>
      <c r="EA35" s="374" t="str">
        <f t="shared" si="97"/>
        <v>(1.35)</v>
      </c>
      <c r="EB35" s="375">
        <v>2</v>
      </c>
      <c r="EC35" s="375">
        <f t="shared" si="74"/>
        <v>1.5</v>
      </c>
      <c r="ED35" s="375">
        <v>0</v>
      </c>
      <c r="EE35" s="375">
        <f t="shared" si="75"/>
        <v>0</v>
      </c>
      <c r="EF35" s="375">
        <v>1</v>
      </c>
      <c r="EG35" s="375">
        <f t="shared" si="76"/>
        <v>1</v>
      </c>
      <c r="EH35" s="375">
        <f t="shared" si="98"/>
        <v>2.5</v>
      </c>
      <c r="EI35" s="376">
        <f t="shared" si="78"/>
        <v>51.5</v>
      </c>
      <c r="EJ35" s="373">
        <f t="shared" si="79"/>
        <v>16.26211805555555</v>
      </c>
      <c r="EK35" s="374" t="str">
        <f t="shared" si="104"/>
        <v>(1.51)</v>
      </c>
      <c r="EL35" s="22">
        <v>2</v>
      </c>
      <c r="EM35" s="22">
        <f t="shared" si="81"/>
        <v>1.5</v>
      </c>
      <c r="EN35" s="22">
        <v>0</v>
      </c>
      <c r="EO35" s="22">
        <f t="shared" si="82"/>
        <v>0</v>
      </c>
      <c r="EP35" s="22">
        <v>1</v>
      </c>
      <c r="EQ35" s="22">
        <f t="shared" si="83"/>
        <v>1</v>
      </c>
      <c r="ER35" s="22">
        <f t="shared" si="100"/>
        <v>2.5</v>
      </c>
      <c r="ES35" s="23">
        <f t="shared" si="85"/>
        <v>57.5</v>
      </c>
      <c r="ET35" s="202"/>
      <c r="EU35" s="203"/>
      <c r="EV35" s="204"/>
      <c r="EW35" s="204"/>
      <c r="EX35" s="204"/>
      <c r="EY35" s="204"/>
      <c r="EZ35" s="204"/>
      <c r="FA35" s="204"/>
      <c r="FB35" s="204"/>
      <c r="FC35" s="205"/>
      <c r="FD35" s="202"/>
      <c r="FE35" s="203"/>
      <c r="FF35" s="204"/>
      <c r="FG35" s="204"/>
      <c r="FH35" s="204"/>
      <c r="FI35" s="204"/>
      <c r="FJ35" s="204"/>
      <c r="FK35" s="204"/>
      <c r="FL35" s="204"/>
      <c r="FM35" s="205"/>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5">
        <v>41</v>
      </c>
      <c r="IR35" s="26">
        <v>0</v>
      </c>
      <c r="IS35" s="26">
        <v>1.0069999999999999</v>
      </c>
      <c r="IT35" s="26">
        <v>0.44600000000000001</v>
      </c>
      <c r="IU35" s="26">
        <v>0.75</v>
      </c>
      <c r="IV35" s="26">
        <v>1</v>
      </c>
      <c r="IW35" s="26">
        <v>0</v>
      </c>
      <c r="IX35" s="8"/>
    </row>
    <row r="36" spans="2:258" ht="15.75" thickBot="1" x14ac:dyDescent="0.3">
      <c r="B36" s="103">
        <f t="shared" si="15"/>
        <v>108</v>
      </c>
      <c r="C36" s="226">
        <v>19</v>
      </c>
      <c r="D36" s="98">
        <f t="shared" si="1"/>
        <v>0.3841997354497354</v>
      </c>
      <c r="E36" s="96">
        <f t="shared" si="2"/>
        <v>0.42785879629629631</v>
      </c>
      <c r="F36" s="96">
        <f t="shared" si="3"/>
        <v>0.44823302469135801</v>
      </c>
      <c r="G36" s="96">
        <f t="shared" si="4"/>
        <v>0.45842013888888883</v>
      </c>
      <c r="H36" s="96">
        <f t="shared" si="5"/>
        <v>0.44823302469135801</v>
      </c>
      <c r="I36" s="96">
        <f t="shared" si="6"/>
        <v>0.45502443415637855</v>
      </c>
      <c r="J36" s="96">
        <f t="shared" si="7"/>
        <v>0.45987544091710758</v>
      </c>
      <c r="K36" s="96">
        <f t="shared" si="8"/>
        <v>0.46351369598765424</v>
      </c>
      <c r="L36" s="96">
        <f t="shared" si="9"/>
        <v>0.46634344993141286</v>
      </c>
      <c r="M36" s="96">
        <f t="shared" si="10"/>
        <v>0.46860725308641971</v>
      </c>
      <c r="N36" s="238"/>
      <c r="O36" s="238"/>
      <c r="P36" s="238"/>
      <c r="Q36" s="238"/>
      <c r="R36" s="238"/>
      <c r="S36" s="238"/>
      <c r="T36" s="238"/>
      <c r="U36" s="238"/>
      <c r="V36" s="238"/>
      <c r="W36" s="238"/>
      <c r="X36" s="96"/>
      <c r="Y36" s="65"/>
      <c r="AT36" s="4"/>
      <c r="AU36" s="27">
        <f t="shared" si="101"/>
        <v>90</v>
      </c>
      <c r="AV36" s="28" t="str">
        <f t="shared" si="86"/>
        <v>(2300)</v>
      </c>
      <c r="AW36" s="19">
        <f t="shared" si="102"/>
        <v>21</v>
      </c>
      <c r="AX36" s="20">
        <f t="shared" si="16"/>
        <v>1.6708923611111108</v>
      </c>
      <c r="AY36" s="29" t="str">
        <f t="shared" si="103"/>
        <v>(0.16)</v>
      </c>
      <c r="AZ36" s="22">
        <v>2</v>
      </c>
      <c r="BA36" s="22">
        <f t="shared" si="18"/>
        <v>1.5</v>
      </c>
      <c r="BB36" s="30">
        <v>0</v>
      </c>
      <c r="BC36" s="22">
        <f t="shared" si="19"/>
        <v>0</v>
      </c>
      <c r="BD36" s="30">
        <v>0</v>
      </c>
      <c r="BE36" s="22">
        <f t="shared" si="20"/>
        <v>0</v>
      </c>
      <c r="BF36" s="22">
        <f t="shared" si="88"/>
        <v>1.5</v>
      </c>
      <c r="BG36" s="23">
        <f t="shared" si="22"/>
        <v>5.5</v>
      </c>
      <c r="BH36" s="373">
        <f t="shared" si="23"/>
        <v>3.1898854166666664</v>
      </c>
      <c r="BI36" s="374" t="str">
        <f t="shared" si="89"/>
        <v>(0.30)</v>
      </c>
      <c r="BJ36" s="375">
        <v>2</v>
      </c>
      <c r="BK36" s="375">
        <f t="shared" si="25"/>
        <v>1.5</v>
      </c>
      <c r="BL36" s="375">
        <v>0</v>
      </c>
      <c r="BM36" s="375">
        <f t="shared" si="26"/>
        <v>0</v>
      </c>
      <c r="BN36" s="375">
        <v>0</v>
      </c>
      <c r="BO36" s="375">
        <f t="shared" si="27"/>
        <v>0</v>
      </c>
      <c r="BP36" s="375">
        <f t="shared" si="90"/>
        <v>1.5</v>
      </c>
      <c r="BQ36" s="376">
        <f t="shared" si="29"/>
        <v>10.5</v>
      </c>
      <c r="BR36" s="373">
        <f t="shared" si="30"/>
        <v>5.0126770833333332</v>
      </c>
      <c r="BS36" s="374" t="str">
        <f t="shared" si="31"/>
        <v>(0.47)</v>
      </c>
      <c r="BT36" s="375">
        <v>2</v>
      </c>
      <c r="BU36" s="375">
        <f t="shared" si="32"/>
        <v>1.5</v>
      </c>
      <c r="BV36" s="375">
        <v>0</v>
      </c>
      <c r="BW36" s="375">
        <f t="shared" si="33"/>
        <v>0</v>
      </c>
      <c r="BX36" s="375">
        <v>0</v>
      </c>
      <c r="BY36" s="375">
        <f t="shared" si="34"/>
        <v>0</v>
      </c>
      <c r="BZ36" s="375">
        <f t="shared" si="91"/>
        <v>1.5</v>
      </c>
      <c r="CA36" s="376">
        <f t="shared" si="36"/>
        <v>16.5</v>
      </c>
      <c r="CB36" s="373">
        <f t="shared" si="37"/>
        <v>6.8354687499999995</v>
      </c>
      <c r="CC36" s="374" t="str">
        <f t="shared" si="38"/>
        <v>(0.64)</v>
      </c>
      <c r="CD36" s="375">
        <v>2</v>
      </c>
      <c r="CE36" s="375">
        <f t="shared" si="39"/>
        <v>1.5</v>
      </c>
      <c r="CF36" s="375">
        <v>0</v>
      </c>
      <c r="CG36" s="375">
        <f t="shared" si="40"/>
        <v>0</v>
      </c>
      <c r="CH36" s="375">
        <v>0</v>
      </c>
      <c r="CI36" s="375">
        <f t="shared" si="41"/>
        <v>0</v>
      </c>
      <c r="CJ36" s="375">
        <f t="shared" si="92"/>
        <v>1.5</v>
      </c>
      <c r="CK36" s="376">
        <f t="shared" si="43"/>
        <v>22.5</v>
      </c>
      <c r="CL36" s="373">
        <f t="shared" si="44"/>
        <v>8.3544618055555535</v>
      </c>
      <c r="CM36" s="374" t="str">
        <f t="shared" si="45"/>
        <v>(0.78)</v>
      </c>
      <c r="CN36" s="375">
        <v>2</v>
      </c>
      <c r="CO36" s="375">
        <f t="shared" si="46"/>
        <v>1.5</v>
      </c>
      <c r="CP36" s="375">
        <v>0</v>
      </c>
      <c r="CQ36" s="375">
        <f t="shared" si="47"/>
        <v>0</v>
      </c>
      <c r="CR36" s="375">
        <v>1</v>
      </c>
      <c r="CS36" s="375">
        <f t="shared" si="48"/>
        <v>1</v>
      </c>
      <c r="CT36" s="375">
        <f t="shared" si="93"/>
        <v>2.5</v>
      </c>
      <c r="CU36" s="376">
        <f t="shared" si="50"/>
        <v>27.5</v>
      </c>
      <c r="CV36" s="373">
        <f t="shared" si="51"/>
        <v>10.177253472222221</v>
      </c>
      <c r="CW36" s="374" t="str">
        <f t="shared" si="52"/>
        <v>(0.95)</v>
      </c>
      <c r="CX36" s="375">
        <v>2</v>
      </c>
      <c r="CY36" s="375">
        <f t="shared" si="53"/>
        <v>1.5</v>
      </c>
      <c r="CZ36" s="375">
        <v>0</v>
      </c>
      <c r="DA36" s="375">
        <f t="shared" si="54"/>
        <v>0</v>
      </c>
      <c r="DB36" s="375">
        <v>1</v>
      </c>
      <c r="DC36" s="375">
        <f t="shared" si="55"/>
        <v>1</v>
      </c>
      <c r="DD36" s="375">
        <f t="shared" si="94"/>
        <v>2.5</v>
      </c>
      <c r="DE36" s="376">
        <f t="shared" si="57"/>
        <v>33.5</v>
      </c>
      <c r="DF36" s="373">
        <f t="shared" si="58"/>
        <v>12.000045138888886</v>
      </c>
      <c r="DG36" s="374" t="str">
        <f t="shared" si="59"/>
        <v>(1.11)</v>
      </c>
      <c r="DH36" s="375">
        <v>2</v>
      </c>
      <c r="DI36" s="375">
        <f t="shared" si="60"/>
        <v>1.5</v>
      </c>
      <c r="DJ36" s="375">
        <v>0</v>
      </c>
      <c r="DK36" s="375">
        <f t="shared" si="61"/>
        <v>0</v>
      </c>
      <c r="DL36" s="375">
        <v>1</v>
      </c>
      <c r="DM36" s="375">
        <f t="shared" si="62"/>
        <v>1</v>
      </c>
      <c r="DN36" s="375">
        <f t="shared" si="95"/>
        <v>2.5</v>
      </c>
      <c r="DO36" s="376">
        <f t="shared" si="64"/>
        <v>39.5</v>
      </c>
      <c r="DP36" s="373">
        <f t="shared" si="65"/>
        <v>13.822836805555553</v>
      </c>
      <c r="DQ36" s="374" t="str">
        <f t="shared" si="66"/>
        <v>(1.28)</v>
      </c>
      <c r="DR36" s="375">
        <v>2</v>
      </c>
      <c r="DS36" s="375">
        <f t="shared" si="67"/>
        <v>1.5</v>
      </c>
      <c r="DT36" s="375">
        <v>0</v>
      </c>
      <c r="DU36" s="375">
        <f t="shared" si="68"/>
        <v>0</v>
      </c>
      <c r="DV36" s="375">
        <v>1</v>
      </c>
      <c r="DW36" s="375">
        <f t="shared" si="69"/>
        <v>1</v>
      </c>
      <c r="DX36" s="375">
        <f t="shared" si="96"/>
        <v>2.5</v>
      </c>
      <c r="DY36" s="376">
        <f t="shared" si="71"/>
        <v>45.5</v>
      </c>
      <c r="DZ36" s="373">
        <f t="shared" si="72"/>
        <v>15.645628472222219</v>
      </c>
      <c r="EA36" s="374" t="str">
        <f t="shared" si="97"/>
        <v>(1.45)</v>
      </c>
      <c r="EB36" s="375">
        <v>2</v>
      </c>
      <c r="EC36" s="375">
        <f t="shared" si="74"/>
        <v>1.5</v>
      </c>
      <c r="ED36" s="375">
        <v>0</v>
      </c>
      <c r="EE36" s="375">
        <f t="shared" si="75"/>
        <v>0</v>
      </c>
      <c r="EF36" s="375">
        <v>1</v>
      </c>
      <c r="EG36" s="375">
        <f t="shared" si="76"/>
        <v>1</v>
      </c>
      <c r="EH36" s="375">
        <f t="shared" si="98"/>
        <v>2.5</v>
      </c>
      <c r="EI36" s="376">
        <f t="shared" si="78"/>
        <v>51.5</v>
      </c>
      <c r="EJ36" s="373">
        <f t="shared" si="79"/>
        <v>17.468420138888884</v>
      </c>
      <c r="EK36" s="374" t="str">
        <f t="shared" si="104"/>
        <v>(1.62)</v>
      </c>
      <c r="EL36" s="22">
        <v>2</v>
      </c>
      <c r="EM36" s="22">
        <f t="shared" si="81"/>
        <v>1.5</v>
      </c>
      <c r="EN36" s="30">
        <v>0</v>
      </c>
      <c r="EO36" s="22">
        <f t="shared" si="82"/>
        <v>0</v>
      </c>
      <c r="EP36" s="30">
        <v>1</v>
      </c>
      <c r="EQ36" s="22">
        <f t="shared" si="83"/>
        <v>1</v>
      </c>
      <c r="ER36" s="22">
        <f t="shared" si="100"/>
        <v>2.5</v>
      </c>
      <c r="ES36" s="23">
        <f t="shared" si="85"/>
        <v>57.5</v>
      </c>
      <c r="ET36" s="202"/>
      <c r="EU36" s="203"/>
      <c r="EV36" s="204"/>
      <c r="EW36" s="204"/>
      <c r="EX36" s="204"/>
      <c r="EY36" s="204"/>
      <c r="EZ36" s="204"/>
      <c r="FA36" s="204"/>
      <c r="FB36" s="204"/>
      <c r="FC36" s="205"/>
      <c r="FD36" s="202"/>
      <c r="FE36" s="203"/>
      <c r="FF36" s="204"/>
      <c r="FG36" s="204"/>
      <c r="FH36" s="204"/>
      <c r="FI36" s="204"/>
      <c r="FJ36" s="204"/>
      <c r="FK36" s="204"/>
      <c r="FL36" s="204"/>
      <c r="FM36" s="205"/>
      <c r="FN36" s="31"/>
      <c r="FO36" s="31"/>
      <c r="FP36" s="32"/>
      <c r="FQ36" s="32"/>
      <c r="FR36" s="34"/>
      <c r="FS36" s="32"/>
      <c r="FT36" s="34"/>
      <c r="FU36" s="32"/>
      <c r="FV36" s="31"/>
      <c r="FW36" s="31"/>
      <c r="FX36" s="31"/>
      <c r="FY36" s="31"/>
      <c r="FZ36" s="31"/>
      <c r="GA36" s="31"/>
      <c r="GB36" s="31"/>
      <c r="GC36" s="31"/>
      <c r="GD36" s="31"/>
      <c r="GE36" s="31"/>
      <c r="GF36" s="31"/>
      <c r="GG36" s="31"/>
      <c r="GH36" s="31"/>
      <c r="GI36" s="31"/>
      <c r="GJ36" s="32"/>
      <c r="GK36" s="32"/>
      <c r="GL36" s="34"/>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4"/>
      <c r="HQ36" s="32"/>
      <c r="HR36" s="32"/>
      <c r="HS36" s="32"/>
      <c r="HT36" s="32"/>
      <c r="HU36" s="32"/>
      <c r="HV36" s="32"/>
      <c r="HW36" s="32"/>
      <c r="HX36" s="32"/>
      <c r="HY36" s="32"/>
      <c r="HZ36" s="32"/>
      <c r="IA36" s="32"/>
      <c r="IB36" s="32"/>
      <c r="IC36" s="32"/>
      <c r="ID36" s="32"/>
      <c r="IE36" s="32"/>
      <c r="IF36" s="31"/>
      <c r="IG36" s="31"/>
      <c r="IH36" s="32"/>
      <c r="II36" s="32"/>
      <c r="IJ36" s="34"/>
      <c r="IK36" s="32"/>
      <c r="IL36" s="32"/>
      <c r="IM36" s="32"/>
      <c r="IN36" s="33"/>
      <c r="IO36" s="33"/>
      <c r="IP36" s="33"/>
      <c r="IQ36" s="25">
        <v>44</v>
      </c>
      <c r="IR36" s="26">
        <v>0</v>
      </c>
      <c r="IS36" s="26">
        <v>1.0069999999999999</v>
      </c>
      <c r="IT36" s="26">
        <v>0.44600000000000001</v>
      </c>
      <c r="IU36" s="26">
        <v>0.75</v>
      </c>
      <c r="IV36" s="26">
        <v>1</v>
      </c>
      <c r="IW36" s="26">
        <v>0</v>
      </c>
      <c r="IX36" s="8"/>
    </row>
    <row r="37" spans="2:258" ht="15.75" thickBot="1" x14ac:dyDescent="0.3">
      <c r="B37" s="103">
        <f>B36+6</f>
        <v>114</v>
      </c>
      <c r="C37" s="221">
        <v>20</v>
      </c>
      <c r="D37" s="98">
        <f t="shared" si="1"/>
        <v>0.38480012531328311</v>
      </c>
      <c r="E37" s="96">
        <f t="shared" si="2"/>
        <v>0.42852741228070168</v>
      </c>
      <c r="F37" s="96">
        <f t="shared" si="3"/>
        <v>0.44893347953216367</v>
      </c>
      <c r="G37" s="96">
        <f t="shared" si="4"/>
        <v>0.45913651315789467</v>
      </c>
      <c r="H37" s="96">
        <f t="shared" si="5"/>
        <v>0.44893347953216367</v>
      </c>
      <c r="I37" s="96">
        <f t="shared" si="6"/>
        <v>0.45573550194931761</v>
      </c>
      <c r="J37" s="96">
        <f t="shared" si="7"/>
        <v>0.46059408939014196</v>
      </c>
      <c r="K37" s="96">
        <f t="shared" si="8"/>
        <v>0.46423802997076014</v>
      </c>
      <c r="L37" s="96">
        <f t="shared" si="9"/>
        <v>0.46707220597790761</v>
      </c>
      <c r="M37" s="96">
        <f t="shared" si="10"/>
        <v>0.46933954678362561</v>
      </c>
      <c r="N37" s="238"/>
      <c r="O37" s="238"/>
      <c r="P37" s="238"/>
      <c r="Q37" s="238"/>
      <c r="R37" s="238"/>
      <c r="S37" s="238"/>
      <c r="T37" s="238"/>
      <c r="U37" s="238"/>
      <c r="V37" s="238"/>
      <c r="W37" s="238"/>
      <c r="X37" s="96"/>
      <c r="Y37" s="65"/>
      <c r="AT37" s="4"/>
      <c r="AU37" s="27">
        <f t="shared" si="101"/>
        <v>96</v>
      </c>
      <c r="AV37" s="28" t="str">
        <f t="shared" si="86"/>
        <v>(2450)</v>
      </c>
      <c r="AW37" s="19">
        <f t="shared" si="102"/>
        <v>22</v>
      </c>
      <c r="AX37" s="20">
        <f t="shared" si="16"/>
        <v>1.7862777777777776</v>
      </c>
      <c r="AY37" s="21" t="str">
        <f t="shared" si="103"/>
        <v>(0.17)</v>
      </c>
      <c r="AZ37" s="22">
        <v>2</v>
      </c>
      <c r="BA37" s="22">
        <f t="shared" si="18"/>
        <v>1.5</v>
      </c>
      <c r="BB37" s="22">
        <v>0</v>
      </c>
      <c r="BC37" s="22">
        <f t="shared" si="19"/>
        <v>0</v>
      </c>
      <c r="BD37" s="22">
        <v>0</v>
      </c>
      <c r="BE37" s="22">
        <f t="shared" si="20"/>
        <v>0</v>
      </c>
      <c r="BF37" s="22">
        <f t="shared" si="88"/>
        <v>1.5</v>
      </c>
      <c r="BG37" s="23">
        <f t="shared" si="22"/>
        <v>5.5</v>
      </c>
      <c r="BH37" s="373">
        <f t="shared" si="23"/>
        <v>3.4101666666666661</v>
      </c>
      <c r="BI37" s="374" t="str">
        <f t="shared" si="89"/>
        <v>(0.32)</v>
      </c>
      <c r="BJ37" s="375">
        <v>2</v>
      </c>
      <c r="BK37" s="375">
        <f t="shared" si="25"/>
        <v>1.5</v>
      </c>
      <c r="BL37" s="375">
        <v>0</v>
      </c>
      <c r="BM37" s="375">
        <f t="shared" si="26"/>
        <v>0</v>
      </c>
      <c r="BN37" s="375">
        <v>0</v>
      </c>
      <c r="BO37" s="375">
        <f t="shared" si="27"/>
        <v>0</v>
      </c>
      <c r="BP37" s="375">
        <f t="shared" si="90"/>
        <v>1.5</v>
      </c>
      <c r="BQ37" s="376">
        <f t="shared" si="29"/>
        <v>10.5</v>
      </c>
      <c r="BR37" s="373">
        <f t="shared" si="30"/>
        <v>5.3588333333333331</v>
      </c>
      <c r="BS37" s="374" t="str">
        <f t="shared" si="31"/>
        <v>(0.5)</v>
      </c>
      <c r="BT37" s="375">
        <v>2</v>
      </c>
      <c r="BU37" s="375">
        <f t="shared" si="32"/>
        <v>1.5</v>
      </c>
      <c r="BV37" s="375">
        <v>0</v>
      </c>
      <c r="BW37" s="375">
        <f t="shared" si="33"/>
        <v>0</v>
      </c>
      <c r="BX37" s="375">
        <v>0</v>
      </c>
      <c r="BY37" s="375">
        <f t="shared" si="34"/>
        <v>0</v>
      </c>
      <c r="BZ37" s="375">
        <f t="shared" si="91"/>
        <v>1.5</v>
      </c>
      <c r="CA37" s="376">
        <f t="shared" si="36"/>
        <v>16.5</v>
      </c>
      <c r="CB37" s="373">
        <f t="shared" si="37"/>
        <v>7.3074999999999983</v>
      </c>
      <c r="CC37" s="374" t="str">
        <f t="shared" si="38"/>
        <v>(0.68)</v>
      </c>
      <c r="CD37" s="375">
        <v>2</v>
      </c>
      <c r="CE37" s="375">
        <f t="shared" si="39"/>
        <v>1.5</v>
      </c>
      <c r="CF37" s="375">
        <v>0</v>
      </c>
      <c r="CG37" s="375">
        <f t="shared" si="40"/>
        <v>0</v>
      </c>
      <c r="CH37" s="375">
        <v>0</v>
      </c>
      <c r="CI37" s="375">
        <f t="shared" si="41"/>
        <v>0</v>
      </c>
      <c r="CJ37" s="375">
        <f t="shared" si="92"/>
        <v>1.5</v>
      </c>
      <c r="CK37" s="376">
        <f t="shared" si="43"/>
        <v>22.5</v>
      </c>
      <c r="CL37" s="373">
        <f t="shared" si="44"/>
        <v>8.9313888888888879</v>
      </c>
      <c r="CM37" s="374" t="str">
        <f t="shared" si="45"/>
        <v>(0.83)</v>
      </c>
      <c r="CN37" s="375">
        <v>2</v>
      </c>
      <c r="CO37" s="375">
        <f t="shared" si="46"/>
        <v>1.5</v>
      </c>
      <c r="CP37" s="375">
        <v>0</v>
      </c>
      <c r="CQ37" s="375">
        <f t="shared" si="47"/>
        <v>0</v>
      </c>
      <c r="CR37" s="375">
        <v>1</v>
      </c>
      <c r="CS37" s="375">
        <f t="shared" si="48"/>
        <v>1</v>
      </c>
      <c r="CT37" s="375">
        <f t="shared" si="93"/>
        <v>2.5</v>
      </c>
      <c r="CU37" s="376">
        <f t="shared" si="50"/>
        <v>27.5</v>
      </c>
      <c r="CV37" s="373">
        <f t="shared" si="51"/>
        <v>10.880055555555554</v>
      </c>
      <c r="CW37" s="374" t="str">
        <f t="shared" si="52"/>
        <v>(1.01)</v>
      </c>
      <c r="CX37" s="375">
        <v>2</v>
      </c>
      <c r="CY37" s="375">
        <f t="shared" si="53"/>
        <v>1.5</v>
      </c>
      <c r="CZ37" s="375">
        <v>0</v>
      </c>
      <c r="DA37" s="375">
        <f t="shared" si="54"/>
        <v>0</v>
      </c>
      <c r="DB37" s="375">
        <v>1</v>
      </c>
      <c r="DC37" s="375">
        <f t="shared" si="55"/>
        <v>1</v>
      </c>
      <c r="DD37" s="375">
        <f t="shared" si="94"/>
        <v>2.5</v>
      </c>
      <c r="DE37" s="376">
        <f t="shared" si="57"/>
        <v>33.5</v>
      </c>
      <c r="DF37" s="373">
        <f t="shared" si="58"/>
        <v>12.82872222222222</v>
      </c>
      <c r="DG37" s="374" t="str">
        <f t="shared" si="59"/>
        <v>(1.19)</v>
      </c>
      <c r="DH37" s="375">
        <v>2</v>
      </c>
      <c r="DI37" s="375">
        <f t="shared" si="60"/>
        <v>1.5</v>
      </c>
      <c r="DJ37" s="375">
        <v>0</v>
      </c>
      <c r="DK37" s="375">
        <f t="shared" si="61"/>
        <v>0</v>
      </c>
      <c r="DL37" s="375">
        <v>1</v>
      </c>
      <c r="DM37" s="375">
        <f t="shared" si="62"/>
        <v>1</v>
      </c>
      <c r="DN37" s="375">
        <f t="shared" si="95"/>
        <v>2.5</v>
      </c>
      <c r="DO37" s="376">
        <f t="shared" si="64"/>
        <v>39.5</v>
      </c>
      <c r="DP37" s="373">
        <f t="shared" si="65"/>
        <v>14.777388888888886</v>
      </c>
      <c r="DQ37" s="374" t="str">
        <f t="shared" si="66"/>
        <v>(1.37)</v>
      </c>
      <c r="DR37" s="375">
        <v>2</v>
      </c>
      <c r="DS37" s="375">
        <f t="shared" si="67"/>
        <v>1.5</v>
      </c>
      <c r="DT37" s="375">
        <v>0</v>
      </c>
      <c r="DU37" s="375">
        <f t="shared" si="68"/>
        <v>0</v>
      </c>
      <c r="DV37" s="375">
        <v>1</v>
      </c>
      <c r="DW37" s="375">
        <f t="shared" si="69"/>
        <v>1</v>
      </c>
      <c r="DX37" s="375">
        <f t="shared" si="96"/>
        <v>2.5</v>
      </c>
      <c r="DY37" s="376">
        <f t="shared" si="71"/>
        <v>45.5</v>
      </c>
      <c r="DZ37" s="373">
        <f t="shared" si="72"/>
        <v>16.726055555555554</v>
      </c>
      <c r="EA37" s="374" t="str">
        <f t="shared" si="97"/>
        <v>(1.55)</v>
      </c>
      <c r="EB37" s="375">
        <v>2</v>
      </c>
      <c r="EC37" s="375">
        <f t="shared" si="74"/>
        <v>1.5</v>
      </c>
      <c r="ED37" s="375">
        <v>0</v>
      </c>
      <c r="EE37" s="375">
        <f t="shared" si="75"/>
        <v>0</v>
      </c>
      <c r="EF37" s="375">
        <v>1</v>
      </c>
      <c r="EG37" s="375">
        <f t="shared" si="76"/>
        <v>1</v>
      </c>
      <c r="EH37" s="375">
        <f t="shared" si="98"/>
        <v>2.5</v>
      </c>
      <c r="EI37" s="376">
        <f t="shared" si="78"/>
        <v>51.5</v>
      </c>
      <c r="EJ37" s="373">
        <f t="shared" si="79"/>
        <v>18.674722222222222</v>
      </c>
      <c r="EK37" s="374" t="str">
        <f t="shared" si="104"/>
        <v>(1.73)</v>
      </c>
      <c r="EL37" s="22">
        <v>2</v>
      </c>
      <c r="EM37" s="22">
        <f t="shared" si="81"/>
        <v>1.5</v>
      </c>
      <c r="EN37" s="22">
        <v>0</v>
      </c>
      <c r="EO37" s="22">
        <f t="shared" si="82"/>
        <v>0</v>
      </c>
      <c r="EP37" s="22">
        <v>1</v>
      </c>
      <c r="EQ37" s="22">
        <f t="shared" si="83"/>
        <v>1</v>
      </c>
      <c r="ER37" s="22">
        <f t="shared" si="100"/>
        <v>2.5</v>
      </c>
      <c r="ES37" s="23">
        <f t="shared" si="85"/>
        <v>57.5</v>
      </c>
      <c r="ET37" s="202"/>
      <c r="EU37" s="203"/>
      <c r="EV37" s="204"/>
      <c r="EW37" s="204"/>
      <c r="EX37" s="204"/>
      <c r="EY37" s="204"/>
      <c r="EZ37" s="204"/>
      <c r="FA37" s="204"/>
      <c r="FB37" s="204"/>
      <c r="FC37" s="205"/>
      <c r="FD37" s="202"/>
      <c r="FE37" s="203"/>
      <c r="FF37" s="204"/>
      <c r="FG37" s="204"/>
      <c r="FH37" s="204"/>
      <c r="FI37" s="204"/>
      <c r="FJ37" s="204"/>
      <c r="FK37" s="204"/>
      <c r="FL37" s="204"/>
      <c r="FM37" s="205"/>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5">
        <v>47</v>
      </c>
      <c r="IR37" s="26">
        <v>0</v>
      </c>
      <c r="IS37" s="26">
        <v>1.0069999999999999</v>
      </c>
      <c r="IT37" s="26">
        <v>0.44600000000000001</v>
      </c>
      <c r="IU37" s="26">
        <v>0.75</v>
      </c>
      <c r="IV37" s="26">
        <v>1</v>
      </c>
      <c r="IW37" s="26">
        <v>0</v>
      </c>
      <c r="IX37" s="8"/>
    </row>
    <row r="38" spans="2:258" ht="15.75" thickBot="1" x14ac:dyDescent="0.3">
      <c r="B38" s="103">
        <f t="shared" si="15"/>
        <v>120</v>
      </c>
      <c r="C38" s="227">
        <v>21</v>
      </c>
      <c r="D38" s="98">
        <f t="shared" si="1"/>
        <v>0.38534047619047607</v>
      </c>
      <c r="E38" s="96">
        <f t="shared" si="2"/>
        <v>0.42912916666666662</v>
      </c>
      <c r="F38" s="96">
        <f t="shared" si="3"/>
        <v>0.44956388888888887</v>
      </c>
      <c r="G38" s="96">
        <f t="shared" si="4"/>
        <v>0.45978124999999997</v>
      </c>
      <c r="H38" s="96">
        <f t="shared" si="5"/>
        <v>0.44956388888888882</v>
      </c>
      <c r="I38" s="96">
        <f t="shared" si="6"/>
        <v>0.45637546296296289</v>
      </c>
      <c r="J38" s="96">
        <f t="shared" si="7"/>
        <v>0.46124087301587297</v>
      </c>
      <c r="K38" s="96">
        <f t="shared" si="8"/>
        <v>0.4648899305555555</v>
      </c>
      <c r="L38" s="96">
        <f t="shared" si="9"/>
        <v>0.467728086419753</v>
      </c>
      <c r="M38" s="96">
        <f t="shared" si="10"/>
        <v>0.46999861111111102</v>
      </c>
      <c r="N38" s="238"/>
      <c r="O38" s="238"/>
      <c r="P38" s="238"/>
      <c r="Q38" s="238"/>
      <c r="R38" s="238"/>
      <c r="S38" s="238"/>
      <c r="T38" s="238"/>
      <c r="U38" s="238"/>
      <c r="V38" s="238"/>
      <c r="W38" s="238"/>
      <c r="X38" s="96"/>
      <c r="Y38" s="65"/>
      <c r="AT38" s="4"/>
      <c r="AU38" s="27">
        <f t="shared" si="101"/>
        <v>102</v>
      </c>
      <c r="AV38" s="28" t="str">
        <f t="shared" si="86"/>
        <v>(2600)</v>
      </c>
      <c r="AW38" s="19">
        <f t="shared" si="102"/>
        <v>23</v>
      </c>
      <c r="AX38" s="20">
        <f t="shared" si="16"/>
        <v>1.9016631944444444</v>
      </c>
      <c r="AY38" s="21" t="str">
        <f t="shared" si="103"/>
        <v>(0.18)</v>
      </c>
      <c r="AZ38" s="22">
        <v>2</v>
      </c>
      <c r="BA38" s="22">
        <f t="shared" si="18"/>
        <v>1.5</v>
      </c>
      <c r="BB38" s="22">
        <v>0</v>
      </c>
      <c r="BC38" s="22">
        <f t="shared" si="19"/>
        <v>0</v>
      </c>
      <c r="BD38" s="22">
        <v>0</v>
      </c>
      <c r="BE38" s="22">
        <f t="shared" si="20"/>
        <v>0</v>
      </c>
      <c r="BF38" s="22">
        <f t="shared" si="88"/>
        <v>1.5</v>
      </c>
      <c r="BG38" s="23">
        <f t="shared" si="22"/>
        <v>5.5</v>
      </c>
      <c r="BH38" s="373">
        <f t="shared" si="23"/>
        <v>3.6304479166666663</v>
      </c>
      <c r="BI38" s="374" t="str">
        <f t="shared" si="89"/>
        <v>(0.34)</v>
      </c>
      <c r="BJ38" s="375">
        <v>2</v>
      </c>
      <c r="BK38" s="375">
        <f t="shared" si="25"/>
        <v>1.5</v>
      </c>
      <c r="BL38" s="375">
        <v>0</v>
      </c>
      <c r="BM38" s="375">
        <f t="shared" si="26"/>
        <v>0</v>
      </c>
      <c r="BN38" s="375">
        <v>0</v>
      </c>
      <c r="BO38" s="375">
        <f t="shared" si="27"/>
        <v>0</v>
      </c>
      <c r="BP38" s="375">
        <f t="shared" si="90"/>
        <v>1.5</v>
      </c>
      <c r="BQ38" s="376">
        <f t="shared" si="29"/>
        <v>10.5</v>
      </c>
      <c r="BR38" s="373">
        <f t="shared" si="30"/>
        <v>5.7049895833333331</v>
      </c>
      <c r="BS38" s="374" t="str">
        <f t="shared" si="31"/>
        <v>(0.53)</v>
      </c>
      <c r="BT38" s="375">
        <v>2</v>
      </c>
      <c r="BU38" s="375">
        <f t="shared" si="32"/>
        <v>1.5</v>
      </c>
      <c r="BV38" s="375">
        <v>0</v>
      </c>
      <c r="BW38" s="375">
        <f t="shared" si="33"/>
        <v>0</v>
      </c>
      <c r="BX38" s="375">
        <v>0</v>
      </c>
      <c r="BY38" s="375">
        <f t="shared" si="34"/>
        <v>0</v>
      </c>
      <c r="BZ38" s="375">
        <f t="shared" si="91"/>
        <v>1.5</v>
      </c>
      <c r="CA38" s="376">
        <f t="shared" si="36"/>
        <v>16.5</v>
      </c>
      <c r="CB38" s="373">
        <f t="shared" si="37"/>
        <v>7.7795312499999989</v>
      </c>
      <c r="CC38" s="374" t="str">
        <f t="shared" si="38"/>
        <v>(0.72)</v>
      </c>
      <c r="CD38" s="375">
        <v>2</v>
      </c>
      <c r="CE38" s="375">
        <f t="shared" si="39"/>
        <v>1.5</v>
      </c>
      <c r="CF38" s="375">
        <v>0</v>
      </c>
      <c r="CG38" s="375">
        <f t="shared" si="40"/>
        <v>0</v>
      </c>
      <c r="CH38" s="375">
        <v>0</v>
      </c>
      <c r="CI38" s="375">
        <f t="shared" si="41"/>
        <v>0</v>
      </c>
      <c r="CJ38" s="375">
        <f t="shared" si="92"/>
        <v>1.5</v>
      </c>
      <c r="CK38" s="376">
        <f t="shared" si="43"/>
        <v>22.5</v>
      </c>
      <c r="CL38" s="373">
        <f t="shared" si="44"/>
        <v>9.5083159722222206</v>
      </c>
      <c r="CM38" s="374" t="str">
        <f t="shared" si="45"/>
        <v>(0.88)</v>
      </c>
      <c r="CN38" s="375">
        <v>2</v>
      </c>
      <c r="CO38" s="375">
        <f t="shared" si="46"/>
        <v>1.5</v>
      </c>
      <c r="CP38" s="375">
        <v>0</v>
      </c>
      <c r="CQ38" s="375">
        <f t="shared" si="47"/>
        <v>0</v>
      </c>
      <c r="CR38" s="375">
        <v>1</v>
      </c>
      <c r="CS38" s="375">
        <f t="shared" si="48"/>
        <v>1</v>
      </c>
      <c r="CT38" s="375">
        <f t="shared" si="93"/>
        <v>2.5</v>
      </c>
      <c r="CU38" s="376">
        <f t="shared" si="50"/>
        <v>27.5</v>
      </c>
      <c r="CV38" s="373">
        <f t="shared" si="51"/>
        <v>11.582857638888889</v>
      </c>
      <c r="CW38" s="374" t="str">
        <f t="shared" si="52"/>
        <v>(1.08)</v>
      </c>
      <c r="CX38" s="375">
        <v>2</v>
      </c>
      <c r="CY38" s="375">
        <f t="shared" si="53"/>
        <v>1.5</v>
      </c>
      <c r="CZ38" s="375">
        <v>0</v>
      </c>
      <c r="DA38" s="375">
        <f t="shared" si="54"/>
        <v>0</v>
      </c>
      <c r="DB38" s="375">
        <v>1</v>
      </c>
      <c r="DC38" s="375">
        <f t="shared" si="55"/>
        <v>1</v>
      </c>
      <c r="DD38" s="375">
        <f t="shared" si="94"/>
        <v>2.5</v>
      </c>
      <c r="DE38" s="376">
        <f t="shared" si="57"/>
        <v>33.5</v>
      </c>
      <c r="DF38" s="373">
        <f t="shared" si="58"/>
        <v>13.657399305555554</v>
      </c>
      <c r="DG38" s="374" t="str">
        <f t="shared" si="59"/>
        <v>(1.27)</v>
      </c>
      <c r="DH38" s="375">
        <v>2</v>
      </c>
      <c r="DI38" s="375">
        <f t="shared" si="60"/>
        <v>1.5</v>
      </c>
      <c r="DJ38" s="375">
        <v>0</v>
      </c>
      <c r="DK38" s="375">
        <f t="shared" si="61"/>
        <v>0</v>
      </c>
      <c r="DL38" s="375">
        <v>1</v>
      </c>
      <c r="DM38" s="375">
        <f t="shared" si="62"/>
        <v>1</v>
      </c>
      <c r="DN38" s="375">
        <f t="shared" si="95"/>
        <v>2.5</v>
      </c>
      <c r="DO38" s="376">
        <f t="shared" si="64"/>
        <v>39.5</v>
      </c>
      <c r="DP38" s="373">
        <f t="shared" si="65"/>
        <v>15.731940972222219</v>
      </c>
      <c r="DQ38" s="374" t="str">
        <f t="shared" si="66"/>
        <v>(1.46)</v>
      </c>
      <c r="DR38" s="375">
        <v>2</v>
      </c>
      <c r="DS38" s="375">
        <f t="shared" si="67"/>
        <v>1.5</v>
      </c>
      <c r="DT38" s="375">
        <v>0</v>
      </c>
      <c r="DU38" s="375">
        <f t="shared" si="68"/>
        <v>0</v>
      </c>
      <c r="DV38" s="375">
        <v>1</v>
      </c>
      <c r="DW38" s="375">
        <f t="shared" si="69"/>
        <v>1</v>
      </c>
      <c r="DX38" s="375">
        <f t="shared" si="96"/>
        <v>2.5</v>
      </c>
      <c r="DY38" s="376">
        <f t="shared" si="71"/>
        <v>45.5</v>
      </c>
      <c r="DZ38" s="373">
        <f t="shared" si="72"/>
        <v>17.806482638888887</v>
      </c>
      <c r="EA38" s="374" t="str">
        <f t="shared" si="97"/>
        <v>(1.65)</v>
      </c>
      <c r="EB38" s="375">
        <v>2</v>
      </c>
      <c r="EC38" s="375">
        <f t="shared" si="74"/>
        <v>1.5</v>
      </c>
      <c r="ED38" s="375">
        <v>0</v>
      </c>
      <c r="EE38" s="375">
        <f t="shared" si="75"/>
        <v>0</v>
      </c>
      <c r="EF38" s="375">
        <v>1</v>
      </c>
      <c r="EG38" s="375">
        <f t="shared" si="76"/>
        <v>1</v>
      </c>
      <c r="EH38" s="375">
        <f t="shared" si="98"/>
        <v>2.5</v>
      </c>
      <c r="EI38" s="376">
        <f t="shared" si="78"/>
        <v>51.5</v>
      </c>
      <c r="EJ38" s="373">
        <f t="shared" si="79"/>
        <v>19.881024305555556</v>
      </c>
      <c r="EK38" s="374" t="str">
        <f t="shared" si="104"/>
        <v>(1.85)</v>
      </c>
      <c r="EL38" s="22">
        <v>2</v>
      </c>
      <c r="EM38" s="22">
        <f t="shared" si="81"/>
        <v>1.5</v>
      </c>
      <c r="EN38" s="22">
        <v>0</v>
      </c>
      <c r="EO38" s="22">
        <f t="shared" si="82"/>
        <v>0</v>
      </c>
      <c r="EP38" s="22">
        <v>1</v>
      </c>
      <c r="EQ38" s="22">
        <f t="shared" si="83"/>
        <v>1</v>
      </c>
      <c r="ER38" s="22">
        <f t="shared" si="100"/>
        <v>2.5</v>
      </c>
      <c r="ES38" s="23">
        <f t="shared" si="85"/>
        <v>57.5</v>
      </c>
      <c r="ET38" s="202"/>
      <c r="EU38" s="203"/>
      <c r="EV38" s="204"/>
      <c r="EW38" s="204"/>
      <c r="EX38" s="204"/>
      <c r="EY38" s="204"/>
      <c r="EZ38" s="204"/>
      <c r="FA38" s="204"/>
      <c r="FB38" s="204"/>
      <c r="FC38" s="205"/>
      <c r="FD38" s="202"/>
      <c r="FE38" s="203"/>
      <c r="FF38" s="204"/>
      <c r="FG38" s="204"/>
      <c r="FH38" s="204"/>
      <c r="FI38" s="204"/>
      <c r="FJ38" s="204"/>
      <c r="FK38" s="204"/>
      <c r="FL38" s="204"/>
      <c r="FM38" s="205"/>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5">
        <v>50</v>
      </c>
      <c r="IR38" s="26">
        <v>0</v>
      </c>
      <c r="IS38" s="26">
        <v>1.0069999999999999</v>
      </c>
      <c r="IT38" s="26">
        <v>0.44600000000000001</v>
      </c>
      <c r="IU38" s="26">
        <v>0.75</v>
      </c>
      <c r="IV38" s="26">
        <v>1</v>
      </c>
      <c r="IW38" s="26">
        <v>0</v>
      </c>
      <c r="IX38" s="8"/>
    </row>
    <row r="39" spans="2: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96"/>
      <c r="Y39" s="65"/>
      <c r="AT39" s="4"/>
      <c r="AU39" s="27">
        <f t="shared" si="101"/>
        <v>108</v>
      </c>
      <c r="AV39" s="28" t="str">
        <f t="shared" si="86"/>
        <v>(2750)</v>
      </c>
      <c r="AW39" s="19">
        <f t="shared" si="102"/>
        <v>24</v>
      </c>
      <c r="AX39" s="20">
        <f t="shared" si="16"/>
        <v>2.017048611111111</v>
      </c>
      <c r="AY39" s="21" t="str">
        <f t="shared" si="103"/>
        <v>(0.19)</v>
      </c>
      <c r="AZ39" s="22">
        <v>2</v>
      </c>
      <c r="BA39" s="22">
        <f t="shared" si="18"/>
        <v>1.5</v>
      </c>
      <c r="BB39" s="22">
        <v>0</v>
      </c>
      <c r="BC39" s="22">
        <f t="shared" si="19"/>
        <v>0</v>
      </c>
      <c r="BD39" s="22">
        <v>0</v>
      </c>
      <c r="BE39" s="22">
        <f t="shared" si="20"/>
        <v>0</v>
      </c>
      <c r="BF39" s="22">
        <f t="shared" si="88"/>
        <v>1.5</v>
      </c>
      <c r="BG39" s="23">
        <f t="shared" si="22"/>
        <v>5.5</v>
      </c>
      <c r="BH39" s="373">
        <f t="shared" si="23"/>
        <v>3.8507291666666665</v>
      </c>
      <c r="BI39" s="374" t="str">
        <f t="shared" si="89"/>
        <v>(0.36)</v>
      </c>
      <c r="BJ39" s="375">
        <v>2</v>
      </c>
      <c r="BK39" s="375">
        <f t="shared" si="25"/>
        <v>1.5</v>
      </c>
      <c r="BL39" s="375">
        <v>0</v>
      </c>
      <c r="BM39" s="375">
        <f t="shared" si="26"/>
        <v>0</v>
      </c>
      <c r="BN39" s="375">
        <v>0</v>
      </c>
      <c r="BO39" s="375">
        <f t="shared" si="27"/>
        <v>0</v>
      </c>
      <c r="BP39" s="375">
        <f t="shared" si="90"/>
        <v>1.5</v>
      </c>
      <c r="BQ39" s="376">
        <f t="shared" si="29"/>
        <v>10.5</v>
      </c>
      <c r="BR39" s="373">
        <f t="shared" si="30"/>
        <v>6.051145833333333</v>
      </c>
      <c r="BS39" s="374" t="str">
        <f t="shared" si="31"/>
        <v>(0.56)</v>
      </c>
      <c r="BT39" s="375">
        <v>2</v>
      </c>
      <c r="BU39" s="375">
        <f t="shared" si="32"/>
        <v>1.5</v>
      </c>
      <c r="BV39" s="375">
        <v>0</v>
      </c>
      <c r="BW39" s="375">
        <f t="shared" si="33"/>
        <v>0</v>
      </c>
      <c r="BX39" s="375">
        <v>0</v>
      </c>
      <c r="BY39" s="375">
        <f t="shared" si="34"/>
        <v>0</v>
      </c>
      <c r="BZ39" s="375">
        <f t="shared" si="91"/>
        <v>1.5</v>
      </c>
      <c r="CA39" s="376">
        <f t="shared" si="36"/>
        <v>16.5</v>
      </c>
      <c r="CB39" s="373">
        <f t="shared" si="37"/>
        <v>8.2515624999999986</v>
      </c>
      <c r="CC39" s="374" t="str">
        <f t="shared" si="38"/>
        <v>(0.77)</v>
      </c>
      <c r="CD39" s="375">
        <v>2</v>
      </c>
      <c r="CE39" s="375">
        <f t="shared" si="39"/>
        <v>1.5</v>
      </c>
      <c r="CF39" s="375">
        <v>0</v>
      </c>
      <c r="CG39" s="375">
        <f t="shared" si="40"/>
        <v>0</v>
      </c>
      <c r="CH39" s="375">
        <v>0</v>
      </c>
      <c r="CI39" s="375">
        <f t="shared" si="41"/>
        <v>0</v>
      </c>
      <c r="CJ39" s="375">
        <f t="shared" si="92"/>
        <v>1.5</v>
      </c>
      <c r="CK39" s="376">
        <f t="shared" si="43"/>
        <v>22.5</v>
      </c>
      <c r="CL39" s="373">
        <f t="shared" si="44"/>
        <v>10.085243055555555</v>
      </c>
      <c r="CM39" s="374" t="str">
        <f t="shared" si="45"/>
        <v>(0.94)</v>
      </c>
      <c r="CN39" s="375">
        <v>2</v>
      </c>
      <c r="CO39" s="375">
        <f t="shared" si="46"/>
        <v>1.5</v>
      </c>
      <c r="CP39" s="375">
        <v>0</v>
      </c>
      <c r="CQ39" s="375">
        <f t="shared" si="47"/>
        <v>0</v>
      </c>
      <c r="CR39" s="375">
        <v>1</v>
      </c>
      <c r="CS39" s="375">
        <f t="shared" si="48"/>
        <v>1</v>
      </c>
      <c r="CT39" s="375">
        <f t="shared" si="93"/>
        <v>2.5</v>
      </c>
      <c r="CU39" s="376">
        <f t="shared" si="50"/>
        <v>27.5</v>
      </c>
      <c r="CV39" s="373">
        <f t="shared" si="51"/>
        <v>12.285659722222221</v>
      </c>
      <c r="CW39" s="374" t="str">
        <f t="shared" si="52"/>
        <v>(1.14)</v>
      </c>
      <c r="CX39" s="375">
        <v>2</v>
      </c>
      <c r="CY39" s="375">
        <f t="shared" si="53"/>
        <v>1.5</v>
      </c>
      <c r="CZ39" s="375">
        <v>0</v>
      </c>
      <c r="DA39" s="375">
        <f t="shared" si="54"/>
        <v>0</v>
      </c>
      <c r="DB39" s="375">
        <v>1</v>
      </c>
      <c r="DC39" s="375">
        <f t="shared" si="55"/>
        <v>1</v>
      </c>
      <c r="DD39" s="375">
        <f t="shared" si="94"/>
        <v>2.5</v>
      </c>
      <c r="DE39" s="376">
        <f t="shared" si="57"/>
        <v>33.5</v>
      </c>
      <c r="DF39" s="373">
        <f t="shared" si="58"/>
        <v>14.486076388888888</v>
      </c>
      <c r="DG39" s="374" t="str">
        <f t="shared" si="59"/>
        <v>(1.35)</v>
      </c>
      <c r="DH39" s="375">
        <v>2</v>
      </c>
      <c r="DI39" s="375">
        <f t="shared" si="60"/>
        <v>1.5</v>
      </c>
      <c r="DJ39" s="375">
        <v>0</v>
      </c>
      <c r="DK39" s="375">
        <f t="shared" si="61"/>
        <v>0</v>
      </c>
      <c r="DL39" s="375">
        <v>1</v>
      </c>
      <c r="DM39" s="375">
        <f t="shared" si="62"/>
        <v>1</v>
      </c>
      <c r="DN39" s="375">
        <f t="shared" si="95"/>
        <v>2.5</v>
      </c>
      <c r="DO39" s="376">
        <f t="shared" si="64"/>
        <v>39.5</v>
      </c>
      <c r="DP39" s="373">
        <f t="shared" si="65"/>
        <v>16.686493055555552</v>
      </c>
      <c r="DQ39" s="374" t="str">
        <f t="shared" si="66"/>
        <v>(1.55)</v>
      </c>
      <c r="DR39" s="375">
        <v>2</v>
      </c>
      <c r="DS39" s="375">
        <f t="shared" si="67"/>
        <v>1.5</v>
      </c>
      <c r="DT39" s="375">
        <v>0</v>
      </c>
      <c r="DU39" s="375">
        <f t="shared" si="68"/>
        <v>0</v>
      </c>
      <c r="DV39" s="375">
        <v>1</v>
      </c>
      <c r="DW39" s="375">
        <f t="shared" si="69"/>
        <v>1</v>
      </c>
      <c r="DX39" s="375">
        <f t="shared" si="96"/>
        <v>2.5</v>
      </c>
      <c r="DY39" s="376">
        <f t="shared" si="71"/>
        <v>45.5</v>
      </c>
      <c r="DZ39" s="373">
        <f t="shared" si="72"/>
        <v>18.886909722222221</v>
      </c>
      <c r="EA39" s="374" t="str">
        <f t="shared" si="97"/>
        <v>(1.75)</v>
      </c>
      <c r="EB39" s="375">
        <v>2</v>
      </c>
      <c r="EC39" s="375">
        <f t="shared" si="74"/>
        <v>1.5</v>
      </c>
      <c r="ED39" s="375">
        <v>0</v>
      </c>
      <c r="EE39" s="375">
        <f t="shared" si="75"/>
        <v>0</v>
      </c>
      <c r="EF39" s="375">
        <v>1</v>
      </c>
      <c r="EG39" s="375">
        <f t="shared" si="76"/>
        <v>1</v>
      </c>
      <c r="EH39" s="375">
        <f t="shared" si="98"/>
        <v>2.5</v>
      </c>
      <c r="EI39" s="376">
        <f t="shared" si="78"/>
        <v>51.5</v>
      </c>
      <c r="EJ39" s="373">
        <f t="shared" si="79"/>
        <v>21.087326388888886</v>
      </c>
      <c r="EK39" s="374" t="str">
        <f t="shared" si="104"/>
        <v>(1.96)</v>
      </c>
      <c r="EL39" s="22">
        <v>2</v>
      </c>
      <c r="EM39" s="22">
        <f t="shared" si="81"/>
        <v>1.5</v>
      </c>
      <c r="EN39" s="22">
        <v>0</v>
      </c>
      <c r="EO39" s="22">
        <f t="shared" si="82"/>
        <v>0</v>
      </c>
      <c r="EP39" s="22">
        <v>1</v>
      </c>
      <c r="EQ39" s="22">
        <f t="shared" si="83"/>
        <v>1</v>
      </c>
      <c r="ER39" s="22">
        <f t="shared" si="100"/>
        <v>2.5</v>
      </c>
      <c r="ES39" s="23">
        <f t="shared" si="85"/>
        <v>57.5</v>
      </c>
      <c r="ET39" s="202"/>
      <c r="EU39" s="203"/>
      <c r="EV39" s="204"/>
      <c r="EW39" s="204"/>
      <c r="EX39" s="204"/>
      <c r="EY39" s="204"/>
      <c r="EZ39" s="204"/>
      <c r="FA39" s="204"/>
      <c r="FB39" s="204"/>
      <c r="FC39" s="205"/>
      <c r="FD39" s="202"/>
      <c r="FE39" s="203"/>
      <c r="FF39" s="204"/>
      <c r="FG39" s="204"/>
      <c r="FH39" s="204"/>
      <c r="FI39" s="204"/>
      <c r="FJ39" s="204"/>
      <c r="FK39" s="204"/>
      <c r="FL39" s="204"/>
      <c r="FM39" s="205"/>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5">
        <v>53</v>
      </c>
      <c r="IR39" s="26">
        <v>0</v>
      </c>
      <c r="IS39" s="26">
        <v>1.0069999999999999</v>
      </c>
      <c r="IT39" s="26">
        <v>0.44600000000000001</v>
      </c>
      <c r="IU39" s="26">
        <v>0.75</v>
      </c>
      <c r="IV39" s="26">
        <v>1</v>
      </c>
      <c r="IW39" s="26">
        <v>0</v>
      </c>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4"/>
      <c r="AU40" s="27">
        <f t="shared" si="101"/>
        <v>114</v>
      </c>
      <c r="AV40" s="28" t="str">
        <f t="shared" si="86"/>
        <v>(2900)</v>
      </c>
      <c r="AW40" s="19">
        <f t="shared" si="102"/>
        <v>25</v>
      </c>
      <c r="AX40" s="20">
        <f t="shared" si="16"/>
        <v>2.1324340277777774</v>
      </c>
      <c r="AY40" s="21" t="str">
        <f t="shared" si="103"/>
        <v>(0.20)</v>
      </c>
      <c r="AZ40" s="22">
        <v>2</v>
      </c>
      <c r="BA40" s="22">
        <f t="shared" si="18"/>
        <v>1.5</v>
      </c>
      <c r="BB40" s="22">
        <v>0</v>
      </c>
      <c r="BC40" s="22">
        <f t="shared" si="19"/>
        <v>0</v>
      </c>
      <c r="BD40" s="22">
        <v>0</v>
      </c>
      <c r="BE40" s="22">
        <f t="shared" si="20"/>
        <v>0</v>
      </c>
      <c r="BF40" s="22">
        <f t="shared" si="88"/>
        <v>1.5</v>
      </c>
      <c r="BG40" s="23">
        <f t="shared" si="22"/>
        <v>5.5</v>
      </c>
      <c r="BH40" s="373">
        <f t="shared" si="23"/>
        <v>4.0710104166666659</v>
      </c>
      <c r="BI40" s="374" t="str">
        <f t="shared" si="89"/>
        <v>(0.38)</v>
      </c>
      <c r="BJ40" s="375">
        <v>2</v>
      </c>
      <c r="BK40" s="375">
        <f t="shared" si="25"/>
        <v>1.5</v>
      </c>
      <c r="BL40" s="375">
        <v>0</v>
      </c>
      <c r="BM40" s="375">
        <f t="shared" si="26"/>
        <v>0</v>
      </c>
      <c r="BN40" s="375">
        <v>0</v>
      </c>
      <c r="BO40" s="375">
        <f t="shared" si="27"/>
        <v>0</v>
      </c>
      <c r="BP40" s="375">
        <f t="shared" si="90"/>
        <v>1.5</v>
      </c>
      <c r="BQ40" s="376">
        <f t="shared" si="29"/>
        <v>10.5</v>
      </c>
      <c r="BR40" s="373">
        <f t="shared" si="30"/>
        <v>6.3973020833333321</v>
      </c>
      <c r="BS40" s="374" t="str">
        <f t="shared" si="31"/>
        <v>(0.59)</v>
      </c>
      <c r="BT40" s="375">
        <v>2</v>
      </c>
      <c r="BU40" s="375">
        <f t="shared" si="32"/>
        <v>1.5</v>
      </c>
      <c r="BV40" s="375">
        <v>0</v>
      </c>
      <c r="BW40" s="375">
        <f t="shared" si="33"/>
        <v>0</v>
      </c>
      <c r="BX40" s="375">
        <v>0</v>
      </c>
      <c r="BY40" s="375">
        <f t="shared" si="34"/>
        <v>0</v>
      </c>
      <c r="BZ40" s="375">
        <f t="shared" si="91"/>
        <v>1.5</v>
      </c>
      <c r="CA40" s="376">
        <f t="shared" si="36"/>
        <v>16.5</v>
      </c>
      <c r="CB40" s="373">
        <f t="shared" si="37"/>
        <v>8.7235937499999991</v>
      </c>
      <c r="CC40" s="374" t="str">
        <f t="shared" si="38"/>
        <v>(0.81)</v>
      </c>
      <c r="CD40" s="375">
        <v>2</v>
      </c>
      <c r="CE40" s="375">
        <f t="shared" si="39"/>
        <v>1.5</v>
      </c>
      <c r="CF40" s="375">
        <v>0</v>
      </c>
      <c r="CG40" s="375">
        <f t="shared" si="40"/>
        <v>0</v>
      </c>
      <c r="CH40" s="375">
        <v>0</v>
      </c>
      <c r="CI40" s="375">
        <f t="shared" si="41"/>
        <v>0</v>
      </c>
      <c r="CJ40" s="375">
        <f t="shared" si="92"/>
        <v>1.5</v>
      </c>
      <c r="CK40" s="376">
        <f t="shared" si="43"/>
        <v>22.5</v>
      </c>
      <c r="CL40" s="373">
        <f t="shared" si="44"/>
        <v>10.662170138888888</v>
      </c>
      <c r="CM40" s="374" t="str">
        <f t="shared" si="45"/>
        <v>(0.99)</v>
      </c>
      <c r="CN40" s="375">
        <v>2</v>
      </c>
      <c r="CO40" s="375">
        <f t="shared" si="46"/>
        <v>1.5</v>
      </c>
      <c r="CP40" s="375">
        <v>0</v>
      </c>
      <c r="CQ40" s="375">
        <f t="shared" si="47"/>
        <v>0</v>
      </c>
      <c r="CR40" s="375">
        <v>1</v>
      </c>
      <c r="CS40" s="375">
        <f t="shared" si="48"/>
        <v>1</v>
      </c>
      <c r="CT40" s="375">
        <f t="shared" si="93"/>
        <v>2.5</v>
      </c>
      <c r="CU40" s="376">
        <f t="shared" si="50"/>
        <v>27.5</v>
      </c>
      <c r="CV40" s="373">
        <f t="shared" si="51"/>
        <v>12.988461805555552</v>
      </c>
      <c r="CW40" s="374" t="str">
        <f t="shared" si="52"/>
        <v>(1.21)</v>
      </c>
      <c r="CX40" s="375">
        <v>2</v>
      </c>
      <c r="CY40" s="375">
        <f t="shared" si="53"/>
        <v>1.5</v>
      </c>
      <c r="CZ40" s="375">
        <v>0</v>
      </c>
      <c r="DA40" s="375">
        <f t="shared" si="54"/>
        <v>0</v>
      </c>
      <c r="DB40" s="375">
        <v>1</v>
      </c>
      <c r="DC40" s="375">
        <f t="shared" si="55"/>
        <v>1</v>
      </c>
      <c r="DD40" s="375">
        <f t="shared" si="94"/>
        <v>2.5</v>
      </c>
      <c r="DE40" s="376">
        <f t="shared" si="57"/>
        <v>33.5</v>
      </c>
      <c r="DF40" s="373">
        <f t="shared" si="58"/>
        <v>15.31475347222222</v>
      </c>
      <c r="DG40" s="374" t="str">
        <f t="shared" si="59"/>
        <v>(1.42)</v>
      </c>
      <c r="DH40" s="375">
        <v>2</v>
      </c>
      <c r="DI40" s="375">
        <f t="shared" si="60"/>
        <v>1.5</v>
      </c>
      <c r="DJ40" s="375">
        <v>0</v>
      </c>
      <c r="DK40" s="375">
        <f t="shared" si="61"/>
        <v>0</v>
      </c>
      <c r="DL40" s="375">
        <v>1</v>
      </c>
      <c r="DM40" s="375">
        <f t="shared" si="62"/>
        <v>1</v>
      </c>
      <c r="DN40" s="375">
        <f t="shared" si="95"/>
        <v>2.5</v>
      </c>
      <c r="DO40" s="376">
        <f t="shared" si="64"/>
        <v>39.5</v>
      </c>
      <c r="DP40" s="373">
        <f t="shared" si="65"/>
        <v>17.641045138888884</v>
      </c>
      <c r="DQ40" s="374" t="str">
        <f t="shared" si="66"/>
        <v>(1.64)</v>
      </c>
      <c r="DR40" s="375">
        <v>2</v>
      </c>
      <c r="DS40" s="375">
        <f t="shared" si="67"/>
        <v>1.5</v>
      </c>
      <c r="DT40" s="375">
        <v>0</v>
      </c>
      <c r="DU40" s="375">
        <f t="shared" si="68"/>
        <v>0</v>
      </c>
      <c r="DV40" s="375">
        <v>1</v>
      </c>
      <c r="DW40" s="375">
        <f t="shared" si="69"/>
        <v>1</v>
      </c>
      <c r="DX40" s="375">
        <f t="shared" si="96"/>
        <v>2.5</v>
      </c>
      <c r="DY40" s="376">
        <f t="shared" si="71"/>
        <v>45.5</v>
      </c>
      <c r="DZ40" s="373">
        <f t="shared" si="72"/>
        <v>19.967336805555551</v>
      </c>
      <c r="EA40" s="374" t="str">
        <f t="shared" si="97"/>
        <v>(1.86)</v>
      </c>
      <c r="EB40" s="375">
        <v>2</v>
      </c>
      <c r="EC40" s="375">
        <f t="shared" si="74"/>
        <v>1.5</v>
      </c>
      <c r="ED40" s="375">
        <v>0</v>
      </c>
      <c r="EE40" s="375">
        <f t="shared" si="75"/>
        <v>0</v>
      </c>
      <c r="EF40" s="375">
        <v>1</v>
      </c>
      <c r="EG40" s="375">
        <f t="shared" si="76"/>
        <v>1</v>
      </c>
      <c r="EH40" s="375">
        <f t="shared" si="98"/>
        <v>2.5</v>
      </c>
      <c r="EI40" s="376">
        <f t="shared" si="78"/>
        <v>51.5</v>
      </c>
      <c r="EJ40" s="373">
        <f t="shared" si="79"/>
        <v>22.293628472222217</v>
      </c>
      <c r="EK40" s="374" t="str">
        <f t="shared" si="104"/>
        <v>(2.07)</v>
      </c>
      <c r="EL40" s="22">
        <v>2</v>
      </c>
      <c r="EM40" s="22">
        <f t="shared" si="81"/>
        <v>1.5</v>
      </c>
      <c r="EN40" s="22">
        <v>0</v>
      </c>
      <c r="EO40" s="22">
        <f t="shared" si="82"/>
        <v>0</v>
      </c>
      <c r="EP40" s="22">
        <v>1</v>
      </c>
      <c r="EQ40" s="22">
        <f t="shared" si="83"/>
        <v>1</v>
      </c>
      <c r="ER40" s="22">
        <f t="shared" si="100"/>
        <v>2.5</v>
      </c>
      <c r="ES40" s="23">
        <f t="shared" si="85"/>
        <v>57.5</v>
      </c>
      <c r="ET40" s="202"/>
      <c r="EU40" s="203"/>
      <c r="EV40" s="204"/>
      <c r="EW40" s="204"/>
      <c r="EX40" s="204"/>
      <c r="EY40" s="204"/>
      <c r="EZ40" s="204"/>
      <c r="FA40" s="204"/>
      <c r="FB40" s="204"/>
      <c r="FC40" s="205"/>
      <c r="FD40" s="202"/>
      <c r="FE40" s="203"/>
      <c r="FF40" s="204"/>
      <c r="FG40" s="204"/>
      <c r="FH40" s="204"/>
      <c r="FI40" s="204"/>
      <c r="FJ40" s="204"/>
      <c r="FK40" s="204"/>
      <c r="FL40" s="204"/>
      <c r="FM40" s="205"/>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5">
        <v>56</v>
      </c>
      <c r="IR40" s="26">
        <v>0</v>
      </c>
      <c r="IS40" s="26">
        <v>1.0069999999999999</v>
      </c>
      <c r="IT40" s="26">
        <v>0.44600000000000001</v>
      </c>
      <c r="IU40" s="26">
        <v>0.75</v>
      </c>
      <c r="IV40" s="26">
        <v>1</v>
      </c>
      <c r="IW40" s="26">
        <v>0</v>
      </c>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101"/>
        <v>120</v>
      </c>
      <c r="AV41" s="28" t="str">
        <f t="shared" si="86"/>
        <v>(3050)</v>
      </c>
      <c r="AW41" s="19">
        <f t="shared" si="102"/>
        <v>26</v>
      </c>
      <c r="AX41" s="20">
        <f t="shared" si="16"/>
        <v>2.2478194444444437</v>
      </c>
      <c r="AY41" s="29" t="str">
        <f>"("&amp;FIXED(AX41*0.092903,2)&amp;")"</f>
        <v>(0.21)</v>
      </c>
      <c r="AZ41" s="22">
        <v>2</v>
      </c>
      <c r="BA41" s="22">
        <f t="shared" si="18"/>
        <v>1.5</v>
      </c>
      <c r="BB41" s="30">
        <v>0</v>
      </c>
      <c r="BC41" s="22">
        <f t="shared" si="19"/>
        <v>0</v>
      </c>
      <c r="BD41" s="30">
        <v>0</v>
      </c>
      <c r="BE41" s="22">
        <f t="shared" si="20"/>
        <v>0</v>
      </c>
      <c r="BF41" s="22">
        <f t="shared" si="88"/>
        <v>1.5</v>
      </c>
      <c r="BG41" s="23">
        <f t="shared" si="22"/>
        <v>5.5</v>
      </c>
      <c r="BH41" s="373">
        <f t="shared" si="23"/>
        <v>4.2912916666666661</v>
      </c>
      <c r="BI41" s="374" t="str">
        <f>"("&amp;FIXED(BH41*0.092903,2)&amp;")"</f>
        <v>(0.40)</v>
      </c>
      <c r="BJ41" s="375">
        <v>2</v>
      </c>
      <c r="BK41" s="375">
        <f t="shared" si="25"/>
        <v>1.5</v>
      </c>
      <c r="BL41" s="375">
        <v>0</v>
      </c>
      <c r="BM41" s="375">
        <f t="shared" si="26"/>
        <v>0</v>
      </c>
      <c r="BN41" s="375">
        <v>0</v>
      </c>
      <c r="BO41" s="375">
        <f t="shared" si="27"/>
        <v>0</v>
      </c>
      <c r="BP41" s="375">
        <f t="shared" si="90"/>
        <v>1.5</v>
      </c>
      <c r="BQ41" s="376">
        <f t="shared" si="29"/>
        <v>10.5</v>
      </c>
      <c r="BR41" s="373">
        <f t="shared" si="30"/>
        <v>6.7434583333333329</v>
      </c>
      <c r="BS41" s="374" t="str">
        <f t="shared" si="31"/>
        <v>(0.63)</v>
      </c>
      <c r="BT41" s="375">
        <v>2</v>
      </c>
      <c r="BU41" s="375">
        <f t="shared" si="32"/>
        <v>1.5</v>
      </c>
      <c r="BV41" s="375">
        <v>0</v>
      </c>
      <c r="BW41" s="375">
        <f t="shared" si="33"/>
        <v>0</v>
      </c>
      <c r="BX41" s="375">
        <v>0</v>
      </c>
      <c r="BY41" s="375">
        <f t="shared" si="34"/>
        <v>0</v>
      </c>
      <c r="BZ41" s="375">
        <f t="shared" si="91"/>
        <v>1.5</v>
      </c>
      <c r="CA41" s="376">
        <f t="shared" si="36"/>
        <v>16.5</v>
      </c>
      <c r="CB41" s="373">
        <f t="shared" si="37"/>
        <v>9.1956249999999997</v>
      </c>
      <c r="CC41" s="374" t="str">
        <f t="shared" si="38"/>
        <v>(0.85)</v>
      </c>
      <c r="CD41" s="375">
        <v>2</v>
      </c>
      <c r="CE41" s="375">
        <f t="shared" si="39"/>
        <v>1.5</v>
      </c>
      <c r="CF41" s="375">
        <v>0</v>
      </c>
      <c r="CG41" s="375">
        <f t="shared" si="40"/>
        <v>0</v>
      </c>
      <c r="CH41" s="375">
        <v>0</v>
      </c>
      <c r="CI41" s="375">
        <f t="shared" si="41"/>
        <v>0</v>
      </c>
      <c r="CJ41" s="375">
        <f t="shared" si="92"/>
        <v>1.5</v>
      </c>
      <c r="CK41" s="376">
        <f t="shared" si="43"/>
        <v>22.5</v>
      </c>
      <c r="CL41" s="373">
        <f t="shared" si="44"/>
        <v>11.23909722222222</v>
      </c>
      <c r="CM41" s="374" t="str">
        <f t="shared" si="45"/>
        <v>(1.04)</v>
      </c>
      <c r="CN41" s="375">
        <v>2</v>
      </c>
      <c r="CO41" s="375">
        <f t="shared" si="46"/>
        <v>1.5</v>
      </c>
      <c r="CP41" s="375">
        <v>0</v>
      </c>
      <c r="CQ41" s="375">
        <f t="shared" si="47"/>
        <v>0</v>
      </c>
      <c r="CR41" s="375">
        <v>1</v>
      </c>
      <c r="CS41" s="375">
        <f t="shared" si="48"/>
        <v>1</v>
      </c>
      <c r="CT41" s="375">
        <f t="shared" si="93"/>
        <v>2.5</v>
      </c>
      <c r="CU41" s="376">
        <f t="shared" si="50"/>
        <v>27.5</v>
      </c>
      <c r="CV41" s="373">
        <f t="shared" si="51"/>
        <v>13.691263888888887</v>
      </c>
      <c r="CW41" s="374" t="str">
        <f t="shared" si="52"/>
        <v>(1.27)</v>
      </c>
      <c r="CX41" s="375">
        <v>2</v>
      </c>
      <c r="CY41" s="375">
        <f t="shared" si="53"/>
        <v>1.5</v>
      </c>
      <c r="CZ41" s="375">
        <v>0</v>
      </c>
      <c r="DA41" s="375">
        <f t="shared" si="54"/>
        <v>0</v>
      </c>
      <c r="DB41" s="375">
        <v>1</v>
      </c>
      <c r="DC41" s="375">
        <f t="shared" si="55"/>
        <v>1</v>
      </c>
      <c r="DD41" s="375">
        <f t="shared" si="94"/>
        <v>2.5</v>
      </c>
      <c r="DE41" s="376">
        <f t="shared" si="57"/>
        <v>33.5</v>
      </c>
      <c r="DF41" s="373">
        <f t="shared" si="58"/>
        <v>16.143430555555554</v>
      </c>
      <c r="DG41" s="374" t="str">
        <f t="shared" si="59"/>
        <v>(1.5)</v>
      </c>
      <c r="DH41" s="375">
        <v>2</v>
      </c>
      <c r="DI41" s="375">
        <f t="shared" si="60"/>
        <v>1.5</v>
      </c>
      <c r="DJ41" s="375">
        <v>0</v>
      </c>
      <c r="DK41" s="375">
        <f t="shared" si="61"/>
        <v>0</v>
      </c>
      <c r="DL41" s="375">
        <v>1</v>
      </c>
      <c r="DM41" s="375">
        <f t="shared" si="62"/>
        <v>1</v>
      </c>
      <c r="DN41" s="375">
        <f t="shared" si="95"/>
        <v>2.5</v>
      </c>
      <c r="DO41" s="376">
        <f t="shared" si="64"/>
        <v>39.5</v>
      </c>
      <c r="DP41" s="373">
        <f t="shared" si="65"/>
        <v>18.595597222222221</v>
      </c>
      <c r="DQ41" s="374" t="str">
        <f t="shared" si="66"/>
        <v>(1.73)</v>
      </c>
      <c r="DR41" s="375">
        <v>2</v>
      </c>
      <c r="DS41" s="375">
        <f t="shared" si="67"/>
        <v>1.5</v>
      </c>
      <c r="DT41" s="375">
        <v>0</v>
      </c>
      <c r="DU41" s="375">
        <f t="shared" si="68"/>
        <v>0</v>
      </c>
      <c r="DV41" s="375">
        <v>1</v>
      </c>
      <c r="DW41" s="375">
        <f t="shared" si="69"/>
        <v>1</v>
      </c>
      <c r="DX41" s="375">
        <f t="shared" si="96"/>
        <v>2.5</v>
      </c>
      <c r="DY41" s="376">
        <f t="shared" si="71"/>
        <v>45.5</v>
      </c>
      <c r="DZ41" s="373">
        <f t="shared" si="72"/>
        <v>21.047763888888884</v>
      </c>
      <c r="EA41" s="374" t="str">
        <f>"("&amp;FIXED(DZ41*0.092903,2)&amp;")"</f>
        <v>(1.96)</v>
      </c>
      <c r="EB41" s="375">
        <v>2</v>
      </c>
      <c r="EC41" s="375">
        <f t="shared" si="74"/>
        <v>1.5</v>
      </c>
      <c r="ED41" s="375">
        <v>0</v>
      </c>
      <c r="EE41" s="375">
        <f t="shared" si="75"/>
        <v>0</v>
      </c>
      <c r="EF41" s="375">
        <v>1</v>
      </c>
      <c r="EG41" s="375">
        <f t="shared" si="76"/>
        <v>1</v>
      </c>
      <c r="EH41" s="375">
        <f t="shared" si="98"/>
        <v>2.5</v>
      </c>
      <c r="EI41" s="376">
        <f t="shared" si="78"/>
        <v>51.5</v>
      </c>
      <c r="EJ41" s="373">
        <f t="shared" si="79"/>
        <v>23.499930555555551</v>
      </c>
      <c r="EK41" s="374" t="str">
        <f>"("&amp;FIXED(EJ41*0.092903,2)&amp;")"</f>
        <v>(2.18)</v>
      </c>
      <c r="EL41" s="22">
        <v>2</v>
      </c>
      <c r="EM41" s="22">
        <f t="shared" si="81"/>
        <v>1.5</v>
      </c>
      <c r="EN41" s="30">
        <v>0</v>
      </c>
      <c r="EO41" s="22">
        <f t="shared" si="82"/>
        <v>0</v>
      </c>
      <c r="EP41" s="30">
        <v>1</v>
      </c>
      <c r="EQ41" s="22">
        <f t="shared" si="83"/>
        <v>1</v>
      </c>
      <c r="ER41" s="22">
        <f t="shared" si="100"/>
        <v>2.5</v>
      </c>
      <c r="ES41" s="23">
        <f t="shared" si="85"/>
        <v>57.5</v>
      </c>
      <c r="ET41" s="202"/>
      <c r="EU41" s="203"/>
      <c r="EV41" s="204"/>
      <c r="EW41" s="204"/>
      <c r="EX41" s="204"/>
      <c r="EY41" s="204"/>
      <c r="EZ41" s="204"/>
      <c r="FA41" s="204"/>
      <c r="FB41" s="204"/>
      <c r="FC41" s="205"/>
      <c r="FD41" s="202"/>
      <c r="FE41" s="203"/>
      <c r="FF41" s="204"/>
      <c r="FG41" s="204"/>
      <c r="FH41" s="204"/>
      <c r="FI41" s="204"/>
      <c r="FJ41" s="204"/>
      <c r="FK41" s="204"/>
      <c r="FL41" s="204"/>
      <c r="FM41" s="205"/>
      <c r="FN41" s="31"/>
      <c r="FO41" s="31"/>
      <c r="FP41" s="32"/>
      <c r="FQ41" s="32"/>
      <c r="FR41" s="34"/>
      <c r="FS41" s="32"/>
      <c r="FT41" s="34"/>
      <c r="FU41" s="32"/>
      <c r="FV41" s="31"/>
      <c r="FW41" s="31"/>
      <c r="FX41" s="31"/>
      <c r="FY41" s="31"/>
      <c r="FZ41" s="31"/>
      <c r="GA41" s="31"/>
      <c r="GB41" s="31"/>
      <c r="GC41" s="31"/>
      <c r="GD41" s="31"/>
      <c r="GE41" s="31"/>
      <c r="GF41" s="31"/>
      <c r="GG41" s="31"/>
      <c r="GH41" s="31"/>
      <c r="GI41" s="31"/>
      <c r="GJ41" s="32"/>
      <c r="GK41" s="32"/>
      <c r="GL41" s="34"/>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4"/>
      <c r="HQ41" s="32"/>
      <c r="HR41" s="32"/>
      <c r="HS41" s="32"/>
      <c r="HT41" s="32"/>
      <c r="HU41" s="32"/>
      <c r="HV41" s="32"/>
      <c r="HW41" s="32"/>
      <c r="HX41" s="32"/>
      <c r="HY41" s="32"/>
      <c r="HZ41" s="32"/>
      <c r="IA41" s="32"/>
      <c r="IB41" s="32"/>
      <c r="IC41" s="32"/>
      <c r="ID41" s="32"/>
      <c r="IE41" s="32"/>
      <c r="IF41" s="31"/>
      <c r="IG41" s="31"/>
      <c r="IH41" s="32"/>
      <c r="II41" s="32"/>
      <c r="IJ41" s="34"/>
      <c r="IK41" s="32"/>
      <c r="IL41" s="32"/>
      <c r="IM41" s="32"/>
      <c r="IN41" s="33"/>
      <c r="IO41" s="33"/>
      <c r="IP41" s="33"/>
      <c r="IQ41" s="25">
        <v>59</v>
      </c>
      <c r="IR41" s="26">
        <v>0</v>
      </c>
      <c r="IS41" s="26">
        <v>1.0069999999999999</v>
      </c>
      <c r="IT41" s="26">
        <v>0.44600000000000001</v>
      </c>
      <c r="IU41" s="26">
        <v>0.75</v>
      </c>
      <c r="IV41" s="26">
        <v>1</v>
      </c>
      <c r="IW41" s="26">
        <v>0</v>
      </c>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c r="BF44" s="196"/>
      <c r="BG44" s="196"/>
      <c r="BH44" s="196"/>
      <c r="BI44" s="196"/>
      <c r="BJ44" s="196"/>
      <c r="BK44" s="196"/>
      <c r="BL44" s="196"/>
      <c r="BM44" s="196"/>
      <c r="BN44" s="195"/>
      <c r="BO44" s="196"/>
      <c r="BP44" s="196"/>
      <c r="BQ44" s="196"/>
      <c r="BR44" s="196"/>
      <c r="BS44" s="196"/>
      <c r="BT44" s="196"/>
      <c r="BU44" s="196"/>
      <c r="BV44" s="196"/>
      <c r="BW44" s="196"/>
      <c r="BX44" s="195"/>
      <c r="BY44" s="196"/>
      <c r="BZ44" s="196"/>
      <c r="CA44" s="196"/>
      <c r="CB44" s="196"/>
      <c r="CC44" s="196"/>
      <c r="CD44" s="196"/>
      <c r="CE44" s="196"/>
      <c r="CF44" s="196"/>
      <c r="CG44" s="196"/>
      <c r="CH44" s="195"/>
      <c r="CI44" s="196"/>
      <c r="CJ44" s="196"/>
      <c r="CK44" s="196"/>
      <c r="CL44" s="196"/>
      <c r="CM44" s="196"/>
      <c r="CN44" s="196"/>
      <c r="CO44" s="196"/>
      <c r="CP44" s="196"/>
      <c r="CQ44" s="196"/>
      <c r="CR44" s="195"/>
      <c r="CS44" s="196"/>
      <c r="CT44" s="196"/>
      <c r="CU44" s="196"/>
      <c r="CV44" s="196"/>
      <c r="CW44" s="196"/>
      <c r="CX44" s="196"/>
      <c r="CY44" s="196"/>
      <c r="CZ44" s="196"/>
      <c r="DA44" s="196"/>
      <c r="DB44" s="195"/>
      <c r="DC44" s="196"/>
      <c r="DD44" s="196"/>
      <c r="DE44" s="196"/>
      <c r="DF44" s="196"/>
      <c r="DG44" s="196"/>
      <c r="DH44" s="196"/>
      <c r="DI44" s="196"/>
      <c r="DJ44" s="196"/>
      <c r="DK44" s="196"/>
      <c r="DL44" s="195"/>
      <c r="DM44" s="196"/>
      <c r="DN44" s="196"/>
      <c r="DO44" s="196"/>
      <c r="DP44" s="196"/>
      <c r="DQ44" s="196"/>
      <c r="DR44" s="196"/>
      <c r="DS44" s="196"/>
      <c r="DT44" s="196"/>
      <c r="DU44" s="196"/>
      <c r="DV44" s="195"/>
      <c r="DW44" s="196"/>
      <c r="DX44" s="196"/>
      <c r="DY44" s="196"/>
      <c r="DZ44" s="196"/>
      <c r="EA44" s="196"/>
      <c r="EB44" s="196"/>
      <c r="EC44" s="196"/>
      <c r="ED44" s="196"/>
      <c r="EE44" s="196"/>
      <c r="EF44" s="195"/>
      <c r="EG44" s="196"/>
      <c r="EH44" s="196"/>
      <c r="EI44" s="196"/>
      <c r="EJ44" s="196"/>
      <c r="EK44" s="196"/>
      <c r="EL44" s="196"/>
      <c r="EM44" s="196"/>
      <c r="EN44" s="196"/>
      <c r="EO44" s="196"/>
      <c r="EP44" s="195"/>
      <c r="EQ44" s="196"/>
      <c r="ER44" s="196"/>
      <c r="ES44" s="196"/>
      <c r="ET44" s="196"/>
      <c r="EU44" s="196"/>
      <c r="EV44" s="196"/>
      <c r="EW44" s="196"/>
      <c r="EX44" s="196"/>
      <c r="EY44" s="196"/>
      <c r="EZ44" s="195"/>
      <c r="FA44" s="196"/>
      <c r="FB44" s="196"/>
      <c r="FC44" s="196"/>
      <c r="FD44" s="196"/>
      <c r="FE44" s="196"/>
      <c r="FF44" s="196"/>
      <c r="FG44" s="196"/>
      <c r="FH44" s="196"/>
      <c r="FI44" s="196"/>
      <c r="FJ44" s="195"/>
      <c r="FK44" s="196"/>
      <c r="FL44" s="196"/>
      <c r="FM44" s="196"/>
      <c r="FN44" s="196"/>
      <c r="FO44" s="196"/>
      <c r="FP44" s="196"/>
      <c r="FQ44" s="196"/>
      <c r="FR44" s="196"/>
      <c r="FS44" s="196"/>
      <c r="FT44" s="195"/>
      <c r="FU44" s="196"/>
      <c r="FV44" s="196"/>
      <c r="FW44" s="196"/>
      <c r="FX44" s="196"/>
      <c r="FY44" s="196"/>
      <c r="FZ44" s="196"/>
      <c r="GA44" s="196"/>
      <c r="GB44" s="196"/>
      <c r="GC44" s="196"/>
      <c r="GD44" s="195"/>
      <c r="GE44" s="196"/>
      <c r="GF44" s="196"/>
      <c r="GG44" s="196"/>
      <c r="GH44" s="196"/>
      <c r="GI44" s="196"/>
      <c r="GJ44" s="196"/>
      <c r="GK44" s="196"/>
      <c r="GL44" s="196"/>
      <c r="GM44" s="196"/>
      <c r="GN44" s="195"/>
      <c r="GO44" s="196"/>
      <c r="GP44" s="196"/>
      <c r="GQ44" s="196"/>
      <c r="GR44" s="196"/>
      <c r="GS44" s="196"/>
      <c r="GT44" s="196"/>
      <c r="GU44" s="196"/>
      <c r="GV44" s="337"/>
      <c r="GW44" s="337"/>
      <c r="GX44" s="337"/>
      <c r="GY44" s="337"/>
      <c r="GZ44" s="337"/>
      <c r="HA44" s="337"/>
      <c r="HB44" s="337"/>
      <c r="HC44" s="337"/>
      <c r="HD44" s="337"/>
      <c r="HE44" s="337"/>
      <c r="HF44" s="337"/>
    </row>
    <row r="45" spans="2:258" ht="19.5" thickBot="1" x14ac:dyDescent="0.35">
      <c r="B45" s="272" t="s">
        <v>41</v>
      </c>
      <c r="C45" s="147" t="e">
        <f>C9</f>
        <v>#VALUE!</v>
      </c>
      <c r="D45" s="73"/>
      <c r="E45" s="73"/>
      <c r="F45" s="73"/>
      <c r="G45" s="73"/>
      <c r="H45" s="73"/>
      <c r="I45" s="73"/>
      <c r="J45" s="73"/>
      <c r="K45" s="73"/>
      <c r="L45" s="273"/>
      <c r="N45" s="881" t="s">
        <v>191</v>
      </c>
      <c r="O45" s="151"/>
      <c r="P45" s="95"/>
      <c r="Q45" s="251">
        <v>7</v>
      </c>
      <c r="R45" s="157">
        <v>12</v>
      </c>
      <c r="S45" s="157">
        <f t="shared" ref="S45:AJ45" si="105">R45+6</f>
        <v>18</v>
      </c>
      <c r="T45" s="157">
        <f t="shared" si="105"/>
        <v>24</v>
      </c>
      <c r="U45" s="157">
        <f t="shared" si="105"/>
        <v>30</v>
      </c>
      <c r="V45" s="157">
        <f t="shared" si="105"/>
        <v>36</v>
      </c>
      <c r="W45" s="157">
        <f t="shared" si="105"/>
        <v>42</v>
      </c>
      <c r="X45" s="157">
        <f t="shared" si="105"/>
        <v>48</v>
      </c>
      <c r="Y45" s="157">
        <f t="shared" si="105"/>
        <v>54</v>
      </c>
      <c r="Z45" s="157">
        <f t="shared" si="105"/>
        <v>60</v>
      </c>
      <c r="AA45" s="157">
        <f t="shared" si="105"/>
        <v>66</v>
      </c>
      <c r="AB45" s="157">
        <f t="shared" si="105"/>
        <v>72</v>
      </c>
      <c r="AC45" s="157">
        <f t="shared" si="105"/>
        <v>78</v>
      </c>
      <c r="AD45" s="157">
        <f t="shared" si="105"/>
        <v>84</v>
      </c>
      <c r="AE45" s="157">
        <f t="shared" si="105"/>
        <v>90</v>
      </c>
      <c r="AF45" s="157">
        <f t="shared" si="105"/>
        <v>96</v>
      </c>
      <c r="AG45" s="157">
        <f t="shared" si="105"/>
        <v>102</v>
      </c>
      <c r="AH45" s="157">
        <f t="shared" si="105"/>
        <v>108</v>
      </c>
      <c r="AI45" s="157">
        <f t="shared" si="105"/>
        <v>114</v>
      </c>
      <c r="AJ45" s="157">
        <f t="shared" si="105"/>
        <v>120</v>
      </c>
      <c r="AK45" s="150"/>
      <c r="AL45" s="150"/>
      <c r="AM45" s="150"/>
      <c r="AN45" s="150"/>
      <c r="AO45" s="150"/>
      <c r="AP45" s="150"/>
      <c r="AQ45" s="158"/>
    </row>
    <row r="46" spans="2:258" ht="18.75" customHeight="1" thickBot="1" x14ac:dyDescent="0.35">
      <c r="B46" s="228" t="s">
        <v>42</v>
      </c>
      <c r="C46" s="148" t="e">
        <f>F9</f>
        <v>#VALUE!</v>
      </c>
      <c r="E46" s="71"/>
      <c r="F46" s="71"/>
      <c r="G46" s="71"/>
      <c r="H46" s="71"/>
      <c r="I46" s="71"/>
      <c r="J46" s="71"/>
      <c r="K46" s="71"/>
      <c r="L46" s="75"/>
      <c r="N46" s="882"/>
      <c r="O46" s="67"/>
      <c r="P46" s="300">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15.75" customHeight="1" thickBot="1" x14ac:dyDescent="0.4">
      <c r="B47" s="234" t="s">
        <v>77</v>
      </c>
      <c r="C47" s="71"/>
      <c r="D47" s="71"/>
      <c r="E47" s="71"/>
      <c r="F47" s="71"/>
      <c r="G47" s="71"/>
      <c r="H47" s="71"/>
      <c r="I47" s="71"/>
      <c r="J47" s="71"/>
      <c r="K47" s="71"/>
      <c r="L47" s="75"/>
      <c r="N47" s="250"/>
      <c r="O47" s="251">
        <f>F12</f>
        <v>5.4375</v>
      </c>
      <c r="P47" s="301">
        <v>2</v>
      </c>
      <c r="Q47" s="299">
        <v>0.94</v>
      </c>
      <c r="R47" s="255">
        <v>1.53</v>
      </c>
      <c r="S47" s="255">
        <v>2.23</v>
      </c>
      <c r="T47" s="255">
        <v>2.93</v>
      </c>
      <c r="U47" s="255">
        <v>3.63</v>
      </c>
      <c r="V47" s="255">
        <v>4.33</v>
      </c>
      <c r="W47" s="255">
        <v>5.03</v>
      </c>
      <c r="X47" s="255">
        <v>5.73</v>
      </c>
      <c r="Y47" s="255">
        <v>6.43</v>
      </c>
      <c r="Z47" s="255">
        <v>7.13</v>
      </c>
      <c r="AA47" s="238"/>
      <c r="AB47" s="338"/>
      <c r="AC47" s="338"/>
      <c r="AD47" s="338"/>
      <c r="AE47" s="338"/>
      <c r="AF47" s="338"/>
      <c r="AG47" s="338"/>
      <c r="AH47" s="338"/>
      <c r="AI47" s="338"/>
      <c r="AJ47" s="338"/>
      <c r="AK47" s="150"/>
      <c r="AL47" s="150"/>
      <c r="AM47" s="150"/>
      <c r="AN47" s="150"/>
      <c r="AO47" s="150"/>
      <c r="AP47" s="150"/>
      <c r="AQ47" s="158"/>
    </row>
    <row r="48" spans="2:258" ht="15" customHeight="1" thickBot="1" x14ac:dyDescent="0.3">
      <c r="B48" s="78"/>
      <c r="D48" s="71"/>
      <c r="E48" s="71"/>
      <c r="F48" s="71"/>
      <c r="G48" s="71"/>
      <c r="H48" s="71"/>
      <c r="I48" s="71"/>
      <c r="J48" s="71"/>
      <c r="K48" s="71"/>
      <c r="L48" s="75"/>
      <c r="N48" s="176">
        <v>1.1200000000000001</v>
      </c>
      <c r="O48" s="162">
        <v>12</v>
      </c>
      <c r="P48" s="302">
        <v>3</v>
      </c>
      <c r="Q48" s="336">
        <v>1.71</v>
      </c>
      <c r="R48" s="153">
        <v>2.64</v>
      </c>
      <c r="S48" s="153">
        <v>3.75</v>
      </c>
      <c r="T48" s="153">
        <v>4.87</v>
      </c>
      <c r="U48" s="153">
        <f t="shared" ref="U48:Y49" si="106">T48+$N48</f>
        <v>5.99</v>
      </c>
      <c r="V48" s="153">
        <f t="shared" si="106"/>
        <v>7.11</v>
      </c>
      <c r="W48" s="153">
        <f t="shared" si="106"/>
        <v>8.23</v>
      </c>
      <c r="X48" s="153">
        <f t="shared" si="106"/>
        <v>9.3500000000000014</v>
      </c>
      <c r="Y48" s="153">
        <f t="shared" si="106"/>
        <v>10.470000000000002</v>
      </c>
      <c r="Z48" s="153">
        <v>11.55</v>
      </c>
      <c r="AA48" s="206"/>
      <c r="AB48" s="206"/>
      <c r="AC48" s="206"/>
      <c r="AD48" s="206"/>
      <c r="AE48" s="206"/>
      <c r="AF48" s="206"/>
      <c r="AG48" s="206"/>
      <c r="AH48" s="206"/>
      <c r="AI48" s="206"/>
      <c r="AJ48" s="206"/>
      <c r="AK48" s="64"/>
      <c r="AL48" s="154"/>
      <c r="AM48" s="154" t="e">
        <f>D51</f>
        <v>#VALUE!</v>
      </c>
      <c r="AN48" s="155" t="e">
        <f>C45</f>
        <v>#VALUE!</v>
      </c>
      <c r="AO48" s="154" t="e">
        <f>E51</f>
        <v>#VALUE!</v>
      </c>
      <c r="AP48" s="64"/>
      <c r="AQ48" s="65"/>
      <c r="CL48" s="83"/>
      <c r="CM48" s="83"/>
      <c r="CN48" s="83"/>
      <c r="CO48" s="83"/>
      <c r="CP48" s="83"/>
      <c r="CQ48" s="83"/>
      <c r="CR48" s="83"/>
      <c r="CS48" s="83"/>
    </row>
    <row r="49" spans="2:89" ht="15" customHeight="1" thickBot="1" x14ac:dyDescent="0.3">
      <c r="B49" s="78"/>
      <c r="C49" s="124"/>
      <c r="D49" s="125" t="s">
        <v>35</v>
      </c>
      <c r="E49" s="126"/>
      <c r="F49" s="126"/>
      <c r="G49" s="128"/>
      <c r="H49" s="125" t="s">
        <v>36</v>
      </c>
      <c r="I49" s="127"/>
      <c r="J49" s="71"/>
      <c r="K49" s="71"/>
      <c r="L49" s="75"/>
      <c r="N49" s="103">
        <v>1.53</v>
      </c>
      <c r="O49" s="162">
        <f t="shared" ref="O49:O66" si="107">O48+6</f>
        <v>18</v>
      </c>
      <c r="P49" s="302">
        <v>4</v>
      </c>
      <c r="Q49" s="336">
        <v>2.44</v>
      </c>
      <c r="R49" s="153">
        <v>3.72</v>
      </c>
      <c r="S49" s="153">
        <v>5.24</v>
      </c>
      <c r="T49" s="153">
        <v>6.77</v>
      </c>
      <c r="U49" s="153">
        <f t="shared" si="106"/>
        <v>8.2999999999999989</v>
      </c>
      <c r="V49" s="153">
        <f t="shared" si="106"/>
        <v>9.8299999999999983</v>
      </c>
      <c r="W49" s="153">
        <f t="shared" si="106"/>
        <v>11.359999999999998</v>
      </c>
      <c r="X49" s="153">
        <f t="shared" si="106"/>
        <v>12.889999999999997</v>
      </c>
      <c r="Y49" s="153">
        <f t="shared" si="106"/>
        <v>14.419999999999996</v>
      </c>
      <c r="Z49" s="153">
        <v>15.94</v>
      </c>
      <c r="AA49" s="206"/>
      <c r="AB49" s="206"/>
      <c r="AC49" s="206"/>
      <c r="AD49" s="206"/>
      <c r="AE49" s="206"/>
      <c r="AF49" s="206"/>
      <c r="AG49" s="206"/>
      <c r="AH49" s="206"/>
      <c r="AI49" s="206"/>
      <c r="AJ49" s="206"/>
      <c r="AK49" s="96"/>
      <c r="AL49" s="154" t="e">
        <f>H51</f>
        <v>#VALUE!</v>
      </c>
      <c r="AM49" s="155" t="e">
        <f>INDEX(P46:AJ66,$H$52,$D$52)</f>
        <v>#VALUE!</v>
      </c>
      <c r="AN49" s="155" t="e">
        <f>(((AN48-AM48)/(AO48-AM48))*(AO49-AM49))+AM49</f>
        <v>#VALUE!</v>
      </c>
      <c r="AO49" s="155" t="e">
        <f>INDEX(P46:AJ66,$H$52,$E$52)</f>
        <v>#VALUE!</v>
      </c>
      <c r="AP49" s="64"/>
      <c r="AQ49" s="65"/>
    </row>
    <row r="50" spans="2:89" ht="16.5" thickBot="1" x14ac:dyDescent="0.3">
      <c r="B50" s="78"/>
      <c r="C50" s="120"/>
      <c r="D50" s="121" t="s">
        <v>78</v>
      </c>
      <c r="E50" s="122" t="s">
        <v>79</v>
      </c>
      <c r="F50" s="122"/>
      <c r="G50" s="129"/>
      <c r="H50" s="121" t="s">
        <v>78</v>
      </c>
      <c r="I50" s="123" t="s">
        <v>79</v>
      </c>
      <c r="J50" s="71"/>
      <c r="K50" s="71"/>
      <c r="L50" s="75"/>
      <c r="N50" s="103">
        <v>1.94</v>
      </c>
      <c r="O50" s="162">
        <f t="shared" si="107"/>
        <v>24</v>
      </c>
      <c r="P50" s="302">
        <v>5</v>
      </c>
      <c r="Q50" s="336">
        <v>3.18</v>
      </c>
      <c r="R50" s="153">
        <v>4.46</v>
      </c>
      <c r="S50" s="153">
        <v>6.74</v>
      </c>
      <c r="T50" s="153">
        <v>8.68</v>
      </c>
      <c r="U50" s="153">
        <v>10.62</v>
      </c>
      <c r="V50" s="153">
        <v>12.56</v>
      </c>
      <c r="W50" s="153">
        <f t="shared" ref="W50:Y66" si="108">V50+$N50</f>
        <v>14.5</v>
      </c>
      <c r="X50" s="153">
        <f t="shared" si="108"/>
        <v>16.440000000000001</v>
      </c>
      <c r="Y50" s="153">
        <f t="shared" si="108"/>
        <v>18.380000000000003</v>
      </c>
      <c r="Z50" s="153">
        <v>20.329999999999998</v>
      </c>
      <c r="AA50" s="206"/>
      <c r="AB50" s="206"/>
      <c r="AC50" s="206"/>
      <c r="AD50" s="206"/>
      <c r="AE50" s="206"/>
      <c r="AF50" s="206"/>
      <c r="AG50" s="206"/>
      <c r="AH50" s="206"/>
      <c r="AI50" s="206"/>
      <c r="AJ50" s="206"/>
      <c r="AK50" s="64"/>
      <c r="AL50" s="154" t="e">
        <f>C46</f>
        <v>#VALUE!</v>
      </c>
      <c r="AM50" s="155" t="e">
        <f>(((AL50-AL49)/(AL51-AL49))*(AM51-AM49))+AM49</f>
        <v>#VALUE!</v>
      </c>
      <c r="AN50" s="156" t="e">
        <f>IF(AND(AN48&gt;72,AL50&gt;72),5/0,IF(AN48=120,AM50,(((AN49-AM49)/(AO49-AM49))*(AO50-AM50))+AM50))</f>
        <v>#VALUE!</v>
      </c>
      <c r="AO50" s="155" t="e">
        <f>(((AL50-AL49)/(AL51-AL49))*(AO51-AO49))+AO49</f>
        <v>#VALUE!</v>
      </c>
      <c r="AP50" s="64"/>
      <c r="AQ50" s="65"/>
    </row>
    <row r="51" spans="2:89" ht="16.5" thickBot="1" x14ac:dyDescent="0.3">
      <c r="B51" s="78"/>
      <c r="C51" s="118"/>
      <c r="D51" s="116" t="e">
        <f>IF(AND(C45&lt;12,C45&gt;=7),7,FLOOR(C45/6,1)*6)</f>
        <v>#VALUE!</v>
      </c>
      <c r="E51" s="112" t="e">
        <f>IF(D51&lt;12,12,D51+6)</f>
        <v>#VALUE!</v>
      </c>
      <c r="F51" s="112"/>
      <c r="G51" s="130"/>
      <c r="H51" s="116" t="e">
        <f>IF(AND(C46&lt;12,C46&gt;=F12),F12,FLOOR(C46/6,1)*6)</f>
        <v>#VALUE!</v>
      </c>
      <c r="I51" s="113" t="e">
        <f>IF(H51&lt;12,12,H51+6)</f>
        <v>#VALUE!</v>
      </c>
      <c r="J51" s="71"/>
      <c r="K51" s="71"/>
      <c r="L51" s="75"/>
      <c r="N51" s="103">
        <v>2.36</v>
      </c>
      <c r="O51" s="162">
        <f t="shared" si="107"/>
        <v>30</v>
      </c>
      <c r="P51" s="302">
        <v>6</v>
      </c>
      <c r="Q51" s="336">
        <v>3.91</v>
      </c>
      <c r="R51" s="153">
        <v>5.88</v>
      </c>
      <c r="S51" s="153">
        <v>8.23</v>
      </c>
      <c r="T51" s="153">
        <v>10.59</v>
      </c>
      <c r="U51" s="153">
        <f t="shared" ref="U51:V55" si="109">T51+$N51</f>
        <v>12.95</v>
      </c>
      <c r="V51" s="153">
        <f t="shared" si="109"/>
        <v>15.309999999999999</v>
      </c>
      <c r="W51" s="153">
        <f t="shared" si="108"/>
        <v>17.669999999999998</v>
      </c>
      <c r="X51" s="153">
        <f t="shared" si="108"/>
        <v>20.029999999999998</v>
      </c>
      <c r="Y51" s="153">
        <f t="shared" si="108"/>
        <v>22.389999999999997</v>
      </c>
      <c r="Z51" s="153">
        <v>24.71</v>
      </c>
      <c r="AA51" s="206"/>
      <c r="AB51" s="206"/>
      <c r="AC51" s="206"/>
      <c r="AD51" s="206"/>
      <c r="AE51" s="206"/>
      <c r="AF51" s="206"/>
      <c r="AG51" s="206"/>
      <c r="AH51" s="206"/>
      <c r="AI51" s="206"/>
      <c r="AJ51" s="206"/>
      <c r="AK51" s="64"/>
      <c r="AL51" s="154" t="e">
        <f>I51</f>
        <v>#VALUE!</v>
      </c>
      <c r="AM51" s="155" t="e">
        <f>INDEX(P46:AJ66,$I$52,$D$52)</f>
        <v>#VALUE!</v>
      </c>
      <c r="AN51" s="155" t="e">
        <f>(((AN48-AM48)/(AO48-AM48))*(AO51-AM51))+AM51</f>
        <v>#VALUE!</v>
      </c>
      <c r="AO51" s="155" t="e">
        <f>INDEX(P46:AJ66,$I$52,$E$52)</f>
        <v>#VALUE!</v>
      </c>
      <c r="AP51" s="64"/>
      <c r="AQ51" s="65"/>
    </row>
    <row r="52" spans="2:89"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2.77</v>
      </c>
      <c r="O52" s="162">
        <f t="shared" si="107"/>
        <v>36</v>
      </c>
      <c r="P52" s="302">
        <v>7</v>
      </c>
      <c r="Q52" s="336">
        <v>4.6500000000000004</v>
      </c>
      <c r="R52" s="153">
        <v>6.96</v>
      </c>
      <c r="S52" s="153">
        <v>9.73</v>
      </c>
      <c r="T52" s="153">
        <v>12.49</v>
      </c>
      <c r="U52" s="153">
        <f t="shared" si="109"/>
        <v>15.26</v>
      </c>
      <c r="V52" s="153">
        <f t="shared" si="109"/>
        <v>18.03</v>
      </c>
      <c r="W52" s="153">
        <f t="shared" si="108"/>
        <v>20.8</v>
      </c>
      <c r="X52" s="153">
        <f t="shared" si="108"/>
        <v>23.57</v>
      </c>
      <c r="Y52" s="153">
        <f t="shared" si="108"/>
        <v>26.34</v>
      </c>
      <c r="Z52" s="153">
        <v>29.1</v>
      </c>
      <c r="AA52" s="206"/>
      <c r="AB52" s="206"/>
      <c r="AC52" s="206"/>
      <c r="AD52" s="206"/>
      <c r="AE52" s="206"/>
      <c r="AF52" s="206"/>
      <c r="AG52" s="206"/>
      <c r="AH52" s="206"/>
      <c r="AI52" s="206"/>
      <c r="AJ52" s="206"/>
      <c r="AK52" s="64"/>
      <c r="AL52" s="64"/>
      <c r="AM52" s="64"/>
      <c r="AN52" s="64"/>
      <c r="AO52" s="64"/>
      <c r="AP52" s="64"/>
      <c r="AQ52" s="65"/>
    </row>
    <row r="53" spans="2:89" ht="24" thickBot="1" x14ac:dyDescent="0.4">
      <c r="B53" s="78"/>
      <c r="C53" s="119"/>
      <c r="D53" s="117"/>
      <c r="E53" s="114"/>
      <c r="F53" s="114"/>
      <c r="G53" s="131"/>
      <c r="H53" s="117"/>
      <c r="I53" s="115"/>
      <c r="J53" s="71"/>
      <c r="K53" s="71"/>
      <c r="L53" s="75"/>
      <c r="N53" s="103">
        <v>3.18</v>
      </c>
      <c r="O53" s="162">
        <f t="shared" si="107"/>
        <v>42</v>
      </c>
      <c r="P53" s="302">
        <v>8</v>
      </c>
      <c r="Q53" s="336">
        <v>5.39</v>
      </c>
      <c r="R53" s="153">
        <v>8.0399999999999991</v>
      </c>
      <c r="S53" s="153">
        <v>11.22</v>
      </c>
      <c r="T53" s="153">
        <v>14.4</v>
      </c>
      <c r="U53" s="153">
        <f t="shared" si="109"/>
        <v>17.580000000000002</v>
      </c>
      <c r="V53" s="153">
        <f t="shared" si="109"/>
        <v>20.76</v>
      </c>
      <c r="W53" s="153">
        <f t="shared" si="108"/>
        <v>23.94</v>
      </c>
      <c r="X53" s="153">
        <f t="shared" si="108"/>
        <v>27.12</v>
      </c>
      <c r="Y53" s="153">
        <f t="shared" si="108"/>
        <v>30.3</v>
      </c>
      <c r="Z53" s="153">
        <v>33.49</v>
      </c>
      <c r="AA53" s="206"/>
      <c r="AB53" s="206"/>
      <c r="AC53" s="206"/>
      <c r="AD53" s="206"/>
      <c r="AE53" s="206"/>
      <c r="AF53" s="206"/>
      <c r="AG53" s="206"/>
      <c r="AH53" s="206"/>
      <c r="AI53" s="206"/>
      <c r="AJ53" s="206"/>
      <c r="AK53" s="64"/>
      <c r="AL53" s="64"/>
      <c r="AM53" s="64"/>
      <c r="AN53" s="64"/>
      <c r="AO53" s="64"/>
      <c r="AP53" s="64"/>
      <c r="AQ53" s="65"/>
      <c r="AS53" s="495"/>
      <c r="AT53" s="496"/>
    </row>
    <row r="54" spans="2:89" ht="15.75" thickBot="1" x14ac:dyDescent="0.3">
      <c r="B54" s="78"/>
      <c r="C54" s="71"/>
      <c r="D54" s="71"/>
      <c r="E54" s="71"/>
      <c r="F54" s="71"/>
      <c r="G54" s="71"/>
      <c r="H54" s="71"/>
      <c r="I54" s="71"/>
      <c r="J54" s="71"/>
      <c r="K54" s="71"/>
      <c r="L54" s="75"/>
      <c r="N54" s="103">
        <v>3.6</v>
      </c>
      <c r="O54" s="162">
        <f t="shared" si="107"/>
        <v>48</v>
      </c>
      <c r="P54" s="302">
        <v>9</v>
      </c>
      <c r="Q54" s="336">
        <v>6.12</v>
      </c>
      <c r="R54" s="153">
        <v>9.1199999999999992</v>
      </c>
      <c r="S54" s="153">
        <v>12.71</v>
      </c>
      <c r="T54" s="153">
        <v>16.309999999999999</v>
      </c>
      <c r="U54" s="153">
        <f t="shared" si="109"/>
        <v>19.91</v>
      </c>
      <c r="V54" s="153">
        <f t="shared" si="109"/>
        <v>23.51</v>
      </c>
      <c r="W54" s="153">
        <f t="shared" si="108"/>
        <v>27.110000000000003</v>
      </c>
      <c r="X54" s="153">
        <f t="shared" si="108"/>
        <v>30.710000000000004</v>
      </c>
      <c r="Y54" s="153">
        <f t="shared" si="108"/>
        <v>34.31</v>
      </c>
      <c r="Z54" s="153">
        <v>37.880000000000003</v>
      </c>
      <c r="AA54" s="206"/>
      <c r="AB54" s="206"/>
      <c r="AC54" s="206"/>
      <c r="AD54" s="206"/>
      <c r="AE54" s="206"/>
      <c r="AF54" s="206"/>
      <c r="AG54" s="206"/>
      <c r="AH54" s="206"/>
      <c r="AI54" s="206"/>
      <c r="AJ54" s="206"/>
      <c r="AK54" s="64"/>
      <c r="AL54" s="64"/>
      <c r="AM54" s="64"/>
      <c r="AN54" s="64"/>
      <c r="AO54" s="64"/>
      <c r="AP54" s="64"/>
      <c r="AQ54" s="65"/>
    </row>
    <row r="55" spans="2:89" ht="21.75" thickBot="1" x14ac:dyDescent="0.4">
      <c r="B55" s="229" t="s">
        <v>71</v>
      </c>
      <c r="C55" s="71"/>
      <c r="E55" s="71"/>
      <c r="F55" s="71"/>
      <c r="G55" s="71"/>
      <c r="H55" s="71"/>
      <c r="I55" s="71"/>
      <c r="J55" s="71"/>
      <c r="K55" s="71"/>
      <c r="L55" s="75"/>
      <c r="N55" s="103">
        <v>4.01</v>
      </c>
      <c r="O55" s="162">
        <f t="shared" si="107"/>
        <v>54</v>
      </c>
      <c r="P55" s="302">
        <v>10</v>
      </c>
      <c r="Q55" s="336">
        <v>6.86</v>
      </c>
      <c r="R55" s="153">
        <v>10.199999999999999</v>
      </c>
      <c r="S55" s="153">
        <v>14.21</v>
      </c>
      <c r="T55" s="153">
        <v>18.21</v>
      </c>
      <c r="U55" s="153">
        <f t="shared" si="109"/>
        <v>22.22</v>
      </c>
      <c r="V55" s="153">
        <f t="shared" si="109"/>
        <v>26.229999999999997</v>
      </c>
      <c r="W55" s="153">
        <f t="shared" si="108"/>
        <v>30.239999999999995</v>
      </c>
      <c r="X55" s="153">
        <f t="shared" si="108"/>
        <v>34.249999999999993</v>
      </c>
      <c r="Y55" s="153">
        <f t="shared" si="108"/>
        <v>38.259999999999991</v>
      </c>
      <c r="Z55" s="153">
        <v>42.27</v>
      </c>
      <c r="AA55" s="206"/>
      <c r="AB55" s="206"/>
      <c r="AC55" s="206"/>
      <c r="AD55" s="206"/>
      <c r="AE55" s="206"/>
      <c r="AF55" s="206"/>
      <c r="AG55" s="206"/>
      <c r="AH55" s="206"/>
      <c r="AI55" s="206"/>
      <c r="AJ55" s="206"/>
      <c r="AK55" s="64"/>
      <c r="AL55" s="64"/>
      <c r="AM55" s="64"/>
      <c r="AN55" s="64"/>
      <c r="AO55" s="64"/>
      <c r="AP55" s="64"/>
      <c r="AQ55" s="65"/>
    </row>
    <row r="56" spans="2:89" ht="16.5" thickBot="1" x14ac:dyDescent="0.3">
      <c r="B56" s="78"/>
      <c r="C56" s="71"/>
      <c r="D56" s="109"/>
      <c r="E56" s="109" t="e">
        <f>D51</f>
        <v>#VALUE!</v>
      </c>
      <c r="F56" s="132" t="e">
        <f>C45</f>
        <v>#VALUE!</v>
      </c>
      <c r="G56" s="109" t="e">
        <f>E51</f>
        <v>#VALUE!</v>
      </c>
      <c r="H56" s="71"/>
      <c r="I56" s="71"/>
      <c r="J56" s="71"/>
      <c r="K56" s="71"/>
      <c r="L56" s="75"/>
      <c r="N56" s="103">
        <v>4.43</v>
      </c>
      <c r="O56" s="162">
        <f t="shared" si="107"/>
        <v>60</v>
      </c>
      <c r="P56" s="302">
        <v>11</v>
      </c>
      <c r="Q56" s="336">
        <v>7.59</v>
      </c>
      <c r="R56" s="153">
        <v>10.94</v>
      </c>
      <c r="S56" s="153">
        <v>15.7</v>
      </c>
      <c r="T56" s="153">
        <v>20.12</v>
      </c>
      <c r="U56" s="153">
        <v>24.54</v>
      </c>
      <c r="V56" s="153">
        <v>28.97</v>
      </c>
      <c r="W56" s="153">
        <f t="shared" si="108"/>
        <v>33.4</v>
      </c>
      <c r="X56" s="153">
        <f t="shared" si="108"/>
        <v>37.83</v>
      </c>
      <c r="Y56" s="153">
        <f t="shared" si="108"/>
        <v>42.26</v>
      </c>
      <c r="Z56" s="153">
        <v>46.66</v>
      </c>
      <c r="AA56" s="206"/>
      <c r="AB56" s="206"/>
      <c r="AC56" s="206"/>
      <c r="AD56" s="206"/>
      <c r="AE56" s="206"/>
      <c r="AF56" s="206"/>
      <c r="AG56" s="206"/>
      <c r="AH56" s="206"/>
      <c r="AI56" s="206"/>
      <c r="AJ56" s="206"/>
      <c r="AK56" s="64"/>
      <c r="AL56" s="64"/>
      <c r="AM56" s="64"/>
      <c r="AN56" s="64"/>
      <c r="AO56" s="64"/>
      <c r="AP56" s="64"/>
      <c r="AQ56" s="65"/>
      <c r="AV56" s="175"/>
    </row>
    <row r="57" spans="2:89"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03">
        <v>4.84</v>
      </c>
      <c r="O57" s="162">
        <f t="shared" si="107"/>
        <v>66</v>
      </c>
      <c r="P57" s="302">
        <v>12</v>
      </c>
      <c r="Q57" s="336">
        <v>8.33</v>
      </c>
      <c r="R57" s="153">
        <v>12.36</v>
      </c>
      <c r="S57" s="153">
        <v>17.190000000000001</v>
      </c>
      <c r="T57" s="153">
        <v>22.03</v>
      </c>
      <c r="U57" s="153">
        <f t="shared" ref="U57:V66" si="110">T57+$N57</f>
        <v>26.87</v>
      </c>
      <c r="V57" s="153">
        <f t="shared" si="110"/>
        <v>31.71</v>
      </c>
      <c r="W57" s="153">
        <f t="shared" si="108"/>
        <v>36.549999999999997</v>
      </c>
      <c r="X57" s="153">
        <f t="shared" si="108"/>
        <v>41.39</v>
      </c>
      <c r="Y57" s="153">
        <f t="shared" si="108"/>
        <v>46.230000000000004</v>
      </c>
      <c r="Z57" s="153">
        <v>51.05</v>
      </c>
      <c r="AA57" s="206"/>
      <c r="AB57" s="206"/>
      <c r="AC57" s="206"/>
      <c r="AD57" s="206"/>
      <c r="AE57" s="206"/>
      <c r="AF57" s="206"/>
      <c r="AG57" s="206"/>
      <c r="AH57" s="206"/>
      <c r="AI57" s="206"/>
      <c r="AJ57" s="206"/>
      <c r="AK57" s="64"/>
      <c r="AL57" s="64"/>
      <c r="AM57" s="270" t="s">
        <v>212</v>
      </c>
      <c r="AN57" s="64"/>
      <c r="AO57" s="153" t="e">
        <f>AN50</f>
        <v>#VALUE!</v>
      </c>
      <c r="AP57" s="64" t="s">
        <v>86</v>
      </c>
      <c r="AQ57" s="65"/>
      <c r="AV57" s="175"/>
    </row>
    <row r="58" spans="2:89"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5.25</v>
      </c>
      <c r="O58" s="162">
        <f t="shared" si="107"/>
        <v>72</v>
      </c>
      <c r="P58" s="302">
        <v>13</v>
      </c>
      <c r="Q58" s="336">
        <v>9.06</v>
      </c>
      <c r="R58" s="153">
        <v>13.44</v>
      </c>
      <c r="S58" s="153">
        <v>18.690000000000001</v>
      </c>
      <c r="T58" s="153">
        <v>23.94</v>
      </c>
      <c r="U58" s="153">
        <f t="shared" si="110"/>
        <v>29.19</v>
      </c>
      <c r="V58" s="153">
        <f t="shared" si="110"/>
        <v>34.44</v>
      </c>
      <c r="W58" s="153">
        <f t="shared" si="108"/>
        <v>39.69</v>
      </c>
      <c r="X58" s="153">
        <f t="shared" si="108"/>
        <v>44.94</v>
      </c>
      <c r="Y58" s="153">
        <f t="shared" si="108"/>
        <v>50.19</v>
      </c>
      <c r="Z58" s="153">
        <v>55.43</v>
      </c>
      <c r="AA58" s="206"/>
      <c r="AB58" s="206"/>
      <c r="AC58" s="206"/>
      <c r="AD58" s="206"/>
      <c r="AE58" s="206"/>
      <c r="AF58" s="206"/>
      <c r="AG58" s="206"/>
      <c r="AH58" s="206"/>
      <c r="AI58" s="206"/>
      <c r="AJ58" s="206"/>
      <c r="AK58" s="64"/>
      <c r="AL58" s="64"/>
      <c r="AM58" s="270" t="s">
        <v>213</v>
      </c>
      <c r="AN58" s="64"/>
      <c r="AO58" s="64" t="e">
        <f>AO57*C11</f>
        <v>#VALUE!</v>
      </c>
      <c r="AP58" s="64" t="s">
        <v>86</v>
      </c>
      <c r="AQ58" s="65"/>
    </row>
    <row r="59" spans="2:89"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03">
        <v>5.66</v>
      </c>
      <c r="O59" s="162">
        <f t="shared" si="107"/>
        <v>78</v>
      </c>
      <c r="P59" s="302">
        <v>14</v>
      </c>
      <c r="Q59" s="336">
        <v>9.8000000000000007</v>
      </c>
      <c r="R59" s="153">
        <v>14.52</v>
      </c>
      <c r="S59" s="153">
        <v>20.18</v>
      </c>
      <c r="T59" s="153">
        <v>25.84</v>
      </c>
      <c r="U59" s="153">
        <f t="shared" si="110"/>
        <v>31.5</v>
      </c>
      <c r="V59" s="153">
        <f t="shared" si="110"/>
        <v>37.159999999999997</v>
      </c>
      <c r="W59" s="153">
        <f t="shared" si="108"/>
        <v>42.819999999999993</v>
      </c>
      <c r="X59" s="153">
        <f t="shared" si="108"/>
        <v>48.47999999999999</v>
      </c>
      <c r="Y59" s="153">
        <f t="shared" si="108"/>
        <v>54.139999999999986</v>
      </c>
      <c r="Z59" s="153">
        <v>59.82</v>
      </c>
      <c r="AA59" s="206"/>
      <c r="AB59" s="206"/>
      <c r="AC59" s="206"/>
      <c r="AD59" s="206"/>
      <c r="AE59" s="206"/>
      <c r="AF59" s="206"/>
      <c r="AG59" s="206"/>
      <c r="AH59" s="206"/>
      <c r="AI59" s="206"/>
      <c r="AJ59" s="206"/>
      <c r="AK59" s="64"/>
      <c r="AL59" s="64"/>
      <c r="AM59" s="64"/>
      <c r="AN59" s="64"/>
      <c r="AO59" s="64"/>
      <c r="AP59" s="64"/>
      <c r="AQ59" s="65"/>
      <c r="AV59" s="175"/>
    </row>
    <row r="60" spans="2:89" ht="15.75" thickBot="1" x14ac:dyDescent="0.3">
      <c r="B60" s="78"/>
      <c r="C60" s="71"/>
      <c r="D60" s="71"/>
      <c r="E60" s="71"/>
      <c r="F60" s="71"/>
      <c r="G60" s="71"/>
      <c r="H60" s="71"/>
      <c r="I60" s="71"/>
      <c r="J60" s="71"/>
      <c r="K60" s="71"/>
      <c r="L60" s="75"/>
      <c r="N60" s="103">
        <v>6.08</v>
      </c>
      <c r="O60" s="162">
        <f t="shared" si="107"/>
        <v>84</v>
      </c>
      <c r="P60" s="302">
        <v>15</v>
      </c>
      <c r="Q60" s="336">
        <v>10.53</v>
      </c>
      <c r="R60" s="153">
        <v>15.6</v>
      </c>
      <c r="S60" s="153">
        <v>21.67</v>
      </c>
      <c r="T60" s="153">
        <v>27.75</v>
      </c>
      <c r="U60" s="153">
        <f t="shared" si="110"/>
        <v>33.83</v>
      </c>
      <c r="V60" s="153">
        <f t="shared" si="110"/>
        <v>39.909999999999997</v>
      </c>
      <c r="W60" s="153">
        <f t="shared" si="108"/>
        <v>45.989999999999995</v>
      </c>
      <c r="X60" s="153">
        <f t="shared" si="108"/>
        <v>52.069999999999993</v>
      </c>
      <c r="Y60" s="153">
        <f t="shared" si="108"/>
        <v>58.149999999999991</v>
      </c>
      <c r="Z60" s="153">
        <v>64.209999999999994</v>
      </c>
      <c r="AA60" s="206"/>
      <c r="AB60" s="206"/>
      <c r="AC60" s="206"/>
      <c r="AD60" s="206"/>
      <c r="AE60" s="206"/>
      <c r="AF60" s="206"/>
      <c r="AG60" s="206"/>
      <c r="AH60" s="206"/>
      <c r="AI60" s="206"/>
      <c r="AJ60" s="206"/>
      <c r="AK60" s="64"/>
      <c r="AL60" s="64"/>
      <c r="AM60" s="64"/>
      <c r="AN60" s="64"/>
      <c r="AO60" s="64"/>
      <c r="AP60" s="64"/>
      <c r="AQ60" s="97"/>
      <c r="BZ60" s="83"/>
      <c r="CA60" s="83"/>
      <c r="CJ60" s="83"/>
      <c r="CK60" s="83"/>
    </row>
    <row r="61" spans="2:89" ht="15.75" thickBot="1" x14ac:dyDescent="0.3">
      <c r="B61" s="78"/>
      <c r="C61" s="71"/>
      <c r="D61" s="71"/>
      <c r="E61" s="71"/>
      <c r="F61" s="71"/>
      <c r="G61" s="71"/>
      <c r="H61" s="71"/>
      <c r="I61" s="71"/>
      <c r="J61" s="71"/>
      <c r="K61" s="71"/>
      <c r="L61" s="75"/>
      <c r="N61" s="103">
        <v>6.49</v>
      </c>
      <c r="O61" s="162">
        <f t="shared" si="107"/>
        <v>90</v>
      </c>
      <c r="P61" s="302">
        <v>16</v>
      </c>
      <c r="Q61" s="336">
        <v>11.27</v>
      </c>
      <c r="R61" s="153">
        <v>16.68</v>
      </c>
      <c r="S61" s="153">
        <v>23.17</v>
      </c>
      <c r="T61" s="153">
        <v>29.66</v>
      </c>
      <c r="U61" s="153">
        <f t="shared" si="110"/>
        <v>36.15</v>
      </c>
      <c r="V61" s="153">
        <f t="shared" si="110"/>
        <v>42.64</v>
      </c>
      <c r="W61" s="153">
        <f t="shared" si="108"/>
        <v>49.13</v>
      </c>
      <c r="X61" s="153">
        <f t="shared" si="108"/>
        <v>55.620000000000005</v>
      </c>
      <c r="Y61" s="153">
        <f t="shared" si="108"/>
        <v>62.110000000000007</v>
      </c>
      <c r="Z61" s="153">
        <v>68.599999999999994</v>
      </c>
      <c r="AA61" s="206"/>
      <c r="AB61" s="206"/>
      <c r="AC61" s="206"/>
      <c r="AD61" s="206"/>
      <c r="AE61" s="206"/>
      <c r="AF61" s="206"/>
      <c r="AG61" s="206"/>
      <c r="AH61" s="206"/>
      <c r="AI61" s="206"/>
      <c r="AJ61" s="206"/>
      <c r="AK61" s="64"/>
      <c r="AL61" s="64"/>
      <c r="AM61" s="64"/>
      <c r="AN61" s="64"/>
      <c r="AO61" s="64"/>
      <c r="AP61" s="64"/>
      <c r="AQ61" s="97"/>
      <c r="BG61" s="83"/>
      <c r="BZ61" s="83"/>
      <c r="CA61" s="83"/>
      <c r="CJ61" s="83"/>
      <c r="CK61" s="83"/>
    </row>
    <row r="62" spans="2:89" ht="15.75" thickBot="1" x14ac:dyDescent="0.3">
      <c r="B62" s="78"/>
      <c r="C62" s="71"/>
      <c r="D62" s="71"/>
      <c r="E62" s="71"/>
      <c r="F62" s="71"/>
      <c r="G62" s="71"/>
      <c r="H62" s="71"/>
      <c r="I62" s="71"/>
      <c r="J62" s="71"/>
      <c r="K62" s="71"/>
      <c r="L62" s="75"/>
      <c r="N62" s="103">
        <v>6.9</v>
      </c>
      <c r="O62" s="162">
        <f t="shared" si="107"/>
        <v>96</v>
      </c>
      <c r="P62" s="302">
        <v>17</v>
      </c>
      <c r="Q62" s="336">
        <v>12</v>
      </c>
      <c r="R62" s="153">
        <v>17.760000000000002</v>
      </c>
      <c r="S62" s="153">
        <v>24.66</v>
      </c>
      <c r="T62" s="153">
        <v>31.56</v>
      </c>
      <c r="U62" s="153">
        <f t="shared" si="110"/>
        <v>38.46</v>
      </c>
      <c r="V62" s="153">
        <f t="shared" si="110"/>
        <v>45.36</v>
      </c>
      <c r="W62" s="153">
        <f t="shared" si="108"/>
        <v>52.26</v>
      </c>
      <c r="X62" s="153">
        <f t="shared" si="108"/>
        <v>59.16</v>
      </c>
      <c r="Y62" s="153">
        <f t="shared" si="108"/>
        <v>66.06</v>
      </c>
      <c r="Z62" s="153">
        <v>72.989999999999995</v>
      </c>
      <c r="AA62" s="206"/>
      <c r="AB62" s="206"/>
      <c r="AC62" s="206"/>
      <c r="AD62" s="206"/>
      <c r="AE62" s="206"/>
      <c r="AF62" s="206"/>
      <c r="AG62" s="206"/>
      <c r="AH62" s="206"/>
      <c r="AI62" s="206"/>
      <c r="AJ62" s="206"/>
      <c r="AK62" s="64"/>
      <c r="AL62" s="64"/>
      <c r="AM62" s="64"/>
      <c r="AN62" s="64"/>
      <c r="AO62" s="64"/>
      <c r="AP62" s="64"/>
      <c r="AQ62" s="97"/>
      <c r="BG62" s="83"/>
      <c r="BZ62" s="83"/>
      <c r="CA62" s="83"/>
      <c r="CJ62" s="83"/>
      <c r="CK62" s="83"/>
    </row>
    <row r="63" spans="2:89" ht="21.75" thickBot="1" x14ac:dyDescent="0.4">
      <c r="B63" s="229" t="s">
        <v>80</v>
      </c>
      <c r="C63" s="71"/>
      <c r="D63" s="71"/>
      <c r="E63" s="71"/>
      <c r="F63" s="71"/>
      <c r="G63" s="71"/>
      <c r="H63" s="71"/>
      <c r="I63" s="71"/>
      <c r="J63" s="71"/>
      <c r="K63" s="71"/>
      <c r="L63" s="75"/>
      <c r="N63" s="103">
        <v>7.31</v>
      </c>
      <c r="O63" s="162">
        <f t="shared" si="107"/>
        <v>102</v>
      </c>
      <c r="P63" s="302">
        <v>18</v>
      </c>
      <c r="Q63" s="336">
        <v>12.74</v>
      </c>
      <c r="R63" s="153">
        <v>18.84</v>
      </c>
      <c r="S63" s="153">
        <v>26.15</v>
      </c>
      <c r="T63" s="153">
        <v>33.47</v>
      </c>
      <c r="U63" s="153">
        <f t="shared" si="110"/>
        <v>40.78</v>
      </c>
      <c r="V63" s="153">
        <f t="shared" si="110"/>
        <v>48.09</v>
      </c>
      <c r="W63" s="153">
        <f t="shared" si="108"/>
        <v>55.400000000000006</v>
      </c>
      <c r="X63" s="153">
        <f t="shared" si="108"/>
        <v>62.710000000000008</v>
      </c>
      <c r="Y63" s="153">
        <f t="shared" si="108"/>
        <v>70.02000000000001</v>
      </c>
      <c r="Z63" s="153">
        <v>77.38</v>
      </c>
      <c r="AA63" s="206"/>
      <c r="AB63" s="206"/>
      <c r="AC63" s="206"/>
      <c r="AD63" s="206"/>
      <c r="AE63" s="206"/>
      <c r="AF63" s="206"/>
      <c r="AG63" s="206"/>
      <c r="AH63" s="206"/>
      <c r="AI63" s="206"/>
      <c r="AJ63" s="206"/>
      <c r="AK63" s="64"/>
      <c r="AL63" s="64"/>
      <c r="AM63" s="64"/>
      <c r="AN63" s="64"/>
      <c r="AO63" s="64"/>
      <c r="AP63" s="64"/>
      <c r="AQ63" s="97"/>
      <c r="BG63" s="83"/>
      <c r="BZ63" s="83"/>
      <c r="CA63" s="83"/>
      <c r="CJ63" s="83"/>
      <c r="CK63" s="83"/>
    </row>
    <row r="64" spans="2:89" ht="19.5" thickBot="1" x14ac:dyDescent="0.35">
      <c r="B64" s="230" t="s">
        <v>46</v>
      </c>
      <c r="C64" s="71"/>
      <c r="D64" s="141" t="e">
        <f>F58*(D3*D4)/144</f>
        <v>#VALUE!</v>
      </c>
      <c r="E64" s="256" t="s">
        <v>45</v>
      </c>
      <c r="F64" s="71"/>
      <c r="G64" s="71"/>
      <c r="H64" s="71"/>
      <c r="I64" s="71"/>
      <c r="J64" s="71"/>
      <c r="K64" s="71"/>
      <c r="L64" s="75"/>
      <c r="N64" s="103">
        <v>7.73</v>
      </c>
      <c r="O64" s="162">
        <f t="shared" si="107"/>
        <v>108</v>
      </c>
      <c r="P64" s="302">
        <v>19</v>
      </c>
      <c r="Q64" s="336">
        <v>13.47</v>
      </c>
      <c r="R64" s="153">
        <v>19.920000000000002</v>
      </c>
      <c r="S64" s="153">
        <v>27.65</v>
      </c>
      <c r="T64" s="153">
        <v>35.380000000000003</v>
      </c>
      <c r="U64" s="153">
        <f t="shared" si="110"/>
        <v>43.11</v>
      </c>
      <c r="V64" s="153">
        <f t="shared" si="110"/>
        <v>50.84</v>
      </c>
      <c r="W64" s="153">
        <f t="shared" si="108"/>
        <v>58.570000000000007</v>
      </c>
      <c r="X64" s="153">
        <f t="shared" si="108"/>
        <v>66.300000000000011</v>
      </c>
      <c r="Y64" s="153">
        <f t="shared" si="108"/>
        <v>74.030000000000015</v>
      </c>
      <c r="Z64" s="153">
        <v>81.760000000000005</v>
      </c>
      <c r="AA64" s="206"/>
      <c r="AB64" s="206"/>
      <c r="AC64" s="206"/>
      <c r="AD64" s="206"/>
      <c r="AE64" s="206"/>
      <c r="AF64" s="206"/>
      <c r="AG64" s="206"/>
      <c r="AH64" s="206"/>
      <c r="AI64" s="206"/>
      <c r="AJ64" s="206"/>
      <c r="AK64" s="64"/>
      <c r="AL64" s="64"/>
      <c r="AM64" s="64"/>
      <c r="AN64" s="64"/>
      <c r="AO64" s="64"/>
      <c r="AP64" s="64"/>
      <c r="AQ64" s="97"/>
      <c r="BG64" s="83"/>
      <c r="BZ64" s="83"/>
      <c r="CA64" s="83"/>
      <c r="CJ64" s="83"/>
      <c r="CK64" s="83"/>
    </row>
    <row r="65" spans="2:89" ht="19.5" thickBot="1" x14ac:dyDescent="0.35">
      <c r="B65" s="230" t="s">
        <v>47</v>
      </c>
      <c r="C65" s="71"/>
      <c r="D65" s="142" t="e">
        <f>(D3*D4)/144</f>
        <v>#VALUE!</v>
      </c>
      <c r="E65" s="256" t="s">
        <v>45</v>
      </c>
      <c r="F65" s="71"/>
      <c r="G65" s="71"/>
      <c r="H65" s="71"/>
      <c r="I65" s="71"/>
      <c r="J65" s="71"/>
      <c r="K65" s="71"/>
      <c r="L65" s="75"/>
      <c r="N65" s="103">
        <v>8.14</v>
      </c>
      <c r="O65" s="162">
        <f t="shared" si="107"/>
        <v>114</v>
      </c>
      <c r="P65" s="302">
        <v>20</v>
      </c>
      <c r="Q65" s="336">
        <v>14.21</v>
      </c>
      <c r="R65" s="153">
        <v>20.99</v>
      </c>
      <c r="S65" s="153">
        <v>29.14</v>
      </c>
      <c r="T65" s="153">
        <v>37.28</v>
      </c>
      <c r="U65" s="153">
        <f t="shared" si="110"/>
        <v>45.42</v>
      </c>
      <c r="V65" s="153">
        <f t="shared" si="110"/>
        <v>53.56</v>
      </c>
      <c r="W65" s="153">
        <f t="shared" si="108"/>
        <v>61.7</v>
      </c>
      <c r="X65" s="153">
        <f t="shared" si="108"/>
        <v>69.84</v>
      </c>
      <c r="Y65" s="153">
        <f t="shared" si="108"/>
        <v>77.98</v>
      </c>
      <c r="Z65" s="153">
        <v>86.15</v>
      </c>
      <c r="AA65" s="206"/>
      <c r="AB65" s="206"/>
      <c r="AC65" s="206"/>
      <c r="AD65" s="206"/>
      <c r="AE65" s="206"/>
      <c r="AF65" s="206"/>
      <c r="AG65" s="206"/>
      <c r="AH65" s="206"/>
      <c r="AI65" s="206"/>
      <c r="AJ65" s="206"/>
      <c r="AK65" s="64"/>
      <c r="AL65" s="64"/>
      <c r="AM65" s="64"/>
      <c r="AN65" s="64"/>
      <c r="AO65" s="64"/>
      <c r="AP65" s="64"/>
      <c r="AQ65" s="97"/>
      <c r="BG65" s="83"/>
      <c r="BZ65" s="83"/>
      <c r="CA65" s="83"/>
      <c r="CJ65" s="83"/>
      <c r="CK65" s="83"/>
    </row>
    <row r="66" spans="2:89" ht="19.5" thickBot="1" x14ac:dyDescent="0.35">
      <c r="B66" s="230" t="s">
        <v>81</v>
      </c>
      <c r="C66" s="71"/>
      <c r="D66" s="138" t="e">
        <f>F58*100</f>
        <v>#VALUE!</v>
      </c>
      <c r="E66" s="256" t="s">
        <v>16</v>
      </c>
      <c r="F66" s="71"/>
      <c r="G66" s="71"/>
      <c r="H66" s="71"/>
      <c r="I66" s="71"/>
      <c r="J66" s="71"/>
      <c r="K66" s="71"/>
      <c r="L66" s="75"/>
      <c r="N66" s="103">
        <v>8.56</v>
      </c>
      <c r="O66" s="162">
        <f t="shared" si="107"/>
        <v>120</v>
      </c>
      <c r="P66" s="302">
        <v>21</v>
      </c>
      <c r="Q66" s="336">
        <v>14.94</v>
      </c>
      <c r="R66" s="153">
        <v>22.07</v>
      </c>
      <c r="S66" s="153">
        <v>30.63</v>
      </c>
      <c r="T66" s="153">
        <v>39.19</v>
      </c>
      <c r="U66" s="153">
        <f t="shared" si="110"/>
        <v>47.75</v>
      </c>
      <c r="V66" s="153">
        <f t="shared" si="110"/>
        <v>56.31</v>
      </c>
      <c r="W66" s="153">
        <f t="shared" si="108"/>
        <v>64.87</v>
      </c>
      <c r="X66" s="153">
        <f t="shared" si="108"/>
        <v>73.430000000000007</v>
      </c>
      <c r="Y66" s="153">
        <f t="shared" si="108"/>
        <v>81.990000000000009</v>
      </c>
      <c r="Z66" s="153">
        <v>90.54</v>
      </c>
      <c r="AA66" s="206"/>
      <c r="AB66" s="206"/>
      <c r="AC66" s="206"/>
      <c r="AD66" s="206"/>
      <c r="AE66" s="206"/>
      <c r="AF66" s="206"/>
      <c r="AG66" s="206"/>
      <c r="AH66" s="206"/>
      <c r="AI66" s="206"/>
      <c r="AJ66" s="206"/>
      <c r="AK66" s="64"/>
      <c r="AL66" s="64"/>
      <c r="AM66" s="64"/>
      <c r="AN66" s="64"/>
      <c r="AO66" s="64"/>
      <c r="AP66" s="64"/>
      <c r="AQ66" s="97"/>
      <c r="BG66" s="83"/>
      <c r="BZ66" s="83"/>
      <c r="CA66" s="83"/>
      <c r="CJ66" s="83"/>
      <c r="CK66" s="83"/>
    </row>
    <row r="67" spans="2:89" ht="19.5" thickBot="1" x14ac:dyDescent="0.35">
      <c r="B67" s="78"/>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2:89" ht="19.5" thickBot="1" x14ac:dyDescent="0.35">
      <c r="B68" s="231" t="s">
        <v>82</v>
      </c>
      <c r="D68" s="311"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2:89" ht="19.5" thickBot="1" x14ac:dyDescent="0.35">
      <c r="B69" s="232" t="s">
        <v>83</v>
      </c>
      <c r="C69" s="136" t="s">
        <v>9</v>
      </c>
      <c r="D69" s="311" t="e">
        <f>1.76104394685172E-07*D68^2 - 2.764715539838E-18*D68- 1.11195774810113E-15</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89" ht="18.75" x14ac:dyDescent="0.3">
      <c r="B70" s="233"/>
      <c r="C70" s="136" t="s">
        <v>10</v>
      </c>
      <c r="D70" s="311" t="e">
        <f>1.76104394685172E-07*D68^2 - 2.764715539838E-18*D68- 1.11195774810113E-15</f>
        <v>#VALUE!</v>
      </c>
      <c r="E70" s="256" t="s">
        <v>99</v>
      </c>
      <c r="F70" s="72"/>
      <c r="G70" s="72"/>
      <c r="H70" s="72"/>
      <c r="I70" s="72"/>
      <c r="J70" s="72"/>
      <c r="K70" s="72"/>
      <c r="L70" s="81"/>
    </row>
    <row r="71" spans="2:89" ht="15.75" thickBot="1" x14ac:dyDescent="0.3">
      <c r="B71" s="79"/>
      <c r="C71" s="76"/>
      <c r="D71" s="76"/>
      <c r="E71" s="76"/>
      <c r="F71" s="76"/>
      <c r="G71" s="76"/>
      <c r="H71" s="76"/>
      <c r="I71" s="76"/>
      <c r="J71" s="76"/>
      <c r="K71" s="76"/>
      <c r="L71" s="77"/>
    </row>
    <row r="72" spans="2:89"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2:89"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2:89" ht="15.75" thickBot="1" x14ac:dyDescent="0.3">
      <c r="N74" s="477"/>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row>
    <row r="75" spans="2:89" ht="15.75" thickBot="1" x14ac:dyDescent="0.3">
      <c r="N75" s="476"/>
      <c r="O75" s="47" t="s">
        <v>185</v>
      </c>
      <c r="P75" s="64">
        <v>2.81E-2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row>
    <row r="76" spans="2:89" ht="16.5" thickBot="1" x14ac:dyDescent="0.3">
      <c r="N76" s="477"/>
      <c r="O76" s="47" t="s">
        <v>195</v>
      </c>
      <c r="P76" s="64"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c r="AL76" s="313"/>
      <c r="AM76" s="313"/>
      <c r="AN76" s="485"/>
      <c r="AO76" s="313"/>
    </row>
    <row r="77" spans="2:89" ht="16.5" thickBot="1" x14ac:dyDescent="0.3">
      <c r="N77" s="48"/>
      <c r="O77" s="47"/>
      <c r="P77" s="47"/>
      <c r="Q77" s="47"/>
      <c r="R77" s="47"/>
      <c r="S77" s="47"/>
      <c r="T77" s="47"/>
      <c r="U77" s="47"/>
      <c r="V77" s="47"/>
      <c r="W77" s="278"/>
      <c r="Y77" s="48"/>
      <c r="Z77" s="47"/>
      <c r="AA77" s="47"/>
      <c r="AB77" s="47"/>
      <c r="AC77" s="47"/>
      <c r="AD77" s="47"/>
      <c r="AE77" s="47"/>
      <c r="AF77" s="47"/>
      <c r="AG77" s="47"/>
      <c r="AH77" s="47"/>
      <c r="AI77" s="47"/>
      <c r="AJ77" s="278"/>
      <c r="AK77" s="83"/>
      <c r="AL77" s="313"/>
      <c r="AM77" s="485"/>
      <c r="AN77" s="485"/>
      <c r="AO77" s="485"/>
    </row>
    <row r="78" spans="2:89" ht="16.5" thickBot="1" x14ac:dyDescent="0.3">
      <c r="N78" s="48"/>
      <c r="O78" s="492" t="s">
        <v>183</v>
      </c>
      <c r="P78" s="153" t="e">
        <f>P76*P75</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c r="AL78" s="486"/>
      <c r="AM78" s="485"/>
      <c r="AN78" s="487"/>
      <c r="AO78" s="485"/>
    </row>
    <row r="79" spans="2:89" ht="15.75"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c r="AL79" s="313"/>
      <c r="AM79" s="485"/>
      <c r="AN79" s="485"/>
      <c r="AO79" s="485"/>
    </row>
    <row r="80" spans="2:89" x14ac:dyDescent="0.25">
      <c r="N80" s="48"/>
      <c r="O80" s="480"/>
      <c r="P80" s="47"/>
      <c r="Q80" s="47"/>
      <c r="R80" s="47"/>
      <c r="S80" s="47"/>
      <c r="T80" s="47"/>
      <c r="U80" s="47"/>
      <c r="V80" s="47"/>
      <c r="W80" s="278"/>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Y82" s="48"/>
      <c r="Z82" s="47"/>
      <c r="AA82" s="47"/>
      <c r="AB82" s="47"/>
      <c r="AC82" s="47"/>
      <c r="AD82" s="47"/>
      <c r="AE82" s="47"/>
      <c r="AF82" s="47"/>
      <c r="AG82" s="47"/>
      <c r="AH82" s="47"/>
      <c r="AI82" s="47"/>
      <c r="AJ82" s="278"/>
    </row>
    <row r="83" spans="14:43" ht="15.75" thickBot="1" x14ac:dyDescent="0.3">
      <c r="N83" s="48"/>
      <c r="O83" s="47" t="s">
        <v>197</v>
      </c>
      <c r="P83" s="64" t="e">
        <f>(D3*D4)</f>
        <v>#VALUE!</v>
      </c>
      <c r="Q83" s="47" t="s">
        <v>198</v>
      </c>
      <c r="R83" s="64"/>
      <c r="S83" s="47"/>
      <c r="T83" s="47"/>
      <c r="U83" s="47"/>
      <c r="V83" s="47"/>
      <c r="W83" s="278"/>
      <c r="Y83" s="48"/>
      <c r="Z83" s="47"/>
      <c r="AA83" s="47"/>
      <c r="AB83" s="47"/>
      <c r="AC83" s="47"/>
      <c r="AD83" s="47"/>
      <c r="AE83" s="47"/>
      <c r="AF83" s="47"/>
      <c r="AG83" s="47"/>
      <c r="AH83" s="47"/>
      <c r="AI83" s="47"/>
      <c r="AJ83" s="278"/>
    </row>
    <row r="84" spans="14:43"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c r="AQ88" s="83"/>
    </row>
    <row r="89" spans="14:43" x14ac:dyDescent="0.25">
      <c r="O89" s="481"/>
      <c r="P89" s="482"/>
      <c r="AC89" s="175"/>
      <c r="AD89" s="175"/>
      <c r="AE89" s="175"/>
      <c r="AF89" s="175"/>
      <c r="AG89" s="175"/>
      <c r="AH89" s="175"/>
      <c r="AI89" s="175"/>
      <c r="AJ89" s="175"/>
      <c r="AK89" s="175"/>
      <c r="AQ89" s="83"/>
    </row>
    <row r="90" spans="14:43" x14ac:dyDescent="0.25">
      <c r="O90" s="481"/>
      <c r="P90" s="482"/>
      <c r="AC90" s="175"/>
      <c r="AD90" s="175"/>
      <c r="AE90" s="175"/>
      <c r="AF90" s="175"/>
      <c r="AG90" s="175"/>
      <c r="AH90" s="175"/>
      <c r="AI90" s="175"/>
      <c r="AJ90" s="175"/>
      <c r="AK90" s="175"/>
      <c r="AQ90" s="83"/>
    </row>
    <row r="91" spans="14:43" x14ac:dyDescent="0.25">
      <c r="O91" s="481"/>
      <c r="P91" s="482"/>
      <c r="AC91" s="175"/>
      <c r="AD91" s="175"/>
      <c r="AE91" s="175"/>
      <c r="AF91" s="175"/>
      <c r="AG91" s="175"/>
      <c r="AH91" s="175"/>
      <c r="AI91" s="175"/>
      <c r="AJ91" s="175"/>
      <c r="AK91" s="175"/>
      <c r="AQ91" s="83"/>
    </row>
    <row r="92" spans="14:43" x14ac:dyDescent="0.25">
      <c r="O92" s="481"/>
      <c r="P92" s="482"/>
      <c r="AC92" s="175"/>
      <c r="AD92" s="175"/>
      <c r="AE92" s="175"/>
      <c r="AF92" s="175"/>
      <c r="AG92" s="175"/>
      <c r="AH92" s="175"/>
      <c r="AI92" s="175"/>
      <c r="AJ92" s="175"/>
      <c r="AK92" s="175"/>
      <c r="AQ92" s="83"/>
    </row>
    <row r="93" spans="14:43" ht="18.75" customHeight="1" x14ac:dyDescent="0.25">
      <c r="O93" s="481"/>
      <c r="P93" s="482"/>
      <c r="AC93" s="175"/>
      <c r="AD93" s="175"/>
      <c r="AE93" s="175"/>
      <c r="AF93" s="175"/>
      <c r="AG93" s="175"/>
      <c r="AH93" s="175"/>
      <c r="AI93" s="175"/>
      <c r="AJ93" s="175"/>
      <c r="AK93" s="175"/>
      <c r="AQ93" s="83"/>
    </row>
    <row r="94" spans="14:43" ht="18.75" customHeight="1" x14ac:dyDescent="0.25">
      <c r="O94" s="481"/>
      <c r="P94" s="482"/>
      <c r="AC94" s="175"/>
      <c r="AD94" s="175"/>
      <c r="AE94" s="175"/>
      <c r="AF94" s="175"/>
      <c r="AG94" s="175"/>
      <c r="AH94" s="175"/>
      <c r="AI94" s="175"/>
      <c r="AJ94" s="175"/>
      <c r="AK94" s="175"/>
      <c r="AQ94" s="83"/>
    </row>
    <row r="95" spans="14:43" x14ac:dyDescent="0.25">
      <c r="P95" s="482"/>
    </row>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3" x14ac:dyDescent="0.25">
      <c r="C146" s="179"/>
    </row>
    <row r="147" spans="3:3" x14ac:dyDescent="0.25">
      <c r="C147" s="179"/>
    </row>
    <row r="278" spans="24:25" x14ac:dyDescent="0.25">
      <c r="X278" s="146"/>
      <c r="Y278" s="145"/>
    </row>
  </sheetData>
  <sheetProtection selectLockedCells="1" selectUnlockedCells="1"/>
  <mergeCells count="6">
    <mergeCell ref="D16:W16"/>
    <mergeCell ref="N45:N46"/>
    <mergeCell ref="AT16:IX16"/>
    <mergeCell ref="AU18:AV20"/>
    <mergeCell ref="BH18:IG19"/>
    <mergeCell ref="IQ19:IW19"/>
  </mergeCells>
  <conditionalFormatting sqref="Q47:Z66">
    <cfRule type="colorScale" priority="5">
      <colorScale>
        <cfvo type="min"/>
        <cfvo type="percentile" val="50"/>
        <cfvo type="max"/>
        <color rgb="FF63BE7B"/>
        <color rgb="FFFFEB84"/>
        <color rgb="FFF8696B"/>
      </colorScale>
    </cfRule>
  </conditionalFormatting>
  <conditionalFormatting sqref="Q89:AJ94 X75:X88">
    <cfRule type="colorScale" priority="4">
      <colorScale>
        <cfvo type="min"/>
        <cfvo type="percentile" val="50"/>
        <cfvo type="max"/>
        <color rgb="FF63BE7B"/>
        <color rgb="FFFFEB84"/>
        <color rgb="FFF8696B"/>
      </colorScale>
    </cfRule>
  </conditionalFormatting>
  <conditionalFormatting sqref="Q103:AJ122">
    <cfRule type="colorScale" priority="3">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IX278"/>
  <sheetViews>
    <sheetView zoomScale="80" zoomScaleNormal="80" workbookViewId="0">
      <selection activeCell="D28" sqref="D28"/>
    </sheetView>
  </sheetViews>
  <sheetFormatPr defaultRowHeight="15" x14ac:dyDescent="0.25"/>
  <cols>
    <col min="1" max="1" width="12.85546875" customWidth="1"/>
    <col min="2" max="2" width="19.5703125" customWidth="1"/>
    <col min="3" max="3" width="19.7109375" customWidth="1"/>
    <col min="4" max="4" width="14.5703125" customWidth="1"/>
    <col min="5" max="5" width="18.42578125" customWidth="1"/>
    <col min="6" max="13" width="15" customWidth="1"/>
    <col min="14" max="14" width="19.140625" customWidth="1"/>
    <col min="15" max="15" width="13.5703125" customWidth="1"/>
    <col min="16" max="16" width="13.42578125" customWidth="1"/>
    <col min="17" max="17" width="9.85546875" customWidth="1"/>
    <col min="18" max="18" width="10" customWidth="1"/>
    <col min="19" max="19" width="13.42578125" customWidth="1"/>
    <col min="20" max="20" width="10.28515625" customWidth="1"/>
    <col min="21" max="21" width="15.140625" customWidth="1"/>
    <col min="22" max="22" width="9.140625" customWidth="1"/>
    <col min="23" max="23" width="12.42578125" customWidth="1"/>
    <col min="24" max="24" width="17.28515625" customWidth="1"/>
    <col min="25" max="25" width="16.42578125" customWidth="1"/>
    <col min="26" max="26" width="11.7109375" customWidth="1"/>
    <col min="28" max="31" width="9.140625" customWidth="1"/>
    <col min="32" max="32" width="9.85546875" customWidth="1"/>
    <col min="33" max="35" width="9.140625" customWidth="1"/>
    <col min="38" max="38" width="9.140625" customWidth="1"/>
    <col min="39" max="39" width="15.5703125" customWidth="1"/>
    <col min="40"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7" width="0" hidden="1" customWidth="1"/>
    <col min="108" max="109" width="9.140625" hidden="1" customWidth="1"/>
    <col min="110" max="111" width="9.140625" customWidth="1"/>
    <col min="112" max="115" width="9.140625" hidden="1" customWidth="1"/>
    <col min="116" max="116" width="0" hidden="1" customWidth="1"/>
    <col min="117" max="117" width="12.140625"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59" width="9.140625" hidden="1" customWidth="1"/>
    <col min="160" max="161" width="9.140625" customWidth="1"/>
    <col min="162"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5" width="9.140625" hidden="1" customWidth="1"/>
    <col min="196" max="197" width="0" hidden="1" customWidth="1"/>
    <col min="198"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35.42578125" hidden="1" customWidth="1"/>
    <col min="211" max="211" width="26.140625" hidden="1" customWidth="1"/>
    <col min="212" max="212" width="22.5703125" hidden="1" customWidth="1"/>
    <col min="213" max="213" width="28" hidden="1" customWidth="1"/>
    <col min="214" max="216" width="0" hidden="1" customWidth="1"/>
    <col min="217" max="217" width="20.28515625" hidden="1" customWidth="1"/>
    <col min="218" max="218" width="36" hidden="1" customWidth="1"/>
    <col min="219" max="219" width="35.42578125" hidden="1" customWidth="1"/>
    <col min="220" max="220" width="33.42578125" hidden="1" customWidth="1"/>
    <col min="221" max="221" width="30.85546875" hidden="1" customWidth="1"/>
    <col min="222" max="224" width="0" hidden="1" customWidth="1"/>
    <col min="225" max="225" width="18.28515625" hidden="1" customWidth="1"/>
    <col min="226" max="249" width="0" hidden="1" customWidth="1"/>
  </cols>
  <sheetData>
    <row r="1" spans="2:258" ht="21.75" thickBot="1" x14ac:dyDescent="0.4">
      <c r="B1" s="315" t="s">
        <v>39</v>
      </c>
      <c r="C1" s="381" t="s">
        <v>57</v>
      </c>
      <c r="D1" s="387"/>
      <c r="E1" s="387"/>
      <c r="F1" s="388"/>
      <c r="G1" s="51"/>
    </row>
    <row r="2" spans="2:258" ht="21" x14ac:dyDescent="0.35">
      <c r="B2" s="382" t="s">
        <v>40</v>
      </c>
      <c r="C2" s="314"/>
      <c r="D2" s="314" t="s">
        <v>73</v>
      </c>
      <c r="E2" s="314"/>
      <c r="F2" s="331"/>
      <c r="G2" s="51"/>
      <c r="H2" s="403" t="s">
        <v>277</v>
      </c>
      <c r="I2" s="387"/>
      <c r="J2" s="388"/>
      <c r="N2" s="315" t="s">
        <v>64</v>
      </c>
      <c r="O2" s="316"/>
      <c r="P2" s="316"/>
      <c r="Q2" s="316"/>
      <c r="R2" s="316"/>
      <c r="S2" s="316"/>
      <c r="T2" s="316"/>
      <c r="U2" s="316"/>
      <c r="V2" s="316"/>
      <c r="W2" s="324"/>
    </row>
    <row r="3" spans="2:258" ht="18.75" x14ac:dyDescent="0.3">
      <c r="B3" s="382" t="s">
        <v>41</v>
      </c>
      <c r="C3" s="314" t="str">
        <f>IF('DATA ENTRY'!B9="mm",'DATA ENTRY'!B10/25.4,'DATA ENTRY'!B10)</f>
        <v>ENTER WIDTH</v>
      </c>
      <c r="D3" s="287" t="e">
        <f>IF('DATA ENTRY'!B12="ACTUAL",'NSE1'!C3,'NSE1'!C3-0.5)</f>
        <v>#VALUE!</v>
      </c>
      <c r="E3" s="314"/>
      <c r="F3" s="331"/>
      <c r="G3" s="51"/>
      <c r="H3" s="330" t="s">
        <v>278</v>
      </c>
      <c r="J3" s="331" t="e">
        <f>D3*D4/144</f>
        <v>#VALUE!</v>
      </c>
      <c r="N3" s="48"/>
      <c r="O3" s="47"/>
      <c r="P3" s="47"/>
      <c r="Q3" s="47"/>
      <c r="R3" s="47"/>
      <c r="S3" s="47"/>
      <c r="T3" s="47"/>
      <c r="U3" s="47"/>
      <c r="V3" s="47"/>
      <c r="W3" s="278"/>
    </row>
    <row r="4" spans="2:258" ht="18.75" x14ac:dyDescent="0.3">
      <c r="B4" s="382" t="s">
        <v>42</v>
      </c>
      <c r="C4" s="314" t="str">
        <f>IF('DATA ENTRY'!B9="mm",'DATA ENTRY'!B11/25.4,'DATA ENTRY'!B11)</f>
        <v>ENTER HEIGHT</v>
      </c>
      <c r="D4" s="287" t="e">
        <f>IF('DATA ENTRY'!B12="ACTUAL",'NSE1'!C4,'NSE1'!C4-0.5)</f>
        <v>#VALUE!</v>
      </c>
      <c r="E4" s="314"/>
      <c r="F4" s="331"/>
      <c r="G4" s="51"/>
      <c r="H4" s="330" t="s">
        <v>279</v>
      </c>
      <c r="I4" s="314"/>
      <c r="J4" s="331" t="e">
        <f>C5/J3</f>
        <v>#VALUE!</v>
      </c>
      <c r="N4" s="280"/>
      <c r="O4" s="282" t="str">
        <f>C1&amp;"_MODEL"</f>
        <v>NSE1_MODEL</v>
      </c>
      <c r="P4" s="282" t="s">
        <v>135</v>
      </c>
      <c r="Q4" s="282"/>
      <c r="R4" s="282"/>
      <c r="S4" s="282"/>
      <c r="T4" s="282"/>
      <c r="U4" s="47"/>
      <c r="V4" s="287" t="s">
        <v>116</v>
      </c>
      <c r="W4" s="278"/>
    </row>
    <row r="5" spans="2:258" ht="18.75" x14ac:dyDescent="0.3">
      <c r="B5" s="382" t="s">
        <v>43</v>
      </c>
      <c r="C5" s="509" t="str">
        <f>IF('DATA ENTRY'!B9="mm",'DATA ENTRY'!B13*2.1188799727597,'DATA ENTRY'!B13)</f>
        <v>ENTER AIR VOLUME</v>
      </c>
      <c r="D5" s="314"/>
      <c r="E5" s="314"/>
      <c r="F5" s="331"/>
      <c r="G5" s="51"/>
      <c r="H5" s="330"/>
      <c r="I5" s="314"/>
      <c r="J5" s="331"/>
      <c r="N5" s="280" t="s">
        <v>93</v>
      </c>
      <c r="O5" s="282" t="str">
        <f>C1&amp;"_FA"</f>
        <v>NSE1_FA</v>
      </c>
      <c r="P5" s="283" t="e">
        <f>D64</f>
        <v>#VALUE!</v>
      </c>
      <c r="Q5" s="282" t="s">
        <v>45</v>
      </c>
      <c r="R5" s="282"/>
      <c r="S5" s="282"/>
      <c r="T5" s="282"/>
      <c r="U5" s="47"/>
      <c r="V5" s="282" t="str">
        <f>C1&amp;"_W"</f>
        <v>NSE1_W</v>
      </c>
      <c r="W5" s="319" t="e">
        <f>D3</f>
        <v>#VALUE!</v>
      </c>
    </row>
    <row r="6" spans="2:258" ht="18.75" x14ac:dyDescent="0.3">
      <c r="B6" s="382" t="s">
        <v>44</v>
      </c>
      <c r="C6" s="383" t="str">
        <f>'DATA ENTRY'!B14</f>
        <v>SELECT AIR DIRECTION</v>
      </c>
      <c r="D6" s="314"/>
      <c r="E6" s="314"/>
      <c r="F6" s="331"/>
      <c r="G6" s="51"/>
      <c r="H6" s="330"/>
      <c r="I6" s="314"/>
      <c r="J6" s="331"/>
      <c r="N6" s="280" t="s">
        <v>70</v>
      </c>
      <c r="O6" s="282" t="str">
        <f>C1&amp;"_FA%"</f>
        <v>NSE1_FA%</v>
      </c>
      <c r="P6" s="284" t="e">
        <f>D66</f>
        <v>#VALUE!</v>
      </c>
      <c r="Q6" s="282" t="s">
        <v>16</v>
      </c>
      <c r="R6" s="282"/>
      <c r="S6" s="282"/>
      <c r="T6" s="282"/>
      <c r="U6" s="47"/>
      <c r="V6" s="282" t="str">
        <f>C1&amp;"_H"</f>
        <v>NSE1_H</v>
      </c>
      <c r="W6" s="319" t="e">
        <f>D4</f>
        <v>#VALUE!</v>
      </c>
    </row>
    <row r="7" spans="2:258" ht="19.5" thickBot="1" x14ac:dyDescent="0.35">
      <c r="B7" s="330"/>
      <c r="C7" s="314"/>
      <c r="D7" s="314"/>
      <c r="E7" s="314"/>
      <c r="F7" s="331"/>
      <c r="G7" s="51"/>
      <c r="H7" s="543"/>
      <c r="I7" s="544"/>
      <c r="J7" s="545"/>
      <c r="N7" s="280" t="s">
        <v>96</v>
      </c>
      <c r="O7" s="282" t="str">
        <f>C1&amp;"_VEL"</f>
        <v>NSE1_VEL</v>
      </c>
      <c r="P7" s="284" t="e">
        <f>D68</f>
        <v>#VALUE!</v>
      </c>
      <c r="Q7" s="282" t="s">
        <v>0</v>
      </c>
      <c r="R7" s="282"/>
      <c r="S7" s="282"/>
      <c r="T7" s="282"/>
      <c r="U7" s="47"/>
      <c r="V7" s="282" t="str">
        <f>C1&amp;"_SW"</f>
        <v>NSE1_SW</v>
      </c>
      <c r="W7" s="319" t="e">
        <f>C8</f>
        <v>#VALUE!</v>
      </c>
    </row>
    <row r="8" spans="2:258" ht="18.75" x14ac:dyDescent="0.3">
      <c r="B8" s="382" t="s">
        <v>74</v>
      </c>
      <c r="C8" s="314" t="e">
        <f>CEILING(D3/72,1)</f>
        <v>#VALUE!</v>
      </c>
      <c r="D8" s="314"/>
      <c r="E8" s="314" t="s">
        <v>75</v>
      </c>
      <c r="F8" s="331" t="e">
        <f>CEILING(D4/72,1)</f>
        <v>#VALUE!</v>
      </c>
      <c r="G8" s="51"/>
      <c r="N8" s="280" t="s">
        <v>94</v>
      </c>
      <c r="O8" s="282" t="str">
        <f>C1&amp;"_Intake"</f>
        <v>NSE1_Intake</v>
      </c>
      <c r="P8" s="285" t="e">
        <f>D69</f>
        <v>#VALUE!</v>
      </c>
      <c r="Q8" s="282" t="s">
        <v>99</v>
      </c>
      <c r="R8" s="282"/>
      <c r="S8" s="282"/>
      <c r="T8" s="282"/>
      <c r="U8" s="47"/>
      <c r="V8" s="282" t="str">
        <f>C1&amp;"_SH"</f>
        <v>NSE1_SH</v>
      </c>
      <c r="W8" s="319" t="e">
        <f>F8</f>
        <v>#VALUE!</v>
      </c>
    </row>
    <row r="9" spans="2:258" ht="18.75" x14ac:dyDescent="0.3">
      <c r="B9" s="382" t="s">
        <v>72</v>
      </c>
      <c r="C9" s="314" t="e">
        <f>D3/C8</f>
        <v>#VALUE!</v>
      </c>
      <c r="D9" s="314"/>
      <c r="E9" s="314" t="s">
        <v>63</v>
      </c>
      <c r="F9" s="331" t="e">
        <f>D4/F8</f>
        <v>#VALUE!</v>
      </c>
      <c r="G9" s="51"/>
      <c r="N9" s="280" t="s">
        <v>95</v>
      </c>
      <c r="O9" s="282" t="str">
        <f>C1&amp;"_Exhaust"</f>
        <v>NSE1_Exhaust</v>
      </c>
      <c r="P9" s="285" t="e">
        <f>D70</f>
        <v>#VALUE!</v>
      </c>
      <c r="Q9" s="282" t="s">
        <v>99</v>
      </c>
      <c r="R9" s="282"/>
      <c r="S9" s="282"/>
      <c r="T9" s="282"/>
      <c r="U9" s="47"/>
      <c r="V9" s="282"/>
      <c r="W9" s="291"/>
    </row>
    <row r="10" spans="2:258" ht="18.75" x14ac:dyDescent="0.3">
      <c r="B10" s="330"/>
      <c r="C10" s="314"/>
      <c r="D10" s="314"/>
      <c r="E10" s="314"/>
      <c r="F10" s="331"/>
      <c r="G10" s="51"/>
      <c r="N10" s="280" t="s">
        <v>100</v>
      </c>
      <c r="O10" s="282" t="str">
        <f>C1&amp;"_SEC"</f>
        <v>NSE1_SEC</v>
      </c>
      <c r="P10" s="282" t="e">
        <f>C11</f>
        <v>#VALUE!</v>
      </c>
      <c r="Q10" s="282"/>
      <c r="R10" s="282"/>
      <c r="S10" s="282"/>
      <c r="T10" s="282"/>
      <c r="U10" s="47"/>
      <c r="V10" s="282"/>
      <c r="W10" s="291"/>
    </row>
    <row r="11" spans="2:258" ht="18.75" x14ac:dyDescent="0.3">
      <c r="B11" s="382" t="s">
        <v>76</v>
      </c>
      <c r="C11" s="314" t="e">
        <f>C8*F8</f>
        <v>#VALUE!</v>
      </c>
      <c r="D11" s="314"/>
      <c r="E11" s="383" t="s">
        <v>164</v>
      </c>
      <c r="F11" s="384">
        <v>6</v>
      </c>
      <c r="G11" s="51"/>
      <c r="N11" s="280" t="s">
        <v>97</v>
      </c>
      <c r="O11" s="282" t="str">
        <f>C1&amp;"_SECW"</f>
        <v>NSE1_SECW</v>
      </c>
      <c r="P11" s="364" t="e">
        <f>AB79</f>
        <v>#VALUE!</v>
      </c>
      <c r="Q11" s="282" t="s">
        <v>86</v>
      </c>
      <c r="R11" s="282"/>
      <c r="S11" s="282"/>
      <c r="T11" s="282"/>
      <c r="U11" s="47"/>
      <c r="V11" s="47"/>
      <c r="W11" s="278"/>
    </row>
    <row r="12" spans="2:258" ht="18.75" x14ac:dyDescent="0.3">
      <c r="B12" s="330"/>
      <c r="C12" s="314"/>
      <c r="D12" s="314"/>
      <c r="E12" s="383" t="s">
        <v>165</v>
      </c>
      <c r="F12" s="384">
        <v>5.8125</v>
      </c>
      <c r="G12" s="51"/>
      <c r="N12" s="280" t="s">
        <v>98</v>
      </c>
      <c r="O12" s="282" t="str">
        <f>C1&amp;"_TW"</f>
        <v>NSE1_TW</v>
      </c>
      <c r="P12" s="364" t="e">
        <f>AB78</f>
        <v>#VALUE!</v>
      </c>
      <c r="Q12" s="282" t="s">
        <v>86</v>
      </c>
      <c r="R12" s="47"/>
      <c r="S12" s="47"/>
      <c r="T12" s="47"/>
      <c r="U12" s="47"/>
      <c r="V12" s="47"/>
      <c r="W12" s="278"/>
    </row>
    <row r="13" spans="2:258" ht="18.75" x14ac:dyDescent="0.3">
      <c r="B13" s="330"/>
      <c r="C13" s="314"/>
      <c r="D13" s="314"/>
      <c r="E13" s="383"/>
      <c r="F13" s="384"/>
      <c r="G13" s="51"/>
      <c r="N13" s="280" t="s">
        <v>280</v>
      </c>
      <c r="O13" s="282" t="str">
        <f>$C$1&amp;"_FACEAREA"</f>
        <v>NSE1_FACEAREA</v>
      </c>
      <c r="P13" s="364" t="e">
        <f>J3</f>
        <v>#VALUE!</v>
      </c>
      <c r="Q13" s="282" t="s">
        <v>45</v>
      </c>
      <c r="R13" s="47"/>
      <c r="S13" s="47"/>
      <c r="T13" s="47"/>
      <c r="U13" s="47"/>
      <c r="V13" s="47"/>
      <c r="W13" s="278"/>
    </row>
    <row r="14" spans="2:258" ht="19.5" thickBot="1" x14ac:dyDescent="0.35">
      <c r="B14" s="330"/>
      <c r="C14" s="314"/>
      <c r="D14" s="314"/>
      <c r="E14" s="383"/>
      <c r="F14" s="384"/>
      <c r="G14" s="51"/>
      <c r="N14" s="281" t="s">
        <v>277</v>
      </c>
      <c r="O14" s="395" t="str">
        <f>$C$1&amp;"_FACEVEL"</f>
        <v>NSE1_FACEVEL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4"/>
      <c r="W16" s="885"/>
      <c r="X16" s="94"/>
      <c r="Y16" s="95"/>
      <c r="AT16" s="886" t="s">
        <v>57</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thickBot="1" x14ac:dyDescent="0.3">
      <c r="B17" s="66"/>
      <c r="C17" s="68"/>
      <c r="D17" s="68">
        <f>F11</f>
        <v>6</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5">
        <v>1</v>
      </c>
      <c r="D18" s="344">
        <v>2</v>
      </c>
      <c r="E18" s="345">
        <v>3</v>
      </c>
      <c r="F18" s="345">
        <v>4</v>
      </c>
      <c r="G18" s="345">
        <v>5</v>
      </c>
      <c r="H18" s="345">
        <v>6</v>
      </c>
      <c r="I18" s="345">
        <v>7</v>
      </c>
      <c r="J18" s="345">
        <v>8</v>
      </c>
      <c r="K18" s="345">
        <v>9</v>
      </c>
      <c r="L18" s="345">
        <v>10</v>
      </c>
      <c r="M18" s="345">
        <v>11</v>
      </c>
      <c r="N18" s="345">
        <v>12</v>
      </c>
      <c r="O18" s="345">
        <v>13</v>
      </c>
      <c r="P18" s="345">
        <v>14</v>
      </c>
      <c r="Q18" s="345">
        <v>15</v>
      </c>
      <c r="R18" s="345">
        <v>16</v>
      </c>
      <c r="S18" s="345">
        <v>17</v>
      </c>
      <c r="T18" s="345">
        <v>18</v>
      </c>
      <c r="U18" s="345">
        <v>19</v>
      </c>
      <c r="V18" s="345">
        <v>20</v>
      </c>
      <c r="W18" s="346">
        <v>21</v>
      </c>
      <c r="X18" s="64"/>
      <c r="Y18" s="65"/>
      <c r="AT18" s="4"/>
      <c r="AU18" s="889" t="s">
        <v>17</v>
      </c>
      <c r="AV18" s="890"/>
      <c r="AW18" s="209"/>
      <c r="AX18" s="209"/>
      <c r="AY18" s="209"/>
      <c r="AZ18" s="209"/>
      <c r="BA18" s="209"/>
      <c r="BB18" s="209"/>
      <c r="BC18" s="209"/>
      <c r="BD18" s="209"/>
      <c r="BE18" s="209"/>
      <c r="BF18" s="209"/>
      <c r="BG18" s="209"/>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5.8125</v>
      </c>
      <c r="C19" s="227">
        <v>2</v>
      </c>
      <c r="D19" s="99">
        <f t="shared" ref="D19:D30" si="1">AX22/((D$17*B19)/144)</f>
        <v>0.31251612903225806</v>
      </c>
      <c r="E19" s="100">
        <f t="shared" ref="E19:E30" si="2">BH22/((E$17*B19)/144)</f>
        <v>0.3646021505376344</v>
      </c>
      <c r="F19" s="100">
        <f t="shared" ref="F19:F30" si="3">BR22/((F$17*$B19)/144)</f>
        <v>0.37038948626045404</v>
      </c>
      <c r="G19" s="100">
        <f t="shared" ref="G19:G30" si="4">CB22/((G$17*$B19)/144)</f>
        <v>0.38196415770609327</v>
      </c>
      <c r="H19" s="100">
        <f t="shared" ref="H19:H30" si="5">CL22/((H$17*$B19)/144)</f>
        <v>0.38890896057347668</v>
      </c>
      <c r="I19" s="100">
        <f t="shared" ref="I19:I30" si="6">CV22/((I$17*$B19)/144)</f>
        <v>0.3877514934289128</v>
      </c>
      <c r="J19" s="100">
        <f t="shared" ref="J19:J30" si="7">DF22/((J$17*$B19)/144)</f>
        <v>0.39188530465949828</v>
      </c>
      <c r="K19" s="100">
        <f t="shared" ref="K19:K30" si="8">DP22/((K$17*$B19)/144)</f>
        <v>0.39064516129032262</v>
      </c>
      <c r="L19" s="100">
        <f t="shared" ref="L19:L30" si="9">DZ22/((L$17*$B19)/144)</f>
        <v>0.39353882915173238</v>
      </c>
      <c r="M19" s="100">
        <f t="shared" ref="M19:M30" si="10">EJ22/((M$17*$B19)/144)</f>
        <v>0.39585376344086026</v>
      </c>
      <c r="N19" s="100">
        <f t="shared" ref="N19:N30" si="11">ET22/((N$17*$B19)/144)</f>
        <v>0.39459107201042681</v>
      </c>
      <c r="O19" s="100">
        <f t="shared" ref="O19:O30" si="12">FD22/((O$17*$B19)/144)</f>
        <v>0.39643249701314215</v>
      </c>
      <c r="P19" s="206"/>
      <c r="Q19" s="206"/>
      <c r="R19" s="206"/>
      <c r="S19" s="206"/>
      <c r="T19" s="206"/>
      <c r="U19" s="206"/>
      <c r="V19" s="206"/>
      <c r="W19" s="206"/>
      <c r="X19" s="96"/>
      <c r="Y19" s="97"/>
      <c r="Z19" s="83"/>
      <c r="AA19" s="83"/>
      <c r="AT19" s="4"/>
      <c r="AU19" s="891"/>
      <c r="AV19" s="892"/>
      <c r="AW19" s="210"/>
      <c r="AX19" s="210"/>
      <c r="AY19" s="210"/>
      <c r="AZ19" s="210"/>
      <c r="BA19" s="210"/>
      <c r="BB19" s="210"/>
      <c r="BC19" s="210"/>
      <c r="BD19" s="210"/>
      <c r="BE19" s="210"/>
      <c r="BF19" s="210"/>
      <c r="BG19" s="210"/>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6">
        <v>3</v>
      </c>
      <c r="D20" s="98">
        <f t="shared" si="1"/>
        <v>0.43687500000000001</v>
      </c>
      <c r="E20" s="96">
        <f t="shared" si="2"/>
        <v>0.50968749999999996</v>
      </c>
      <c r="F20" s="96">
        <f t="shared" si="3"/>
        <v>0.51777777777777778</v>
      </c>
      <c r="G20" s="96">
        <f t="shared" si="4"/>
        <v>0.53395833333333331</v>
      </c>
      <c r="H20" s="96">
        <f t="shared" si="5"/>
        <v>0.54366666666666663</v>
      </c>
      <c r="I20" s="96">
        <f t="shared" si="6"/>
        <v>0.54204861111111113</v>
      </c>
      <c r="J20" s="96">
        <f t="shared" si="7"/>
        <v>0.54782738095238093</v>
      </c>
      <c r="K20" s="96">
        <f t="shared" si="8"/>
        <v>0.54609375000000004</v>
      </c>
      <c r="L20" s="96">
        <f t="shared" si="9"/>
        <v>0.55013888888888884</v>
      </c>
      <c r="M20" s="96">
        <f t="shared" si="10"/>
        <v>0.55337500000000006</v>
      </c>
      <c r="N20" s="96">
        <f t="shared" si="11"/>
        <v>0.55160984848484851</v>
      </c>
      <c r="O20" s="96">
        <f t="shared" si="12"/>
        <v>0.55418402777777775</v>
      </c>
      <c r="P20" s="206"/>
      <c r="Q20" s="206"/>
      <c r="R20" s="206"/>
      <c r="S20" s="206"/>
      <c r="T20" s="206"/>
      <c r="U20" s="206"/>
      <c r="V20" s="206"/>
      <c r="W20" s="206"/>
      <c r="X20" s="96"/>
      <c r="Y20" s="65"/>
      <c r="AA20" s="83"/>
      <c r="AT20" s="4"/>
      <c r="AU20" s="893"/>
      <c r="AV20" s="894"/>
      <c r="AW20" s="10"/>
      <c r="AX20" s="216">
        <v>6</v>
      </c>
      <c r="AY20" s="12" t="str">
        <f>"("&amp;ROUND(AX20*25.4/50,0)*50&amp;")"</f>
        <v>(150)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1"/>
        <v>0.47475000000000001</v>
      </c>
      <c r="E21" s="96">
        <f t="shared" si="2"/>
        <v>0.55387500000000001</v>
      </c>
      <c r="F21" s="96">
        <f t="shared" si="3"/>
        <v>0.56266666666666665</v>
      </c>
      <c r="G21" s="96">
        <f t="shared" si="4"/>
        <v>0.58025000000000004</v>
      </c>
      <c r="H21" s="96">
        <f t="shared" si="5"/>
        <v>0.59079999999999999</v>
      </c>
      <c r="I21" s="96">
        <f t="shared" si="6"/>
        <v>0.58904166666666669</v>
      </c>
      <c r="J21" s="96">
        <f t="shared" si="7"/>
        <v>0.59532142857142856</v>
      </c>
      <c r="K21" s="96">
        <f t="shared" si="8"/>
        <v>0.59343749999999995</v>
      </c>
      <c r="L21" s="96">
        <f t="shared" si="9"/>
        <v>0.59783333333333333</v>
      </c>
      <c r="M21" s="96">
        <f t="shared" si="10"/>
        <v>0.60134999999999994</v>
      </c>
      <c r="N21" s="96">
        <f t="shared" si="11"/>
        <v>0.59943181818181823</v>
      </c>
      <c r="O21" s="96">
        <f t="shared" si="12"/>
        <v>0.6022291666666667</v>
      </c>
      <c r="P21" s="206"/>
      <c r="Q21" s="206"/>
      <c r="R21" s="206"/>
      <c r="S21" s="206"/>
      <c r="T21" s="206"/>
      <c r="U21" s="206"/>
      <c r="V21" s="206"/>
      <c r="W21" s="206"/>
      <c r="X21" s="96"/>
      <c r="Y21" s="65"/>
      <c r="AA21" s="83"/>
      <c r="AT21" s="4"/>
      <c r="AU21" s="10"/>
      <c r="AV21" s="17"/>
      <c r="AW21" s="18"/>
      <c r="AX21" s="12"/>
      <c r="AY21" s="12">
        <v>0</v>
      </c>
      <c r="AZ21" s="12">
        <f t="shared" ref="AZ21:BG21" si="13">AY21+1</f>
        <v>1</v>
      </c>
      <c r="BA21" s="12">
        <f t="shared" si="13"/>
        <v>2</v>
      </c>
      <c r="BB21" s="12">
        <f t="shared" si="13"/>
        <v>3</v>
      </c>
      <c r="BC21" s="12">
        <f t="shared" si="13"/>
        <v>4</v>
      </c>
      <c r="BD21" s="12">
        <f t="shared" si="13"/>
        <v>5</v>
      </c>
      <c r="BE21" s="12">
        <f t="shared" si="13"/>
        <v>6</v>
      </c>
      <c r="BF21" s="12">
        <f t="shared" si="13"/>
        <v>7</v>
      </c>
      <c r="BG21" s="12">
        <f t="shared" si="13"/>
        <v>8</v>
      </c>
      <c r="BH21" s="11">
        <v>6</v>
      </c>
      <c r="BI21" s="12">
        <f>BH21+1</f>
        <v>7</v>
      </c>
      <c r="BJ21" s="12">
        <f t="shared" ref="BJ21:DU21" si="14">BI21+1</f>
        <v>8</v>
      </c>
      <c r="BK21" s="12">
        <f t="shared" si="14"/>
        <v>9</v>
      </c>
      <c r="BL21" s="12">
        <f t="shared" si="14"/>
        <v>10</v>
      </c>
      <c r="BM21" s="12">
        <f t="shared" si="14"/>
        <v>11</v>
      </c>
      <c r="BN21" s="12">
        <f t="shared" si="14"/>
        <v>12</v>
      </c>
      <c r="BO21" s="12">
        <f t="shared" si="14"/>
        <v>13</v>
      </c>
      <c r="BP21" s="12">
        <f t="shared" si="14"/>
        <v>14</v>
      </c>
      <c r="BQ21" s="12">
        <f t="shared" si="14"/>
        <v>15</v>
      </c>
      <c r="BR21" s="12">
        <f>BQ21+1</f>
        <v>16</v>
      </c>
      <c r="BS21" s="12">
        <f t="shared" si="14"/>
        <v>17</v>
      </c>
      <c r="BT21" s="12">
        <f t="shared" si="14"/>
        <v>18</v>
      </c>
      <c r="BU21" s="12">
        <f t="shared" si="14"/>
        <v>19</v>
      </c>
      <c r="BV21" s="12">
        <f t="shared" si="14"/>
        <v>20</v>
      </c>
      <c r="BW21" s="12">
        <f t="shared" si="14"/>
        <v>21</v>
      </c>
      <c r="BX21" s="12">
        <f t="shared" si="14"/>
        <v>22</v>
      </c>
      <c r="BY21" s="12">
        <f t="shared" si="14"/>
        <v>23</v>
      </c>
      <c r="BZ21" s="12">
        <f t="shared" si="14"/>
        <v>24</v>
      </c>
      <c r="CA21" s="12">
        <f t="shared" si="14"/>
        <v>25</v>
      </c>
      <c r="CB21" s="12">
        <f t="shared" si="14"/>
        <v>26</v>
      </c>
      <c r="CC21" s="12">
        <f t="shared" si="14"/>
        <v>27</v>
      </c>
      <c r="CD21" s="12">
        <f t="shared" si="14"/>
        <v>28</v>
      </c>
      <c r="CE21" s="12">
        <f t="shared" si="14"/>
        <v>29</v>
      </c>
      <c r="CF21" s="12">
        <f t="shared" si="14"/>
        <v>30</v>
      </c>
      <c r="CG21" s="12">
        <f t="shared" si="14"/>
        <v>31</v>
      </c>
      <c r="CH21" s="12">
        <f t="shared" si="14"/>
        <v>32</v>
      </c>
      <c r="CI21" s="12">
        <f t="shared" si="14"/>
        <v>33</v>
      </c>
      <c r="CJ21" s="12">
        <f t="shared" si="14"/>
        <v>34</v>
      </c>
      <c r="CK21" s="12">
        <f t="shared" si="14"/>
        <v>35</v>
      </c>
      <c r="CL21" s="12">
        <f t="shared" si="14"/>
        <v>36</v>
      </c>
      <c r="CM21" s="12">
        <f t="shared" si="14"/>
        <v>37</v>
      </c>
      <c r="CN21" s="12">
        <f t="shared" si="14"/>
        <v>38</v>
      </c>
      <c r="CO21" s="12">
        <f t="shared" si="14"/>
        <v>39</v>
      </c>
      <c r="CP21" s="12">
        <f t="shared" si="14"/>
        <v>40</v>
      </c>
      <c r="CQ21" s="12">
        <f t="shared" si="14"/>
        <v>41</v>
      </c>
      <c r="CR21" s="12">
        <f t="shared" si="14"/>
        <v>42</v>
      </c>
      <c r="CS21" s="12">
        <f t="shared" si="14"/>
        <v>43</v>
      </c>
      <c r="CT21" s="12">
        <f t="shared" si="14"/>
        <v>44</v>
      </c>
      <c r="CU21" s="12">
        <f t="shared" si="14"/>
        <v>45</v>
      </c>
      <c r="CV21" s="12">
        <f t="shared" si="14"/>
        <v>46</v>
      </c>
      <c r="CW21" s="12">
        <f t="shared" si="14"/>
        <v>47</v>
      </c>
      <c r="CX21" s="12">
        <f t="shared" si="14"/>
        <v>48</v>
      </c>
      <c r="CY21" s="12">
        <f t="shared" si="14"/>
        <v>49</v>
      </c>
      <c r="CZ21" s="12">
        <f t="shared" si="14"/>
        <v>50</v>
      </c>
      <c r="DA21" s="12">
        <f t="shared" si="14"/>
        <v>51</v>
      </c>
      <c r="DB21" s="12">
        <f t="shared" si="14"/>
        <v>52</v>
      </c>
      <c r="DC21" s="12">
        <f t="shared" si="14"/>
        <v>53</v>
      </c>
      <c r="DD21" s="12">
        <f t="shared" si="14"/>
        <v>54</v>
      </c>
      <c r="DE21" s="12">
        <f t="shared" si="14"/>
        <v>55</v>
      </c>
      <c r="DF21" s="12">
        <f t="shared" si="14"/>
        <v>56</v>
      </c>
      <c r="DG21" s="12">
        <f t="shared" si="14"/>
        <v>57</v>
      </c>
      <c r="DH21" s="12">
        <f t="shared" si="14"/>
        <v>58</v>
      </c>
      <c r="DI21" s="12">
        <f t="shared" si="14"/>
        <v>59</v>
      </c>
      <c r="DJ21" s="12">
        <f t="shared" si="14"/>
        <v>60</v>
      </c>
      <c r="DK21" s="12">
        <f t="shared" si="14"/>
        <v>61</v>
      </c>
      <c r="DL21" s="12">
        <f t="shared" si="14"/>
        <v>62</v>
      </c>
      <c r="DM21" s="12">
        <f t="shared" si="14"/>
        <v>63</v>
      </c>
      <c r="DN21" s="12">
        <f t="shared" si="14"/>
        <v>64</v>
      </c>
      <c r="DO21" s="12">
        <f t="shared" si="14"/>
        <v>65</v>
      </c>
      <c r="DP21" s="12">
        <f t="shared" si="14"/>
        <v>66</v>
      </c>
      <c r="DQ21" s="12">
        <f t="shared" si="14"/>
        <v>67</v>
      </c>
      <c r="DR21" s="12">
        <f t="shared" si="14"/>
        <v>68</v>
      </c>
      <c r="DS21" s="12">
        <f t="shared" si="14"/>
        <v>69</v>
      </c>
      <c r="DT21" s="12">
        <f t="shared" si="14"/>
        <v>70</v>
      </c>
      <c r="DU21" s="12">
        <f t="shared" si="14"/>
        <v>71</v>
      </c>
      <c r="DV21" s="12">
        <f t="shared" ref="DV21:GG21" si="15">DU21+1</f>
        <v>72</v>
      </c>
      <c r="DW21" s="12">
        <f t="shared" si="15"/>
        <v>73</v>
      </c>
      <c r="DX21" s="12">
        <f t="shared" si="15"/>
        <v>74</v>
      </c>
      <c r="DY21" s="12">
        <f t="shared" si="15"/>
        <v>75</v>
      </c>
      <c r="DZ21" s="12">
        <f t="shared" si="15"/>
        <v>76</v>
      </c>
      <c r="EA21" s="12">
        <f t="shared" si="15"/>
        <v>77</v>
      </c>
      <c r="EB21" s="12">
        <f t="shared" si="15"/>
        <v>78</v>
      </c>
      <c r="EC21" s="12">
        <f t="shared" si="15"/>
        <v>79</v>
      </c>
      <c r="ED21" s="12">
        <f t="shared" si="15"/>
        <v>80</v>
      </c>
      <c r="EE21" s="12">
        <f t="shared" si="15"/>
        <v>81</v>
      </c>
      <c r="EF21" s="12">
        <f t="shared" si="15"/>
        <v>82</v>
      </c>
      <c r="EG21" s="12">
        <f t="shared" si="15"/>
        <v>83</v>
      </c>
      <c r="EH21" s="12">
        <f t="shared" si="15"/>
        <v>84</v>
      </c>
      <c r="EI21" s="12">
        <f t="shared" si="15"/>
        <v>85</v>
      </c>
      <c r="EJ21" s="12">
        <f t="shared" si="15"/>
        <v>86</v>
      </c>
      <c r="EK21" s="12">
        <f t="shared" si="15"/>
        <v>87</v>
      </c>
      <c r="EL21" s="12">
        <f t="shared" si="15"/>
        <v>88</v>
      </c>
      <c r="EM21" s="12">
        <f t="shared" si="15"/>
        <v>89</v>
      </c>
      <c r="EN21" s="12">
        <f t="shared" si="15"/>
        <v>90</v>
      </c>
      <c r="EO21" s="12">
        <f t="shared" si="15"/>
        <v>91</v>
      </c>
      <c r="EP21" s="12">
        <f t="shared" si="15"/>
        <v>92</v>
      </c>
      <c r="EQ21" s="12">
        <f t="shared" si="15"/>
        <v>93</v>
      </c>
      <c r="ER21" s="12">
        <f t="shared" si="15"/>
        <v>94</v>
      </c>
      <c r="ES21" s="12">
        <f t="shared" si="15"/>
        <v>95</v>
      </c>
      <c r="ET21" s="12">
        <f t="shared" si="15"/>
        <v>96</v>
      </c>
      <c r="EU21" s="12">
        <f t="shared" si="15"/>
        <v>97</v>
      </c>
      <c r="EV21" s="12">
        <f t="shared" si="15"/>
        <v>98</v>
      </c>
      <c r="EW21" s="12">
        <f t="shared" si="15"/>
        <v>99</v>
      </c>
      <c r="EX21" s="12">
        <f t="shared" si="15"/>
        <v>100</v>
      </c>
      <c r="EY21" s="12">
        <f t="shared" si="15"/>
        <v>101</v>
      </c>
      <c r="EZ21" s="12">
        <f t="shared" si="15"/>
        <v>102</v>
      </c>
      <c r="FA21" s="12">
        <f t="shared" si="15"/>
        <v>103</v>
      </c>
      <c r="FB21" s="12">
        <f t="shared" si="15"/>
        <v>104</v>
      </c>
      <c r="FC21" s="12">
        <f t="shared" si="15"/>
        <v>105</v>
      </c>
      <c r="FD21" s="12">
        <f t="shared" si="15"/>
        <v>106</v>
      </c>
      <c r="FE21" s="12">
        <f t="shared" si="15"/>
        <v>107</v>
      </c>
      <c r="FF21" s="12">
        <f t="shared" si="15"/>
        <v>108</v>
      </c>
      <c r="FG21" s="12">
        <f t="shared" si="15"/>
        <v>109</v>
      </c>
      <c r="FH21" s="12">
        <f t="shared" si="15"/>
        <v>110</v>
      </c>
      <c r="FI21" s="12">
        <f t="shared" si="15"/>
        <v>111</v>
      </c>
      <c r="FJ21" s="12">
        <f t="shared" si="15"/>
        <v>112</v>
      </c>
      <c r="FK21" s="12">
        <f t="shared" si="15"/>
        <v>113</v>
      </c>
      <c r="FL21" s="12">
        <f t="shared" si="15"/>
        <v>114</v>
      </c>
      <c r="FM21" s="12">
        <f t="shared" si="15"/>
        <v>115</v>
      </c>
      <c r="FN21" s="12">
        <f t="shared" si="15"/>
        <v>116</v>
      </c>
      <c r="FO21" s="12">
        <f t="shared" si="15"/>
        <v>117</v>
      </c>
      <c r="FP21" s="12">
        <f t="shared" si="15"/>
        <v>118</v>
      </c>
      <c r="FQ21" s="12">
        <f t="shared" si="15"/>
        <v>119</v>
      </c>
      <c r="FR21" s="12">
        <f t="shared" si="15"/>
        <v>120</v>
      </c>
      <c r="FS21" s="12">
        <f t="shared" si="15"/>
        <v>121</v>
      </c>
      <c r="FT21" s="12">
        <f t="shared" si="15"/>
        <v>122</v>
      </c>
      <c r="FU21" s="12">
        <f t="shared" si="15"/>
        <v>123</v>
      </c>
      <c r="FV21" s="12">
        <f t="shared" si="15"/>
        <v>124</v>
      </c>
      <c r="FW21" s="12">
        <f t="shared" si="15"/>
        <v>125</v>
      </c>
      <c r="FX21" s="12">
        <f t="shared" si="15"/>
        <v>126</v>
      </c>
      <c r="FY21" s="12">
        <f t="shared" si="15"/>
        <v>127</v>
      </c>
      <c r="FZ21" s="12">
        <f t="shared" si="15"/>
        <v>128</v>
      </c>
      <c r="GA21" s="12">
        <f t="shared" si="15"/>
        <v>129</v>
      </c>
      <c r="GB21" s="12">
        <f t="shared" si="15"/>
        <v>130</v>
      </c>
      <c r="GC21" s="12">
        <f t="shared" si="15"/>
        <v>131</v>
      </c>
      <c r="GD21" s="12">
        <f t="shared" si="15"/>
        <v>132</v>
      </c>
      <c r="GE21" s="12">
        <f t="shared" si="15"/>
        <v>133</v>
      </c>
      <c r="GF21" s="12">
        <f t="shared" si="15"/>
        <v>134</v>
      </c>
      <c r="GG21" s="12">
        <f t="shared" si="15"/>
        <v>135</v>
      </c>
      <c r="GH21" s="12">
        <f t="shared" ref="GH21:IO21" si="16">GG21+1</f>
        <v>136</v>
      </c>
      <c r="GI21" s="12">
        <f t="shared" si="16"/>
        <v>137</v>
      </c>
      <c r="GJ21" s="12">
        <f t="shared" si="16"/>
        <v>138</v>
      </c>
      <c r="GK21" s="12">
        <f t="shared" si="16"/>
        <v>139</v>
      </c>
      <c r="GL21" s="12">
        <f t="shared" si="16"/>
        <v>140</v>
      </c>
      <c r="GM21" s="12">
        <f t="shared" si="16"/>
        <v>141</v>
      </c>
      <c r="GN21" s="12">
        <f t="shared" si="16"/>
        <v>142</v>
      </c>
      <c r="GO21" s="12">
        <f t="shared" si="16"/>
        <v>143</v>
      </c>
      <c r="GP21" s="12">
        <f t="shared" si="16"/>
        <v>144</v>
      </c>
      <c r="GQ21" s="12">
        <f t="shared" si="16"/>
        <v>145</v>
      </c>
      <c r="GR21" s="12">
        <f t="shared" si="16"/>
        <v>146</v>
      </c>
      <c r="GS21" s="12">
        <f t="shared" si="16"/>
        <v>147</v>
      </c>
      <c r="GT21" s="12">
        <f t="shared" si="16"/>
        <v>148</v>
      </c>
      <c r="GU21" s="12">
        <f t="shared" si="16"/>
        <v>149</v>
      </c>
      <c r="GV21" s="12">
        <f t="shared" si="16"/>
        <v>150</v>
      </c>
      <c r="GW21" s="12">
        <f t="shared" si="16"/>
        <v>151</v>
      </c>
      <c r="GX21" s="12">
        <f t="shared" si="16"/>
        <v>152</v>
      </c>
      <c r="GY21" s="12">
        <f t="shared" si="16"/>
        <v>153</v>
      </c>
      <c r="GZ21" s="12">
        <f t="shared" si="16"/>
        <v>154</v>
      </c>
      <c r="HA21" s="12">
        <f t="shared" si="16"/>
        <v>155</v>
      </c>
      <c r="HB21" s="12">
        <f t="shared" si="16"/>
        <v>156</v>
      </c>
      <c r="HC21" s="12">
        <f t="shared" si="16"/>
        <v>157</v>
      </c>
      <c r="HD21" s="12">
        <f t="shared" si="16"/>
        <v>158</v>
      </c>
      <c r="HE21" s="12">
        <f t="shared" si="16"/>
        <v>159</v>
      </c>
      <c r="HF21" s="12">
        <f t="shared" si="16"/>
        <v>160</v>
      </c>
      <c r="HG21" s="12">
        <f t="shared" si="16"/>
        <v>161</v>
      </c>
      <c r="HH21" s="12">
        <f t="shared" si="16"/>
        <v>162</v>
      </c>
      <c r="HI21" s="12">
        <f t="shared" si="16"/>
        <v>163</v>
      </c>
      <c r="HJ21" s="12">
        <f t="shared" si="16"/>
        <v>164</v>
      </c>
      <c r="HK21" s="12">
        <f t="shared" si="16"/>
        <v>165</v>
      </c>
      <c r="HL21" s="12">
        <f t="shared" si="16"/>
        <v>166</v>
      </c>
      <c r="HM21" s="12">
        <f t="shared" si="16"/>
        <v>167</v>
      </c>
      <c r="HN21" s="12">
        <f t="shared" si="16"/>
        <v>168</v>
      </c>
      <c r="HO21" s="12">
        <f t="shared" si="16"/>
        <v>169</v>
      </c>
      <c r="HP21" s="12">
        <f t="shared" si="16"/>
        <v>170</v>
      </c>
      <c r="HQ21" s="12">
        <f t="shared" si="16"/>
        <v>171</v>
      </c>
      <c r="HR21" s="12">
        <f t="shared" si="16"/>
        <v>172</v>
      </c>
      <c r="HS21" s="12">
        <f t="shared" si="16"/>
        <v>173</v>
      </c>
      <c r="HT21" s="12">
        <f t="shared" si="16"/>
        <v>174</v>
      </c>
      <c r="HU21" s="12">
        <f t="shared" si="16"/>
        <v>175</v>
      </c>
      <c r="HV21" s="12">
        <f t="shared" si="16"/>
        <v>176</v>
      </c>
      <c r="HW21" s="12">
        <f t="shared" si="16"/>
        <v>177</v>
      </c>
      <c r="HX21" s="12">
        <f t="shared" si="16"/>
        <v>178</v>
      </c>
      <c r="HY21" s="12">
        <f t="shared" si="16"/>
        <v>179</v>
      </c>
      <c r="HZ21" s="12">
        <f t="shared" si="16"/>
        <v>180</v>
      </c>
      <c r="IA21" s="12">
        <f t="shared" si="16"/>
        <v>181</v>
      </c>
      <c r="IB21" s="12">
        <f t="shared" si="16"/>
        <v>182</v>
      </c>
      <c r="IC21" s="12">
        <f t="shared" si="16"/>
        <v>183</v>
      </c>
      <c r="ID21" s="12">
        <f t="shared" si="16"/>
        <v>184</v>
      </c>
      <c r="IE21" s="12">
        <f t="shared" si="16"/>
        <v>185</v>
      </c>
      <c r="IF21" s="12">
        <f t="shared" si="16"/>
        <v>186</v>
      </c>
      <c r="IG21" s="12">
        <f t="shared" si="16"/>
        <v>187</v>
      </c>
      <c r="IH21" s="12">
        <f t="shared" si="16"/>
        <v>188</v>
      </c>
      <c r="II21" s="12">
        <f t="shared" si="16"/>
        <v>189</v>
      </c>
      <c r="IJ21" s="12">
        <f t="shared" si="16"/>
        <v>190</v>
      </c>
      <c r="IK21" s="12">
        <f t="shared" si="16"/>
        <v>191</v>
      </c>
      <c r="IL21" s="12">
        <f t="shared" si="16"/>
        <v>192</v>
      </c>
      <c r="IM21" s="12">
        <f t="shared" si="16"/>
        <v>193</v>
      </c>
      <c r="IN21" s="12">
        <f t="shared" si="16"/>
        <v>194</v>
      </c>
      <c r="IO21" s="12">
        <f t="shared" si="16"/>
        <v>195</v>
      </c>
      <c r="IP21" s="15"/>
      <c r="IQ21" s="16"/>
      <c r="IR21" s="16"/>
      <c r="IS21" s="16"/>
      <c r="IT21" s="16"/>
      <c r="IU21" s="16"/>
      <c r="IV21" s="16"/>
      <c r="IW21" s="16"/>
      <c r="IX21" s="8"/>
    </row>
    <row r="22" spans="2:258" ht="15.75" thickBot="1" x14ac:dyDescent="0.3">
      <c r="B22" s="103">
        <f t="shared" ref="B22:B38" si="17">B21+6</f>
        <v>24</v>
      </c>
      <c r="C22" s="226">
        <v>5</v>
      </c>
      <c r="D22" s="98">
        <f t="shared" si="1"/>
        <v>0.49368749999999995</v>
      </c>
      <c r="E22" s="96">
        <f t="shared" si="2"/>
        <v>0.57596874999999992</v>
      </c>
      <c r="F22" s="96">
        <f t="shared" si="3"/>
        <v>0.58511111111111114</v>
      </c>
      <c r="G22" s="96">
        <f t="shared" si="4"/>
        <v>0.60339583333333335</v>
      </c>
      <c r="H22" s="96">
        <f t="shared" si="5"/>
        <v>0.61436666666666662</v>
      </c>
      <c r="I22" s="96">
        <f t="shared" si="6"/>
        <v>0.61253819444444435</v>
      </c>
      <c r="J22" s="96">
        <f t="shared" si="7"/>
        <v>0.61906845238095243</v>
      </c>
      <c r="K22" s="96">
        <f t="shared" si="8"/>
        <v>0.61710937499999996</v>
      </c>
      <c r="L22" s="96">
        <f t="shared" si="9"/>
        <v>0.62168055555555546</v>
      </c>
      <c r="M22" s="96">
        <f t="shared" si="10"/>
        <v>0.62533749999999999</v>
      </c>
      <c r="N22" s="96">
        <f t="shared" si="11"/>
        <v>0.62334280303030298</v>
      </c>
      <c r="O22" s="96">
        <f t="shared" si="12"/>
        <v>0.62625173611111118</v>
      </c>
      <c r="P22" s="206"/>
      <c r="Q22" s="206"/>
      <c r="R22" s="206"/>
      <c r="S22" s="206"/>
      <c r="T22" s="206"/>
      <c r="U22" s="206"/>
      <c r="V22" s="206"/>
      <c r="W22" s="206"/>
      <c r="X22" s="96"/>
      <c r="Y22" s="65"/>
      <c r="AA22" s="83"/>
      <c r="AT22" s="4"/>
      <c r="AU22" s="216">
        <f>F12</f>
        <v>5.8125</v>
      </c>
      <c r="AV22" s="12" t="str">
        <f>"("&amp;ROUND(AU22*25.4/50,0)*50&amp;")"</f>
        <v>(150)</v>
      </c>
      <c r="AW22" s="217">
        <v>7</v>
      </c>
      <c r="AX22" s="20">
        <f t="shared" ref="AX22:AX33" si="18">($IR22+(($IQ22-1)*$IS22)+$IT22)*BG22/144</f>
        <v>7.5687500000000005E-2</v>
      </c>
      <c r="AY22" s="21" t="str">
        <f t="shared" ref="AY22" si="19">"("&amp;FIXED(AX22*0.092903,2)&amp;")"</f>
        <v>(0.01)</v>
      </c>
      <c r="AZ22" s="22">
        <v>2</v>
      </c>
      <c r="BA22" s="22">
        <f t="shared" ref="BA22:BA33" si="20">$IU$23*AZ22</f>
        <v>1.5</v>
      </c>
      <c r="BB22" s="22">
        <v>0</v>
      </c>
      <c r="BC22" s="22">
        <f t="shared" ref="BC22:BC33" si="21">$IW$23*BB22</f>
        <v>0</v>
      </c>
      <c r="BD22" s="22">
        <v>0</v>
      </c>
      <c r="BE22" s="22">
        <f t="shared" ref="BE22:BE33" si="22">$IV$23*BD22</f>
        <v>0</v>
      </c>
      <c r="BF22" s="22">
        <f t="shared" ref="BF22" si="23">BA22+BC22+BE22</f>
        <v>1.5</v>
      </c>
      <c r="BG22" s="23">
        <f t="shared" ref="BG22:BG33" si="24">AX$20-BA22-BC22-BE22</f>
        <v>4.5</v>
      </c>
      <c r="BH22" s="20">
        <f t="shared" ref="BH22:BH33" si="25">($IR22+(($IQ22-1)*$IS22)+$IT22)*BQ22/144</f>
        <v>0.17660416666666667</v>
      </c>
      <c r="BI22" s="21" t="str">
        <f t="shared" ref="BI22" si="26">"("&amp;FIXED(BH22*0.092903,2)&amp;")"</f>
        <v>(0.02)</v>
      </c>
      <c r="BJ22" s="22">
        <v>2</v>
      </c>
      <c r="BK22" s="22">
        <f t="shared" ref="BK22:BK33" si="27">$IU$23*BJ22</f>
        <v>1.5</v>
      </c>
      <c r="BL22" s="22">
        <v>0</v>
      </c>
      <c r="BM22" s="22">
        <f t="shared" ref="BM22:BM33" si="28">$IW$23*BL22</f>
        <v>0</v>
      </c>
      <c r="BN22" s="22">
        <v>0</v>
      </c>
      <c r="BO22" s="22">
        <f t="shared" ref="BO22:BO33" si="29">$IV$23*BN22</f>
        <v>0</v>
      </c>
      <c r="BP22" s="22">
        <f t="shared" ref="BP22" si="30">BK22+BM22+BO22</f>
        <v>1.5</v>
      </c>
      <c r="BQ22" s="23">
        <f t="shared" ref="BQ22:BQ33" si="31">BH$20-BK22-BM22-BO22</f>
        <v>10.5</v>
      </c>
      <c r="BR22" s="20">
        <f t="shared" ref="BR22:BR33" si="32">($IR22+(($IQ22-1)*$IS22)+$IT22)*CA22/144</f>
        <v>0.26911111111111113</v>
      </c>
      <c r="BS22" s="21" t="str">
        <f t="shared" ref="BS22:BS33" si="33">"("&amp;ROUND(BR22*0.092903,2)&amp;")"</f>
        <v>(0.03)</v>
      </c>
      <c r="BT22" s="22">
        <v>2</v>
      </c>
      <c r="BU22" s="22">
        <f t="shared" ref="BU22:BU33" si="34">$IU$23*BT22</f>
        <v>1.5</v>
      </c>
      <c r="BV22" s="22">
        <v>0</v>
      </c>
      <c r="BW22" s="22">
        <f t="shared" ref="BW22:BW33" si="35">$IW$23*BV22</f>
        <v>0</v>
      </c>
      <c r="BX22" s="22">
        <v>1</v>
      </c>
      <c r="BY22" s="22">
        <f t="shared" ref="BY22:BY33" si="36">$IV$23*BX22</f>
        <v>0.5</v>
      </c>
      <c r="BZ22" s="22">
        <f t="shared" ref="BZ22" si="37">BU22+BW22+BY22</f>
        <v>2</v>
      </c>
      <c r="CA22" s="23">
        <f t="shared" ref="CA22:CA33" si="38">BR$20-BU22-BW22-BY22</f>
        <v>16</v>
      </c>
      <c r="CB22" s="20">
        <f t="shared" ref="CB22:CB33" si="39">($IR22+(($IQ22-1)*$IS22)+$IT22)*CK22/144</f>
        <v>0.37002777777777784</v>
      </c>
      <c r="CC22" s="21" t="str">
        <f t="shared" ref="CC22:CC33" si="40">"("&amp;ROUND(CB22*0.092903,2)&amp;")"</f>
        <v>(0.03)</v>
      </c>
      <c r="CD22" s="22">
        <v>2</v>
      </c>
      <c r="CE22" s="22">
        <f t="shared" ref="CE22:CE33" si="41">$IU$23*CD22</f>
        <v>1.5</v>
      </c>
      <c r="CF22" s="22">
        <v>0</v>
      </c>
      <c r="CG22" s="22">
        <f t="shared" ref="CG22:CG33" si="42">$IW$23*CF22</f>
        <v>0</v>
      </c>
      <c r="CH22" s="22">
        <v>1</v>
      </c>
      <c r="CI22" s="22">
        <f t="shared" ref="CI22:CI33" si="43">$IV$23*CH22</f>
        <v>0.5</v>
      </c>
      <c r="CJ22" s="22">
        <f t="shared" ref="CJ22" si="44">CE22+CG22+CI22</f>
        <v>2</v>
      </c>
      <c r="CK22" s="23">
        <f t="shared" ref="CK22:CK33" si="45">CB$20-CE22-CG22-CI22</f>
        <v>22</v>
      </c>
      <c r="CL22" s="20">
        <f t="shared" ref="CL22:CL33" si="46">($IR22+(($IQ22-1)*$IS22)+$IT22)*CU22/144</f>
        <v>0.47094444444444444</v>
      </c>
      <c r="CM22" s="21" t="str">
        <f t="shared" ref="CM22:CM33" si="47">"("&amp;ROUND(CL22*0.092903,2)&amp;")"</f>
        <v>(0.04)</v>
      </c>
      <c r="CN22" s="22">
        <v>2</v>
      </c>
      <c r="CO22" s="22">
        <f t="shared" ref="CO22:CO33" si="48">$IU$23*CN22</f>
        <v>1.5</v>
      </c>
      <c r="CP22" s="22">
        <v>0</v>
      </c>
      <c r="CQ22" s="22">
        <f t="shared" ref="CQ22:CQ33" si="49">$IW$23*CP22</f>
        <v>0</v>
      </c>
      <c r="CR22" s="22">
        <v>1</v>
      </c>
      <c r="CS22" s="22">
        <f t="shared" ref="CS22:CS33" si="50">$IV$23*CR22</f>
        <v>0.5</v>
      </c>
      <c r="CT22" s="22">
        <f t="shared" ref="CT22" si="51">CO22+CQ22+CS22</f>
        <v>2</v>
      </c>
      <c r="CU22" s="23">
        <f t="shared" ref="CU22:CU33" si="52">CL$20-CO22-CQ22-CS22</f>
        <v>28</v>
      </c>
      <c r="CV22" s="20">
        <f t="shared" ref="CV22:CV33" si="53">($IR22+(($IQ22-1)*$IS22)+$IT22)*DE22/144</f>
        <v>0.5634513888888889</v>
      </c>
      <c r="CW22" s="21" t="str">
        <f t="shared" ref="CW22:CW33" si="54">"("&amp;ROUND(CV22*0.092903,2)&amp;")"</f>
        <v>(0.05)</v>
      </c>
      <c r="CX22" s="22">
        <v>2</v>
      </c>
      <c r="CY22" s="22">
        <f t="shared" ref="CY22:CY33" si="55">$IU$23*CX22</f>
        <v>1.5</v>
      </c>
      <c r="CZ22" s="22">
        <v>0</v>
      </c>
      <c r="DA22" s="22">
        <f t="shared" ref="DA22:DA33" si="56">$IW$23*CZ22</f>
        <v>0</v>
      </c>
      <c r="DB22" s="22">
        <v>2</v>
      </c>
      <c r="DC22" s="22">
        <f t="shared" ref="DC22:DC33" si="57">$IV$23*DB22</f>
        <v>1</v>
      </c>
      <c r="DD22" s="22">
        <f t="shared" ref="DD22" si="58">CY22+DA22+DC22</f>
        <v>2.5</v>
      </c>
      <c r="DE22" s="23">
        <f t="shared" ref="DE22:DE33" si="59">CV$20-CY22-DA22-DC22</f>
        <v>33.5</v>
      </c>
      <c r="DF22" s="20">
        <f t="shared" ref="DF22:DF33" si="60">($IR22+(($IQ22-1)*$IS22)+$IT22)*DO22/144</f>
        <v>0.66436805555555567</v>
      </c>
      <c r="DG22" s="21" t="str">
        <f t="shared" ref="DG22:DG33" si="61">"("&amp;ROUND(DF22*0.092903,2)&amp;")"</f>
        <v>(0.06)</v>
      </c>
      <c r="DH22" s="22">
        <v>2</v>
      </c>
      <c r="DI22" s="22">
        <f t="shared" ref="DI22:DI33" si="62">$IU$23*DH22</f>
        <v>1.5</v>
      </c>
      <c r="DJ22" s="22">
        <v>0</v>
      </c>
      <c r="DK22" s="22">
        <f t="shared" ref="DK22:DK33" si="63">$IW$23*DJ22</f>
        <v>0</v>
      </c>
      <c r="DL22" s="22">
        <v>2</v>
      </c>
      <c r="DM22" s="22">
        <f t="shared" ref="DM22:DM33" si="64">$IV$23*DL22</f>
        <v>1</v>
      </c>
      <c r="DN22" s="22">
        <f t="shared" ref="DN22" si="65">DI22+DK22+DM22</f>
        <v>2.5</v>
      </c>
      <c r="DO22" s="23">
        <f t="shared" ref="DO22:DO33" si="66">DF$20-DI22-DK22-DM22</f>
        <v>39.5</v>
      </c>
      <c r="DP22" s="20">
        <f t="shared" ref="DP22:DP33" si="67">($IR22+(($IQ22-1)*$IS22)+$IT22)*DY22/144</f>
        <v>0.75687500000000008</v>
      </c>
      <c r="DQ22" s="21" t="str">
        <f t="shared" ref="DQ22:DQ33" si="68">"("&amp;ROUND(DP22*0.092903,2)&amp;")"</f>
        <v>(0.07)</v>
      </c>
      <c r="DR22" s="22">
        <v>2</v>
      </c>
      <c r="DS22" s="22">
        <f t="shared" ref="DS22:DS33" si="69">$IU$23*DR22</f>
        <v>1.5</v>
      </c>
      <c r="DT22" s="22">
        <v>0</v>
      </c>
      <c r="DU22" s="22">
        <f t="shared" ref="DU22:DU33" si="70">$IW$23*DT22</f>
        <v>0</v>
      </c>
      <c r="DV22" s="22">
        <v>3</v>
      </c>
      <c r="DW22" s="22">
        <f t="shared" ref="DW22:DW33" si="71">$IV$23*DV22</f>
        <v>1.5</v>
      </c>
      <c r="DX22" s="22">
        <f t="shared" ref="DX22" si="72">DS22+DU22+DW22</f>
        <v>3</v>
      </c>
      <c r="DY22" s="23">
        <f t="shared" ref="DY22:DY33" si="73">DP$20-DS22-DU22-DW22</f>
        <v>45</v>
      </c>
      <c r="DZ22" s="20">
        <f t="shared" ref="DZ22:DZ33" si="74">($IR22+(($IQ22-1)*$IS22)+$IT22)*EI22/144</f>
        <v>0.85779166666666673</v>
      </c>
      <c r="EA22" s="21" t="str">
        <f t="shared" ref="EA22" si="75">"("&amp;FIXED(DZ22*0.092903,2)&amp;")"</f>
        <v>(0.08)</v>
      </c>
      <c r="EB22" s="22">
        <v>2</v>
      </c>
      <c r="EC22" s="22">
        <f t="shared" ref="EC22:EC33" si="76">$IU$23*EB22</f>
        <v>1.5</v>
      </c>
      <c r="ED22" s="22">
        <v>0</v>
      </c>
      <c r="EE22" s="22">
        <f t="shared" ref="EE22:EE33" si="77">$IW$23*ED22</f>
        <v>0</v>
      </c>
      <c r="EF22" s="22">
        <v>3</v>
      </c>
      <c r="EG22" s="22">
        <f t="shared" ref="EG22:EG33" si="78">$IV$23*EF22</f>
        <v>1.5</v>
      </c>
      <c r="EH22" s="22">
        <f t="shared" ref="EH22" si="79">EC22+EE22+EG22</f>
        <v>3</v>
      </c>
      <c r="EI22" s="23">
        <f t="shared" ref="EI22:EI33" si="80">DZ$20-EC22-EE22-EG22</f>
        <v>51</v>
      </c>
      <c r="EJ22" s="20">
        <f t="shared" ref="EJ22:EJ33" si="81">($IR22+(($IQ22-1)*$IS22)+$IT22)*ES22/144</f>
        <v>0.95870833333333338</v>
      </c>
      <c r="EK22" s="21" t="str">
        <f t="shared" ref="EK22" si="82">"("&amp;FIXED(EJ22*0.092903,2)&amp;")"</f>
        <v>(0.09)</v>
      </c>
      <c r="EL22" s="22">
        <v>2</v>
      </c>
      <c r="EM22" s="22">
        <f t="shared" ref="EM22:EM33" si="83">$IU$23*EL22</f>
        <v>1.5</v>
      </c>
      <c r="EN22" s="22">
        <v>0</v>
      </c>
      <c r="EO22" s="22">
        <f t="shared" ref="EO22:EO33" si="84">$IW$23*EN22</f>
        <v>0</v>
      </c>
      <c r="EP22" s="22">
        <v>3</v>
      </c>
      <c r="EQ22" s="22">
        <f t="shared" ref="EQ22:EQ33" si="85">$IV$23*EP22</f>
        <v>1.5</v>
      </c>
      <c r="ER22" s="22">
        <f t="shared" ref="ER22" si="86">EM22+EO22+EQ22</f>
        <v>3</v>
      </c>
      <c r="ES22" s="23">
        <f t="shared" ref="ES22:ES33" si="87">EJ$20-EM22-EO22-EQ22</f>
        <v>57</v>
      </c>
      <c r="ET22" s="20">
        <f t="shared" ref="ET22:ET33" si="88">($IR22+(($IQ22-1)*$IS22)+$IT22)*FC22/144</f>
        <v>1.0512152777777777</v>
      </c>
      <c r="EU22" s="21" t="str">
        <f t="shared" ref="EU22" si="89">"("&amp;FIXED(ET22*0.092903,2)&amp;")"</f>
        <v>(0.10)</v>
      </c>
      <c r="EV22" s="22">
        <v>2</v>
      </c>
      <c r="EW22" s="22">
        <f t="shared" ref="EW22:EW33" si="90">$IU$23*EV22</f>
        <v>1.5</v>
      </c>
      <c r="EX22" s="22">
        <v>0</v>
      </c>
      <c r="EY22" s="22">
        <f t="shared" ref="EY22:EY33" si="91">$IW$23*EX22</f>
        <v>0</v>
      </c>
      <c r="EZ22" s="22">
        <v>4</v>
      </c>
      <c r="FA22" s="22">
        <f t="shared" ref="FA22:FA33" si="92">$IV$23*EZ22</f>
        <v>2</v>
      </c>
      <c r="FB22" s="22">
        <f t="shared" ref="FB22" si="93">EW22+EY22+FA22</f>
        <v>3.5</v>
      </c>
      <c r="FC22" s="23">
        <f t="shared" ref="FC22:FC33" si="94">ET$20-EW22-EY22-FA22</f>
        <v>62.5</v>
      </c>
      <c r="FD22" s="20">
        <f t="shared" ref="FD22:FD33" si="95">($IR22+(($IQ22-1)*$IS22)+$IT22)*FM22/144</f>
        <v>1.1521319444444444</v>
      </c>
      <c r="FE22" s="21" t="str">
        <f t="shared" ref="FE22" si="96">"("&amp;FIXED(FD22*0.092903,2)&amp;")"</f>
        <v>(0.11)</v>
      </c>
      <c r="FF22" s="22">
        <v>2</v>
      </c>
      <c r="FG22" s="22">
        <f t="shared" ref="FG22:FG33" si="97">$IU$23*FF22</f>
        <v>1.5</v>
      </c>
      <c r="FH22" s="22">
        <v>1</v>
      </c>
      <c r="FI22" s="22">
        <f t="shared" ref="FI22:FI33" si="98">$IW$23*FH22</f>
        <v>0</v>
      </c>
      <c r="FJ22" s="22">
        <v>4</v>
      </c>
      <c r="FK22" s="22">
        <f t="shared" ref="FK22:FK33" si="99">$IV$23*FJ22</f>
        <v>2</v>
      </c>
      <c r="FL22" s="22">
        <f t="shared" ref="FL22" si="100">FG22+FI22+FK22</f>
        <v>3.5</v>
      </c>
      <c r="FM22" s="23">
        <f t="shared" ref="FM22:FM33" si="101">FD$20-FG22-FI22-FK22</f>
        <v>68.5</v>
      </c>
      <c r="FN22" s="239"/>
      <c r="FO22" s="240"/>
      <c r="FP22" s="241"/>
      <c r="FQ22" s="241"/>
      <c r="FR22" s="241"/>
      <c r="FS22" s="241"/>
      <c r="FT22" s="241"/>
      <c r="FU22" s="241"/>
      <c r="FV22" s="241"/>
      <c r="FW22" s="242"/>
      <c r="FX22" s="239"/>
      <c r="FY22" s="240"/>
      <c r="FZ22" s="241"/>
      <c r="GA22" s="241"/>
      <c r="GB22" s="241"/>
      <c r="GC22" s="241"/>
      <c r="GD22" s="241"/>
      <c r="GE22" s="241"/>
      <c r="GF22" s="241"/>
      <c r="GG22" s="242"/>
      <c r="GH22" s="239"/>
      <c r="GI22" s="240"/>
      <c r="GJ22" s="241"/>
      <c r="GK22" s="241"/>
      <c r="GL22" s="241"/>
      <c r="GM22" s="241"/>
      <c r="GN22" s="241"/>
      <c r="GO22" s="241"/>
      <c r="GP22" s="241"/>
      <c r="GQ22" s="242"/>
      <c r="GR22" s="239"/>
      <c r="GS22" s="240"/>
      <c r="GT22" s="241"/>
      <c r="GU22" s="241"/>
      <c r="GV22" s="241"/>
      <c r="GW22" s="241"/>
      <c r="GX22" s="241"/>
      <c r="GY22" s="241"/>
      <c r="GZ22" s="241"/>
      <c r="HA22" s="242"/>
      <c r="HB22" s="239"/>
      <c r="HC22" s="240"/>
      <c r="HD22" s="241"/>
      <c r="HE22" s="241"/>
      <c r="HF22" s="241"/>
      <c r="HG22" s="241"/>
      <c r="HH22" s="241"/>
      <c r="HI22" s="241"/>
      <c r="HJ22" s="241"/>
      <c r="HK22" s="242"/>
      <c r="HL22" s="239"/>
      <c r="HM22" s="240"/>
      <c r="HN22" s="241"/>
      <c r="HO22" s="241"/>
      <c r="HP22" s="241"/>
      <c r="HQ22" s="241"/>
      <c r="HR22" s="241"/>
      <c r="HS22" s="241"/>
      <c r="HT22" s="241"/>
      <c r="HU22" s="242"/>
      <c r="HV22" s="239"/>
      <c r="HW22" s="240"/>
      <c r="HX22" s="241"/>
      <c r="HY22" s="241"/>
      <c r="HZ22" s="241"/>
      <c r="IA22" s="241"/>
      <c r="IB22" s="241"/>
      <c r="IC22" s="241"/>
      <c r="ID22" s="241"/>
      <c r="IE22" s="242"/>
      <c r="IF22" s="239"/>
      <c r="IG22" s="240"/>
      <c r="IH22" s="241"/>
      <c r="II22" s="241"/>
      <c r="IJ22" s="241"/>
      <c r="IK22" s="241"/>
      <c r="IL22" s="241"/>
      <c r="IM22" s="241"/>
      <c r="IN22" s="241"/>
      <c r="IO22" s="242"/>
      <c r="IP22" s="15"/>
      <c r="IQ22" s="25">
        <v>4</v>
      </c>
      <c r="IR22" s="26">
        <v>0</v>
      </c>
      <c r="IS22" s="26">
        <v>0.73399999999999999</v>
      </c>
      <c r="IT22" s="26">
        <v>0.22</v>
      </c>
      <c r="IU22" s="26">
        <v>0.75</v>
      </c>
      <c r="IV22" s="26">
        <v>0.5</v>
      </c>
      <c r="IW22" s="26">
        <v>0</v>
      </c>
      <c r="IX22" s="8"/>
    </row>
    <row r="23" spans="2:258" ht="15.75" thickBot="1" x14ac:dyDescent="0.3">
      <c r="B23" s="103">
        <f t="shared" si="17"/>
        <v>30</v>
      </c>
      <c r="C23" s="221">
        <v>6</v>
      </c>
      <c r="D23" s="98">
        <f t="shared" si="1"/>
        <v>0.50505</v>
      </c>
      <c r="E23" s="96">
        <f t="shared" si="2"/>
        <v>0.589225</v>
      </c>
      <c r="F23" s="96">
        <f t="shared" si="3"/>
        <v>0.59857777777777765</v>
      </c>
      <c r="G23" s="96">
        <f t="shared" si="4"/>
        <v>0.6172833333333333</v>
      </c>
      <c r="H23" s="96">
        <f t="shared" si="5"/>
        <v>0.62850666666666666</v>
      </c>
      <c r="I23" s="96">
        <f t="shared" si="6"/>
        <v>0.62663611111111106</v>
      </c>
      <c r="J23" s="96">
        <f t="shared" si="7"/>
        <v>0.63331666666666664</v>
      </c>
      <c r="K23" s="96">
        <f t="shared" si="8"/>
        <v>0.63131249999999994</v>
      </c>
      <c r="L23" s="96">
        <f t="shared" si="9"/>
        <v>0.63598888888888883</v>
      </c>
      <c r="M23" s="96">
        <f t="shared" si="10"/>
        <v>0.63972999999999991</v>
      </c>
      <c r="N23" s="96">
        <f t="shared" si="11"/>
        <v>0.63768939393939394</v>
      </c>
      <c r="O23" s="96">
        <f t="shared" si="12"/>
        <v>0.64066527777777782</v>
      </c>
      <c r="P23" s="206"/>
      <c r="Q23" s="206"/>
      <c r="R23" s="206"/>
      <c r="S23" s="206"/>
      <c r="T23" s="206"/>
      <c r="U23" s="206"/>
      <c r="V23" s="206"/>
      <c r="W23" s="206"/>
      <c r="X23" s="96"/>
      <c r="Y23" s="65"/>
      <c r="AA23" s="83"/>
      <c r="AT23" s="4"/>
      <c r="AU23" s="14">
        <v>12</v>
      </c>
      <c r="AV23" s="12" t="str">
        <f>"("&amp;ROUND(AU23*25.4/50,0)*50&amp;")"</f>
        <v>(300)</v>
      </c>
      <c r="AW23" s="19">
        <v>8</v>
      </c>
      <c r="AX23" s="20">
        <f t="shared" si="18"/>
        <v>0.21843750000000001</v>
      </c>
      <c r="AY23" s="21" t="str">
        <f>"("&amp;FIXED(AX23*0.092903,2)&amp;")"</f>
        <v>(0.02)</v>
      </c>
      <c r="AZ23" s="22">
        <v>2</v>
      </c>
      <c r="BA23" s="22">
        <f t="shared" si="20"/>
        <v>1.5</v>
      </c>
      <c r="BB23" s="22">
        <v>0</v>
      </c>
      <c r="BC23" s="22">
        <f t="shared" si="21"/>
        <v>0</v>
      </c>
      <c r="BD23" s="22">
        <v>0</v>
      </c>
      <c r="BE23" s="22">
        <f t="shared" si="22"/>
        <v>0</v>
      </c>
      <c r="BF23" s="22">
        <f>BA23+BC23+BE23</f>
        <v>1.5</v>
      </c>
      <c r="BG23" s="23">
        <f t="shared" si="24"/>
        <v>4.5</v>
      </c>
      <c r="BH23" s="373">
        <f t="shared" si="25"/>
        <v>0.50968749999999996</v>
      </c>
      <c r="BI23" s="374" t="str">
        <f>"("&amp;FIXED(BH23*0.092903,2)&amp;")"</f>
        <v>(0.05)</v>
      </c>
      <c r="BJ23" s="375">
        <v>2</v>
      </c>
      <c r="BK23" s="375">
        <f t="shared" si="27"/>
        <v>1.5</v>
      </c>
      <c r="BL23" s="375">
        <v>0</v>
      </c>
      <c r="BM23" s="375">
        <f t="shared" si="28"/>
        <v>0</v>
      </c>
      <c r="BN23" s="375">
        <v>0</v>
      </c>
      <c r="BO23" s="375">
        <f t="shared" si="29"/>
        <v>0</v>
      </c>
      <c r="BP23" s="375">
        <f>BK23+BM23+BO23</f>
        <v>1.5</v>
      </c>
      <c r="BQ23" s="376">
        <f t="shared" si="31"/>
        <v>10.5</v>
      </c>
      <c r="BR23" s="373">
        <f t="shared" si="32"/>
        <v>0.77666666666666673</v>
      </c>
      <c r="BS23" s="374" t="str">
        <f t="shared" si="33"/>
        <v>(0.07)</v>
      </c>
      <c r="BT23" s="375">
        <v>2</v>
      </c>
      <c r="BU23" s="375">
        <f t="shared" si="34"/>
        <v>1.5</v>
      </c>
      <c r="BV23" s="375">
        <v>0</v>
      </c>
      <c r="BW23" s="375">
        <f t="shared" si="35"/>
        <v>0</v>
      </c>
      <c r="BX23" s="375">
        <v>1</v>
      </c>
      <c r="BY23" s="375">
        <f t="shared" si="36"/>
        <v>0.5</v>
      </c>
      <c r="BZ23" s="375">
        <f>BU23+BW23+BY23</f>
        <v>2</v>
      </c>
      <c r="CA23" s="376">
        <f t="shared" si="38"/>
        <v>16</v>
      </c>
      <c r="CB23" s="373">
        <f t="shared" si="39"/>
        <v>1.0679166666666666</v>
      </c>
      <c r="CC23" s="374" t="str">
        <f t="shared" si="40"/>
        <v>(0.1)</v>
      </c>
      <c r="CD23" s="375">
        <v>2</v>
      </c>
      <c r="CE23" s="375">
        <f t="shared" si="41"/>
        <v>1.5</v>
      </c>
      <c r="CF23" s="375">
        <v>0</v>
      </c>
      <c r="CG23" s="375">
        <f t="shared" si="42"/>
        <v>0</v>
      </c>
      <c r="CH23" s="375">
        <v>1</v>
      </c>
      <c r="CI23" s="375">
        <f t="shared" si="43"/>
        <v>0.5</v>
      </c>
      <c r="CJ23" s="375">
        <f>CE23+CG23+CI23</f>
        <v>2</v>
      </c>
      <c r="CK23" s="376">
        <f t="shared" si="45"/>
        <v>22</v>
      </c>
      <c r="CL23" s="373">
        <f t="shared" si="46"/>
        <v>1.3591666666666666</v>
      </c>
      <c r="CM23" s="374" t="str">
        <f t="shared" si="47"/>
        <v>(0.13)</v>
      </c>
      <c r="CN23" s="375">
        <v>2</v>
      </c>
      <c r="CO23" s="375">
        <f t="shared" si="48"/>
        <v>1.5</v>
      </c>
      <c r="CP23" s="375">
        <v>0</v>
      </c>
      <c r="CQ23" s="375">
        <f t="shared" si="49"/>
        <v>0</v>
      </c>
      <c r="CR23" s="375">
        <v>1</v>
      </c>
      <c r="CS23" s="375">
        <f t="shared" si="50"/>
        <v>0.5</v>
      </c>
      <c r="CT23" s="375">
        <f>CO23+CQ23+CS23</f>
        <v>2</v>
      </c>
      <c r="CU23" s="376">
        <f t="shared" si="52"/>
        <v>28</v>
      </c>
      <c r="CV23" s="373">
        <f t="shared" si="53"/>
        <v>1.6261458333333334</v>
      </c>
      <c r="CW23" s="374" t="str">
        <f t="shared" si="54"/>
        <v>(0.15)</v>
      </c>
      <c r="CX23" s="375">
        <v>2</v>
      </c>
      <c r="CY23" s="375">
        <f t="shared" si="55"/>
        <v>1.5</v>
      </c>
      <c r="CZ23" s="375">
        <v>0</v>
      </c>
      <c r="DA23" s="375">
        <f t="shared" si="56"/>
        <v>0</v>
      </c>
      <c r="DB23" s="375">
        <v>2</v>
      </c>
      <c r="DC23" s="375">
        <f t="shared" si="57"/>
        <v>1</v>
      </c>
      <c r="DD23" s="375">
        <f>CY23+DA23+DC23</f>
        <v>2.5</v>
      </c>
      <c r="DE23" s="376">
        <f t="shared" si="59"/>
        <v>33.5</v>
      </c>
      <c r="DF23" s="373">
        <f t="shared" si="60"/>
        <v>1.9173958333333334</v>
      </c>
      <c r="DG23" s="374" t="str">
        <f t="shared" si="61"/>
        <v>(0.18)</v>
      </c>
      <c r="DH23" s="375">
        <v>2</v>
      </c>
      <c r="DI23" s="375">
        <f t="shared" si="62"/>
        <v>1.5</v>
      </c>
      <c r="DJ23" s="375">
        <v>0</v>
      </c>
      <c r="DK23" s="375">
        <f t="shared" si="63"/>
        <v>0</v>
      </c>
      <c r="DL23" s="375">
        <v>2</v>
      </c>
      <c r="DM23" s="375">
        <f t="shared" si="64"/>
        <v>1</v>
      </c>
      <c r="DN23" s="375">
        <f>DI23+DK23+DM23</f>
        <v>2.5</v>
      </c>
      <c r="DO23" s="376">
        <f t="shared" si="66"/>
        <v>39.5</v>
      </c>
      <c r="DP23" s="373">
        <f t="shared" si="67"/>
        <v>2.1843750000000002</v>
      </c>
      <c r="DQ23" s="374" t="str">
        <f t="shared" si="68"/>
        <v>(0.2)</v>
      </c>
      <c r="DR23" s="375">
        <v>2</v>
      </c>
      <c r="DS23" s="375">
        <f t="shared" si="69"/>
        <v>1.5</v>
      </c>
      <c r="DT23" s="375">
        <v>0</v>
      </c>
      <c r="DU23" s="375">
        <f t="shared" si="70"/>
        <v>0</v>
      </c>
      <c r="DV23" s="375">
        <v>3</v>
      </c>
      <c r="DW23" s="375">
        <f t="shared" si="71"/>
        <v>1.5</v>
      </c>
      <c r="DX23" s="375">
        <f>DS23+DU23+DW23</f>
        <v>3</v>
      </c>
      <c r="DY23" s="376">
        <f t="shared" si="73"/>
        <v>45</v>
      </c>
      <c r="DZ23" s="373">
        <f t="shared" si="74"/>
        <v>2.475625</v>
      </c>
      <c r="EA23" s="374" t="str">
        <f>"("&amp;FIXED(DZ23*0.092903,2)&amp;")"</f>
        <v>(0.23)</v>
      </c>
      <c r="EB23" s="375">
        <v>2</v>
      </c>
      <c r="EC23" s="375">
        <f t="shared" si="76"/>
        <v>1.5</v>
      </c>
      <c r="ED23" s="375">
        <v>0</v>
      </c>
      <c r="EE23" s="375">
        <f t="shared" si="77"/>
        <v>0</v>
      </c>
      <c r="EF23" s="375">
        <v>3</v>
      </c>
      <c r="EG23" s="375">
        <f t="shared" si="78"/>
        <v>1.5</v>
      </c>
      <c r="EH23" s="375">
        <f>EC23+EE23+EG23</f>
        <v>3</v>
      </c>
      <c r="EI23" s="376">
        <f t="shared" si="80"/>
        <v>51</v>
      </c>
      <c r="EJ23" s="373">
        <f t="shared" si="81"/>
        <v>2.7668750000000002</v>
      </c>
      <c r="EK23" s="374" t="str">
        <f>"("&amp;FIXED(EJ23*0.092903,2)&amp;")"</f>
        <v>(0.26)</v>
      </c>
      <c r="EL23" s="375">
        <v>2</v>
      </c>
      <c r="EM23" s="375">
        <f t="shared" si="83"/>
        <v>1.5</v>
      </c>
      <c r="EN23" s="375">
        <v>0</v>
      </c>
      <c r="EO23" s="375">
        <f t="shared" si="84"/>
        <v>0</v>
      </c>
      <c r="EP23" s="375">
        <v>3</v>
      </c>
      <c r="EQ23" s="375">
        <f t="shared" si="85"/>
        <v>1.5</v>
      </c>
      <c r="ER23" s="375">
        <f>EM23+EO23+EQ23</f>
        <v>3</v>
      </c>
      <c r="ES23" s="376">
        <f t="shared" si="87"/>
        <v>57</v>
      </c>
      <c r="ET23" s="373">
        <f t="shared" si="88"/>
        <v>3.0338541666666665</v>
      </c>
      <c r="EU23" s="374" t="str">
        <f>"("&amp;FIXED(ET23*0.092903,2)&amp;")"</f>
        <v>(0.28)</v>
      </c>
      <c r="EV23" s="375">
        <v>2</v>
      </c>
      <c r="EW23" s="375">
        <f t="shared" si="90"/>
        <v>1.5</v>
      </c>
      <c r="EX23" s="375">
        <v>0</v>
      </c>
      <c r="EY23" s="375">
        <f t="shared" si="91"/>
        <v>0</v>
      </c>
      <c r="EZ23" s="375">
        <v>4</v>
      </c>
      <c r="FA23" s="375">
        <f t="shared" si="92"/>
        <v>2</v>
      </c>
      <c r="FB23" s="375">
        <f>EW23+EY23+FA23</f>
        <v>3.5</v>
      </c>
      <c r="FC23" s="376">
        <f t="shared" si="94"/>
        <v>62.5</v>
      </c>
      <c r="FD23" s="373">
        <f t="shared" si="95"/>
        <v>3.3251041666666667</v>
      </c>
      <c r="FE23" s="374" t="str">
        <f>"("&amp;FIXED(FD23*0.092903,2)&amp;")"</f>
        <v>(0.31)</v>
      </c>
      <c r="FF23" s="22">
        <v>2</v>
      </c>
      <c r="FG23" s="22">
        <f t="shared" si="97"/>
        <v>1.5</v>
      </c>
      <c r="FH23" s="22">
        <v>1</v>
      </c>
      <c r="FI23" s="22">
        <f t="shared" si="98"/>
        <v>0</v>
      </c>
      <c r="FJ23" s="22">
        <v>4</v>
      </c>
      <c r="FK23" s="22">
        <f t="shared" si="99"/>
        <v>2</v>
      </c>
      <c r="FL23" s="22">
        <f>FG23+FI23+FK23</f>
        <v>3.5</v>
      </c>
      <c r="FM23" s="23">
        <f t="shared" si="101"/>
        <v>68.5</v>
      </c>
      <c r="FN23" s="239"/>
      <c r="FO23" s="240"/>
      <c r="FP23" s="241"/>
      <c r="FQ23" s="241"/>
      <c r="FR23" s="241"/>
      <c r="FS23" s="241"/>
      <c r="FT23" s="241"/>
      <c r="FU23" s="241"/>
      <c r="FV23" s="241"/>
      <c r="FW23" s="242"/>
      <c r="FX23" s="239"/>
      <c r="FY23" s="240"/>
      <c r="FZ23" s="241"/>
      <c r="GA23" s="241"/>
      <c r="GB23" s="241"/>
      <c r="GC23" s="241"/>
      <c r="GD23" s="241"/>
      <c r="GE23" s="241"/>
      <c r="GF23" s="241"/>
      <c r="GG23" s="242"/>
      <c r="GH23" s="239"/>
      <c r="GI23" s="240"/>
      <c r="GJ23" s="241"/>
      <c r="GK23" s="241"/>
      <c r="GL23" s="241"/>
      <c r="GM23" s="241"/>
      <c r="GN23" s="241"/>
      <c r="GO23" s="241"/>
      <c r="GP23" s="241"/>
      <c r="GQ23" s="242"/>
      <c r="GR23" s="239"/>
      <c r="GS23" s="240"/>
      <c r="GT23" s="241"/>
      <c r="GU23" s="241"/>
      <c r="GV23" s="241"/>
      <c r="GW23" s="241"/>
      <c r="GX23" s="241"/>
      <c r="GY23" s="241"/>
      <c r="GZ23" s="241"/>
      <c r="HA23" s="242"/>
      <c r="HB23" s="239"/>
      <c r="HC23" s="240"/>
      <c r="HD23" s="241"/>
      <c r="HE23" s="241"/>
      <c r="HF23" s="241"/>
      <c r="HG23" s="241"/>
      <c r="HH23" s="241"/>
      <c r="HI23" s="241"/>
      <c r="HJ23" s="241"/>
      <c r="HK23" s="242"/>
      <c r="HL23" s="239"/>
      <c r="HM23" s="240"/>
      <c r="HN23" s="241"/>
      <c r="HO23" s="241"/>
      <c r="HP23" s="241"/>
      <c r="HQ23" s="241"/>
      <c r="HR23" s="241"/>
      <c r="HS23" s="241"/>
      <c r="HT23" s="241"/>
      <c r="HU23" s="242"/>
      <c r="HV23" s="239"/>
      <c r="HW23" s="240"/>
      <c r="HX23" s="241"/>
      <c r="HY23" s="241"/>
      <c r="HZ23" s="241"/>
      <c r="IA23" s="241"/>
      <c r="IB23" s="241"/>
      <c r="IC23" s="241"/>
      <c r="ID23" s="241"/>
      <c r="IE23" s="242"/>
      <c r="IF23" s="239"/>
      <c r="IG23" s="240"/>
      <c r="IH23" s="241"/>
      <c r="II23" s="241"/>
      <c r="IJ23" s="241"/>
      <c r="IK23" s="241"/>
      <c r="IL23" s="241"/>
      <c r="IM23" s="241"/>
      <c r="IN23" s="241"/>
      <c r="IO23" s="242"/>
      <c r="IP23" s="24"/>
      <c r="IQ23" s="25">
        <v>10</v>
      </c>
      <c r="IR23" s="26">
        <v>0</v>
      </c>
      <c r="IS23" s="26">
        <v>0.73399999999999999</v>
      </c>
      <c r="IT23" s="26">
        <v>0.38400000000000001</v>
      </c>
      <c r="IU23" s="26">
        <v>0.75</v>
      </c>
      <c r="IV23" s="26">
        <v>0.5</v>
      </c>
      <c r="IW23" s="26">
        <v>0</v>
      </c>
      <c r="IX23" s="8"/>
    </row>
    <row r="24" spans="2:258" ht="15.75" thickBot="1" x14ac:dyDescent="0.3">
      <c r="B24" s="103">
        <f t="shared" si="17"/>
        <v>36</v>
      </c>
      <c r="C24" s="226">
        <v>7</v>
      </c>
      <c r="D24" s="98">
        <f t="shared" si="1"/>
        <v>0.512625</v>
      </c>
      <c r="E24" s="96">
        <f t="shared" si="2"/>
        <v>0.59806250000000005</v>
      </c>
      <c r="F24" s="96">
        <f t="shared" si="3"/>
        <v>0.60755555555555552</v>
      </c>
      <c r="G24" s="96">
        <f t="shared" si="4"/>
        <v>0.62654166666666666</v>
      </c>
      <c r="H24" s="96">
        <f t="shared" si="5"/>
        <v>0.63793333333333335</v>
      </c>
      <c r="I24" s="96">
        <f t="shared" si="6"/>
        <v>0.63603472222222224</v>
      </c>
      <c r="J24" s="96">
        <f t="shared" si="7"/>
        <v>0.64281547619047619</v>
      </c>
      <c r="K24" s="96">
        <f t="shared" si="8"/>
        <v>0.64078124999999997</v>
      </c>
      <c r="L24" s="96">
        <f t="shared" si="9"/>
        <v>0.64552777777777792</v>
      </c>
      <c r="M24" s="96">
        <f t="shared" si="10"/>
        <v>0.64932500000000004</v>
      </c>
      <c r="N24" s="96">
        <f t="shared" si="11"/>
        <v>0.64725378787878785</v>
      </c>
      <c r="O24" s="96">
        <f t="shared" si="12"/>
        <v>0.65027430555555565</v>
      </c>
      <c r="P24" s="206"/>
      <c r="Q24" s="206"/>
      <c r="R24" s="206"/>
      <c r="S24" s="206"/>
      <c r="T24" s="206"/>
      <c r="U24" s="206"/>
      <c r="V24" s="206"/>
      <c r="W24" s="206"/>
      <c r="X24" s="96"/>
      <c r="Y24" s="65"/>
      <c r="AA24" s="83"/>
      <c r="AT24" s="4"/>
      <c r="AU24" s="14">
        <f>AU23+6</f>
        <v>18</v>
      </c>
      <c r="AV24" s="12" t="str">
        <f t="shared" ref="AV24:AV41" si="102">"("&amp;ROUND(AU24*25.4/50,0)*50&amp;")"</f>
        <v>(450)</v>
      </c>
      <c r="AW24" s="19">
        <f>AW23+1</f>
        <v>9</v>
      </c>
      <c r="AX24" s="20">
        <f t="shared" si="18"/>
        <v>0.3560625</v>
      </c>
      <c r="AY24" s="21" t="str">
        <f t="shared" ref="AY24:AY30" si="103">"("&amp;FIXED(AX24*0.092903,2)&amp;")"</f>
        <v>(0.03)</v>
      </c>
      <c r="AZ24" s="22">
        <v>2</v>
      </c>
      <c r="BA24" s="22">
        <f t="shared" si="20"/>
        <v>1.5</v>
      </c>
      <c r="BB24" s="22">
        <v>0</v>
      </c>
      <c r="BC24" s="22">
        <f t="shared" si="21"/>
        <v>0</v>
      </c>
      <c r="BD24" s="22">
        <v>0</v>
      </c>
      <c r="BE24" s="22">
        <f t="shared" si="22"/>
        <v>0</v>
      </c>
      <c r="BF24" s="22">
        <f t="shared" ref="BF24:BF33" si="104">BA24+BC24+BE24</f>
        <v>1.5</v>
      </c>
      <c r="BG24" s="23">
        <f t="shared" si="24"/>
        <v>4.5</v>
      </c>
      <c r="BH24" s="373">
        <f t="shared" si="25"/>
        <v>0.83081249999999995</v>
      </c>
      <c r="BI24" s="374" t="str">
        <f t="shared" ref="BI24:BI33" si="105">"("&amp;FIXED(BH24*0.092903,2)&amp;")"</f>
        <v>(0.08)</v>
      </c>
      <c r="BJ24" s="375">
        <v>2</v>
      </c>
      <c r="BK24" s="375">
        <f t="shared" si="27"/>
        <v>1.5</v>
      </c>
      <c r="BL24" s="375">
        <v>0</v>
      </c>
      <c r="BM24" s="375">
        <f t="shared" si="28"/>
        <v>0</v>
      </c>
      <c r="BN24" s="375">
        <v>0</v>
      </c>
      <c r="BO24" s="375">
        <f t="shared" si="29"/>
        <v>0</v>
      </c>
      <c r="BP24" s="375">
        <f t="shared" ref="BP24:BP33" si="106">BK24+BM24+BO24</f>
        <v>1.5</v>
      </c>
      <c r="BQ24" s="376">
        <f t="shared" si="31"/>
        <v>10.5</v>
      </c>
      <c r="BR24" s="373">
        <f t="shared" si="32"/>
        <v>1.266</v>
      </c>
      <c r="BS24" s="374" t="str">
        <f t="shared" si="33"/>
        <v>(0.12)</v>
      </c>
      <c r="BT24" s="375">
        <v>2</v>
      </c>
      <c r="BU24" s="375">
        <f t="shared" si="34"/>
        <v>1.5</v>
      </c>
      <c r="BV24" s="375">
        <v>0</v>
      </c>
      <c r="BW24" s="375">
        <f t="shared" si="35"/>
        <v>0</v>
      </c>
      <c r="BX24" s="375">
        <v>1</v>
      </c>
      <c r="BY24" s="375">
        <f t="shared" si="36"/>
        <v>0.5</v>
      </c>
      <c r="BZ24" s="375">
        <f t="shared" ref="BZ24:BZ33" si="107">BU24+BW24+BY24</f>
        <v>2</v>
      </c>
      <c r="CA24" s="376">
        <f t="shared" si="38"/>
        <v>16</v>
      </c>
      <c r="CB24" s="373">
        <f t="shared" si="39"/>
        <v>1.74075</v>
      </c>
      <c r="CC24" s="374" t="str">
        <f t="shared" si="40"/>
        <v>(0.16)</v>
      </c>
      <c r="CD24" s="375">
        <v>2</v>
      </c>
      <c r="CE24" s="375">
        <f t="shared" si="41"/>
        <v>1.5</v>
      </c>
      <c r="CF24" s="375">
        <v>0</v>
      </c>
      <c r="CG24" s="375">
        <f t="shared" si="42"/>
        <v>0</v>
      </c>
      <c r="CH24" s="375">
        <v>1</v>
      </c>
      <c r="CI24" s="375">
        <f t="shared" si="43"/>
        <v>0.5</v>
      </c>
      <c r="CJ24" s="375">
        <f t="shared" ref="CJ24:CJ33" si="108">CE24+CG24+CI24</f>
        <v>2</v>
      </c>
      <c r="CK24" s="376">
        <f t="shared" si="45"/>
        <v>22</v>
      </c>
      <c r="CL24" s="373">
        <f t="shared" si="46"/>
        <v>2.2155</v>
      </c>
      <c r="CM24" s="374" t="str">
        <f t="shared" si="47"/>
        <v>(0.21)</v>
      </c>
      <c r="CN24" s="375">
        <v>2</v>
      </c>
      <c r="CO24" s="375">
        <f t="shared" si="48"/>
        <v>1.5</v>
      </c>
      <c r="CP24" s="375">
        <v>0</v>
      </c>
      <c r="CQ24" s="375">
        <f t="shared" si="49"/>
        <v>0</v>
      </c>
      <c r="CR24" s="375">
        <v>1</v>
      </c>
      <c r="CS24" s="375">
        <f t="shared" si="50"/>
        <v>0.5</v>
      </c>
      <c r="CT24" s="375">
        <f t="shared" ref="CT24:CT33" si="109">CO24+CQ24+CS24</f>
        <v>2</v>
      </c>
      <c r="CU24" s="376">
        <f t="shared" si="52"/>
        <v>28</v>
      </c>
      <c r="CV24" s="373">
        <f t="shared" si="53"/>
        <v>2.6506875000000001</v>
      </c>
      <c r="CW24" s="374" t="str">
        <f t="shared" si="54"/>
        <v>(0.25)</v>
      </c>
      <c r="CX24" s="375">
        <v>2</v>
      </c>
      <c r="CY24" s="375">
        <f t="shared" si="55"/>
        <v>1.5</v>
      </c>
      <c r="CZ24" s="375">
        <v>0</v>
      </c>
      <c r="DA24" s="375">
        <f t="shared" si="56"/>
        <v>0</v>
      </c>
      <c r="DB24" s="375">
        <v>2</v>
      </c>
      <c r="DC24" s="375">
        <f t="shared" si="57"/>
        <v>1</v>
      </c>
      <c r="DD24" s="375">
        <f t="shared" ref="DD24:DD33" si="110">CY24+DA24+DC24</f>
        <v>2.5</v>
      </c>
      <c r="DE24" s="376">
        <f t="shared" si="59"/>
        <v>33.5</v>
      </c>
      <c r="DF24" s="373">
        <f t="shared" si="60"/>
        <v>3.1254374999999999</v>
      </c>
      <c r="DG24" s="374" t="str">
        <f t="shared" si="61"/>
        <v>(0.29)</v>
      </c>
      <c r="DH24" s="375">
        <v>2</v>
      </c>
      <c r="DI24" s="375">
        <f t="shared" si="62"/>
        <v>1.5</v>
      </c>
      <c r="DJ24" s="375">
        <v>0</v>
      </c>
      <c r="DK24" s="375">
        <f t="shared" si="63"/>
        <v>0</v>
      </c>
      <c r="DL24" s="375">
        <v>2</v>
      </c>
      <c r="DM24" s="375">
        <f t="shared" si="64"/>
        <v>1</v>
      </c>
      <c r="DN24" s="375">
        <f t="shared" ref="DN24:DN33" si="111">DI24+DK24+DM24</f>
        <v>2.5</v>
      </c>
      <c r="DO24" s="376">
        <f t="shared" si="66"/>
        <v>39.5</v>
      </c>
      <c r="DP24" s="373">
        <f t="shared" si="67"/>
        <v>3.5606249999999999</v>
      </c>
      <c r="DQ24" s="374" t="str">
        <f t="shared" si="68"/>
        <v>(0.33)</v>
      </c>
      <c r="DR24" s="375">
        <v>2</v>
      </c>
      <c r="DS24" s="375">
        <f t="shared" si="69"/>
        <v>1.5</v>
      </c>
      <c r="DT24" s="375">
        <v>0</v>
      </c>
      <c r="DU24" s="375">
        <f t="shared" si="70"/>
        <v>0</v>
      </c>
      <c r="DV24" s="375">
        <v>3</v>
      </c>
      <c r="DW24" s="375">
        <f t="shared" si="71"/>
        <v>1.5</v>
      </c>
      <c r="DX24" s="375">
        <f t="shared" ref="DX24:DX33" si="112">DS24+DU24+DW24</f>
        <v>3</v>
      </c>
      <c r="DY24" s="376">
        <f t="shared" si="73"/>
        <v>45</v>
      </c>
      <c r="DZ24" s="373">
        <f t="shared" si="74"/>
        <v>4.0353750000000002</v>
      </c>
      <c r="EA24" s="374" t="str">
        <f t="shared" ref="EA24:EA33" si="113">"("&amp;FIXED(DZ24*0.092903,2)&amp;")"</f>
        <v>(0.37)</v>
      </c>
      <c r="EB24" s="375">
        <v>2</v>
      </c>
      <c r="EC24" s="375">
        <f t="shared" si="76"/>
        <v>1.5</v>
      </c>
      <c r="ED24" s="375">
        <v>0</v>
      </c>
      <c r="EE24" s="375">
        <f t="shared" si="77"/>
        <v>0</v>
      </c>
      <c r="EF24" s="375">
        <v>3</v>
      </c>
      <c r="EG24" s="375">
        <f t="shared" si="78"/>
        <v>1.5</v>
      </c>
      <c r="EH24" s="375">
        <f t="shared" ref="EH24:EH33" si="114">EC24+EE24+EG24</f>
        <v>3</v>
      </c>
      <c r="EI24" s="376">
        <f t="shared" si="80"/>
        <v>51</v>
      </c>
      <c r="EJ24" s="373">
        <f t="shared" si="81"/>
        <v>4.5101249999999995</v>
      </c>
      <c r="EK24" s="374" t="str">
        <f t="shared" ref="EK24:EK30" si="115">"("&amp;FIXED(EJ24*0.092903,2)&amp;")"</f>
        <v>(0.42)</v>
      </c>
      <c r="EL24" s="375">
        <v>2</v>
      </c>
      <c r="EM24" s="375">
        <f t="shared" si="83"/>
        <v>1.5</v>
      </c>
      <c r="EN24" s="375">
        <v>0</v>
      </c>
      <c r="EO24" s="375">
        <f t="shared" si="84"/>
        <v>0</v>
      </c>
      <c r="EP24" s="375">
        <v>3</v>
      </c>
      <c r="EQ24" s="375">
        <f t="shared" si="85"/>
        <v>1.5</v>
      </c>
      <c r="ER24" s="375">
        <f t="shared" ref="ER24:ER33" si="116">EM24+EO24+EQ24</f>
        <v>3</v>
      </c>
      <c r="ES24" s="376">
        <f t="shared" si="87"/>
        <v>57</v>
      </c>
      <c r="ET24" s="373">
        <f t="shared" si="88"/>
        <v>4.9453125</v>
      </c>
      <c r="EU24" s="374" t="str">
        <f t="shared" ref="EU24:EU30" si="117">"("&amp;FIXED(ET24*0.092903,2)&amp;")"</f>
        <v>(0.46)</v>
      </c>
      <c r="EV24" s="375">
        <v>2</v>
      </c>
      <c r="EW24" s="375">
        <f t="shared" si="90"/>
        <v>1.5</v>
      </c>
      <c r="EX24" s="375">
        <v>0</v>
      </c>
      <c r="EY24" s="375">
        <f t="shared" si="91"/>
        <v>0</v>
      </c>
      <c r="EZ24" s="375">
        <v>4</v>
      </c>
      <c r="FA24" s="375">
        <f t="shared" si="92"/>
        <v>2</v>
      </c>
      <c r="FB24" s="375">
        <f t="shared" ref="FB24:FB33" si="118">EW24+EY24+FA24</f>
        <v>3.5</v>
      </c>
      <c r="FC24" s="376">
        <f t="shared" si="94"/>
        <v>62.5</v>
      </c>
      <c r="FD24" s="373">
        <f t="shared" si="95"/>
        <v>5.4200625000000002</v>
      </c>
      <c r="FE24" s="374" t="str">
        <f t="shared" ref="FE24:FE33" si="119">"("&amp;FIXED(FD24*0.092903,2)&amp;")"</f>
        <v>(0.50)</v>
      </c>
      <c r="FF24" s="22">
        <v>2</v>
      </c>
      <c r="FG24" s="22">
        <f t="shared" si="97"/>
        <v>1.5</v>
      </c>
      <c r="FH24" s="22">
        <v>1</v>
      </c>
      <c r="FI24" s="22">
        <f t="shared" si="98"/>
        <v>0</v>
      </c>
      <c r="FJ24" s="22">
        <v>4</v>
      </c>
      <c r="FK24" s="22">
        <f t="shared" si="99"/>
        <v>2</v>
      </c>
      <c r="FL24" s="22">
        <f t="shared" ref="FL24:FL33" si="120">FG24+FI24+FK24</f>
        <v>3.5</v>
      </c>
      <c r="FM24" s="23">
        <f t="shared" si="101"/>
        <v>68.5</v>
      </c>
      <c r="FN24" s="239"/>
      <c r="FO24" s="240"/>
      <c r="FP24" s="241"/>
      <c r="FQ24" s="241"/>
      <c r="FR24" s="241"/>
      <c r="FS24" s="241"/>
      <c r="FT24" s="241"/>
      <c r="FU24" s="241"/>
      <c r="FV24" s="241"/>
      <c r="FW24" s="242"/>
      <c r="FX24" s="239"/>
      <c r="FY24" s="240"/>
      <c r="FZ24" s="241"/>
      <c r="GA24" s="241"/>
      <c r="GB24" s="241"/>
      <c r="GC24" s="241"/>
      <c r="GD24" s="241"/>
      <c r="GE24" s="241"/>
      <c r="GF24" s="241"/>
      <c r="GG24" s="242"/>
      <c r="GH24" s="239"/>
      <c r="GI24" s="240"/>
      <c r="GJ24" s="241"/>
      <c r="GK24" s="241"/>
      <c r="GL24" s="241"/>
      <c r="GM24" s="241"/>
      <c r="GN24" s="241"/>
      <c r="GO24" s="241"/>
      <c r="GP24" s="241"/>
      <c r="GQ24" s="242"/>
      <c r="GR24" s="239"/>
      <c r="GS24" s="240"/>
      <c r="GT24" s="241"/>
      <c r="GU24" s="241"/>
      <c r="GV24" s="241"/>
      <c r="GW24" s="241"/>
      <c r="GX24" s="241"/>
      <c r="GY24" s="241"/>
      <c r="GZ24" s="241"/>
      <c r="HA24" s="242"/>
      <c r="HB24" s="239"/>
      <c r="HC24" s="240"/>
      <c r="HD24" s="241"/>
      <c r="HE24" s="241"/>
      <c r="HF24" s="241"/>
      <c r="HG24" s="241"/>
      <c r="HH24" s="241"/>
      <c r="HI24" s="241"/>
      <c r="HJ24" s="241"/>
      <c r="HK24" s="242"/>
      <c r="HL24" s="239"/>
      <c r="HM24" s="240"/>
      <c r="HN24" s="241"/>
      <c r="HO24" s="241"/>
      <c r="HP24" s="241"/>
      <c r="HQ24" s="241"/>
      <c r="HR24" s="241"/>
      <c r="HS24" s="241"/>
      <c r="HT24" s="241"/>
      <c r="HU24" s="242"/>
      <c r="HV24" s="239"/>
      <c r="HW24" s="240"/>
      <c r="HX24" s="241"/>
      <c r="HY24" s="241"/>
      <c r="HZ24" s="241"/>
      <c r="IA24" s="241"/>
      <c r="IB24" s="241"/>
      <c r="IC24" s="241"/>
      <c r="ID24" s="241"/>
      <c r="IE24" s="242"/>
      <c r="IF24" s="239"/>
      <c r="IG24" s="240"/>
      <c r="IH24" s="241"/>
      <c r="II24" s="241"/>
      <c r="IJ24" s="241"/>
      <c r="IK24" s="241"/>
      <c r="IL24" s="241"/>
      <c r="IM24" s="241"/>
      <c r="IN24" s="241"/>
      <c r="IO24" s="242"/>
      <c r="IP24" s="24"/>
      <c r="IQ24" s="25">
        <v>16</v>
      </c>
      <c r="IR24" s="26">
        <v>0</v>
      </c>
      <c r="IS24" s="26">
        <v>0.73399999999999999</v>
      </c>
      <c r="IT24" s="26">
        <v>0.38400000000000001</v>
      </c>
      <c r="IU24" s="26">
        <v>0.75</v>
      </c>
      <c r="IV24" s="26">
        <v>0.5</v>
      </c>
      <c r="IW24" s="26">
        <v>0</v>
      </c>
      <c r="IX24" s="8"/>
    </row>
    <row r="25" spans="2:258" ht="15.75" thickBot="1" x14ac:dyDescent="0.3">
      <c r="B25" s="103">
        <f t="shared" si="17"/>
        <v>42</v>
      </c>
      <c r="C25" s="221">
        <v>8</v>
      </c>
      <c r="D25" s="98">
        <f t="shared" si="1"/>
        <v>0.51803571428571427</v>
      </c>
      <c r="E25" s="96">
        <f t="shared" si="2"/>
        <v>0.604375</v>
      </c>
      <c r="F25" s="96">
        <f t="shared" si="3"/>
        <v>0.61396825396825394</v>
      </c>
      <c r="G25" s="96">
        <f t="shared" si="4"/>
        <v>0.63315476190476183</v>
      </c>
      <c r="H25" s="96">
        <f t="shared" si="5"/>
        <v>0.64466666666666661</v>
      </c>
      <c r="I25" s="96">
        <f t="shared" si="6"/>
        <v>0.64274801587301578</v>
      </c>
      <c r="J25" s="96">
        <f t="shared" si="7"/>
        <v>0.64960034013605439</v>
      </c>
      <c r="K25" s="96">
        <f t="shared" si="8"/>
        <v>0.64754464285714275</v>
      </c>
      <c r="L25" s="96">
        <f t="shared" si="9"/>
        <v>0.65234126984126983</v>
      </c>
      <c r="M25" s="96">
        <f t="shared" si="10"/>
        <v>0.65617857142857139</v>
      </c>
      <c r="N25" s="96">
        <f t="shared" si="11"/>
        <v>0.65408549783549774</v>
      </c>
      <c r="O25" s="96">
        <f t="shared" si="12"/>
        <v>0.65713789682539681</v>
      </c>
      <c r="P25" s="206"/>
      <c r="Q25" s="206"/>
      <c r="R25" s="206"/>
      <c r="S25" s="206"/>
      <c r="T25" s="206"/>
      <c r="U25" s="206"/>
      <c r="V25" s="206"/>
      <c r="W25" s="206"/>
      <c r="X25" s="96"/>
      <c r="Y25" s="65"/>
      <c r="AA25" s="83"/>
      <c r="AT25" s="4"/>
      <c r="AU25" s="14">
        <f t="shared" ref="AU25:AU41" si="121">AU24+6</f>
        <v>24</v>
      </c>
      <c r="AV25" s="12" t="str">
        <f t="shared" si="102"/>
        <v>(600)</v>
      </c>
      <c r="AW25" s="19">
        <f t="shared" ref="AW25:AW41" si="122">AW24+1</f>
        <v>10</v>
      </c>
      <c r="AX25" s="20">
        <f t="shared" si="18"/>
        <v>0.49368749999999995</v>
      </c>
      <c r="AY25" s="21" t="str">
        <f t="shared" si="103"/>
        <v>(0.05)</v>
      </c>
      <c r="AZ25" s="22">
        <v>2</v>
      </c>
      <c r="BA25" s="22">
        <f t="shared" si="20"/>
        <v>1.5</v>
      </c>
      <c r="BB25" s="22">
        <v>0</v>
      </c>
      <c r="BC25" s="22">
        <f t="shared" si="21"/>
        <v>0</v>
      </c>
      <c r="BD25" s="22">
        <v>0</v>
      </c>
      <c r="BE25" s="22">
        <f t="shared" si="22"/>
        <v>0</v>
      </c>
      <c r="BF25" s="22">
        <f t="shared" si="104"/>
        <v>1.5</v>
      </c>
      <c r="BG25" s="23">
        <f t="shared" si="24"/>
        <v>4.5</v>
      </c>
      <c r="BH25" s="373">
        <f t="shared" si="25"/>
        <v>1.1519374999999998</v>
      </c>
      <c r="BI25" s="374" t="str">
        <f t="shared" si="105"/>
        <v>(0.11)</v>
      </c>
      <c r="BJ25" s="375">
        <v>2</v>
      </c>
      <c r="BK25" s="375">
        <f t="shared" si="27"/>
        <v>1.5</v>
      </c>
      <c r="BL25" s="375">
        <v>0</v>
      </c>
      <c r="BM25" s="375">
        <f t="shared" si="28"/>
        <v>0</v>
      </c>
      <c r="BN25" s="375">
        <v>0</v>
      </c>
      <c r="BO25" s="375">
        <f t="shared" si="29"/>
        <v>0</v>
      </c>
      <c r="BP25" s="375">
        <f t="shared" si="106"/>
        <v>1.5</v>
      </c>
      <c r="BQ25" s="376">
        <f t="shared" si="31"/>
        <v>10.5</v>
      </c>
      <c r="BR25" s="373">
        <f t="shared" si="32"/>
        <v>1.7553333333333334</v>
      </c>
      <c r="BS25" s="374" t="str">
        <f t="shared" si="33"/>
        <v>(0.16)</v>
      </c>
      <c r="BT25" s="375">
        <v>2</v>
      </c>
      <c r="BU25" s="375">
        <f t="shared" si="34"/>
        <v>1.5</v>
      </c>
      <c r="BV25" s="375">
        <v>0</v>
      </c>
      <c r="BW25" s="375">
        <f t="shared" si="35"/>
        <v>0</v>
      </c>
      <c r="BX25" s="375">
        <v>1</v>
      </c>
      <c r="BY25" s="375">
        <f t="shared" si="36"/>
        <v>0.5</v>
      </c>
      <c r="BZ25" s="375">
        <f t="shared" si="107"/>
        <v>2</v>
      </c>
      <c r="CA25" s="376">
        <f t="shared" si="38"/>
        <v>16</v>
      </c>
      <c r="CB25" s="373">
        <f t="shared" si="39"/>
        <v>2.4135833333333334</v>
      </c>
      <c r="CC25" s="374" t="str">
        <f t="shared" si="40"/>
        <v>(0.22)</v>
      </c>
      <c r="CD25" s="375">
        <v>2</v>
      </c>
      <c r="CE25" s="375">
        <f t="shared" si="41"/>
        <v>1.5</v>
      </c>
      <c r="CF25" s="375">
        <v>0</v>
      </c>
      <c r="CG25" s="375">
        <f t="shared" si="42"/>
        <v>0</v>
      </c>
      <c r="CH25" s="375">
        <v>1</v>
      </c>
      <c r="CI25" s="375">
        <f t="shared" si="43"/>
        <v>0.5</v>
      </c>
      <c r="CJ25" s="375">
        <f t="shared" si="108"/>
        <v>2</v>
      </c>
      <c r="CK25" s="376">
        <f t="shared" si="45"/>
        <v>22</v>
      </c>
      <c r="CL25" s="373">
        <f t="shared" si="46"/>
        <v>3.0718333333333332</v>
      </c>
      <c r="CM25" s="374" t="str">
        <f t="shared" si="47"/>
        <v>(0.29)</v>
      </c>
      <c r="CN25" s="375">
        <v>2</v>
      </c>
      <c r="CO25" s="375">
        <f t="shared" si="48"/>
        <v>1.5</v>
      </c>
      <c r="CP25" s="375">
        <v>0</v>
      </c>
      <c r="CQ25" s="375">
        <f t="shared" si="49"/>
        <v>0</v>
      </c>
      <c r="CR25" s="375">
        <v>1</v>
      </c>
      <c r="CS25" s="375">
        <f t="shared" si="50"/>
        <v>0.5</v>
      </c>
      <c r="CT25" s="375">
        <f t="shared" si="109"/>
        <v>2</v>
      </c>
      <c r="CU25" s="376">
        <f t="shared" si="52"/>
        <v>28</v>
      </c>
      <c r="CV25" s="373">
        <f t="shared" si="53"/>
        <v>3.6752291666666661</v>
      </c>
      <c r="CW25" s="374" t="str">
        <f t="shared" si="54"/>
        <v>(0.34)</v>
      </c>
      <c r="CX25" s="375">
        <v>2</v>
      </c>
      <c r="CY25" s="375">
        <f t="shared" si="55"/>
        <v>1.5</v>
      </c>
      <c r="CZ25" s="375">
        <v>0</v>
      </c>
      <c r="DA25" s="375">
        <f t="shared" si="56"/>
        <v>0</v>
      </c>
      <c r="DB25" s="375">
        <v>2</v>
      </c>
      <c r="DC25" s="375">
        <f t="shared" si="57"/>
        <v>1</v>
      </c>
      <c r="DD25" s="375">
        <f t="shared" si="110"/>
        <v>2.5</v>
      </c>
      <c r="DE25" s="376">
        <f t="shared" si="59"/>
        <v>33.5</v>
      </c>
      <c r="DF25" s="373">
        <f t="shared" si="60"/>
        <v>4.3334791666666668</v>
      </c>
      <c r="DG25" s="374" t="str">
        <f t="shared" si="61"/>
        <v>(0.4)</v>
      </c>
      <c r="DH25" s="375">
        <v>2</v>
      </c>
      <c r="DI25" s="375">
        <f t="shared" si="62"/>
        <v>1.5</v>
      </c>
      <c r="DJ25" s="375">
        <v>0</v>
      </c>
      <c r="DK25" s="375">
        <f t="shared" si="63"/>
        <v>0</v>
      </c>
      <c r="DL25" s="375">
        <v>2</v>
      </c>
      <c r="DM25" s="375">
        <f t="shared" si="64"/>
        <v>1</v>
      </c>
      <c r="DN25" s="375">
        <f t="shared" si="111"/>
        <v>2.5</v>
      </c>
      <c r="DO25" s="376">
        <f t="shared" si="66"/>
        <v>39.5</v>
      </c>
      <c r="DP25" s="373">
        <f t="shared" si="67"/>
        <v>4.9368749999999997</v>
      </c>
      <c r="DQ25" s="374" t="str">
        <f t="shared" si="68"/>
        <v>(0.46)</v>
      </c>
      <c r="DR25" s="375">
        <v>2</v>
      </c>
      <c r="DS25" s="375">
        <f t="shared" si="69"/>
        <v>1.5</v>
      </c>
      <c r="DT25" s="375">
        <v>0</v>
      </c>
      <c r="DU25" s="375">
        <f t="shared" si="70"/>
        <v>0</v>
      </c>
      <c r="DV25" s="375">
        <v>3</v>
      </c>
      <c r="DW25" s="375">
        <f t="shared" si="71"/>
        <v>1.5</v>
      </c>
      <c r="DX25" s="375">
        <f t="shared" si="112"/>
        <v>3</v>
      </c>
      <c r="DY25" s="376">
        <f t="shared" si="73"/>
        <v>45</v>
      </c>
      <c r="DZ25" s="373">
        <f t="shared" si="74"/>
        <v>5.5951249999999995</v>
      </c>
      <c r="EA25" s="374" t="str">
        <f t="shared" si="113"/>
        <v>(0.52)</v>
      </c>
      <c r="EB25" s="375">
        <v>2</v>
      </c>
      <c r="EC25" s="375">
        <f t="shared" si="76"/>
        <v>1.5</v>
      </c>
      <c r="ED25" s="375">
        <v>0</v>
      </c>
      <c r="EE25" s="375">
        <f t="shared" si="77"/>
        <v>0</v>
      </c>
      <c r="EF25" s="375">
        <v>3</v>
      </c>
      <c r="EG25" s="375">
        <f t="shared" si="78"/>
        <v>1.5</v>
      </c>
      <c r="EH25" s="375">
        <f t="shared" si="114"/>
        <v>3</v>
      </c>
      <c r="EI25" s="376">
        <f t="shared" si="80"/>
        <v>51</v>
      </c>
      <c r="EJ25" s="373">
        <f t="shared" si="81"/>
        <v>6.2533750000000001</v>
      </c>
      <c r="EK25" s="374" t="str">
        <f t="shared" si="115"/>
        <v>(0.58)</v>
      </c>
      <c r="EL25" s="375">
        <v>2</v>
      </c>
      <c r="EM25" s="375">
        <f t="shared" si="83"/>
        <v>1.5</v>
      </c>
      <c r="EN25" s="375">
        <v>0</v>
      </c>
      <c r="EO25" s="375">
        <f t="shared" si="84"/>
        <v>0</v>
      </c>
      <c r="EP25" s="375">
        <v>3</v>
      </c>
      <c r="EQ25" s="375">
        <f t="shared" si="85"/>
        <v>1.5</v>
      </c>
      <c r="ER25" s="375">
        <f t="shared" si="116"/>
        <v>3</v>
      </c>
      <c r="ES25" s="376">
        <f t="shared" si="87"/>
        <v>57</v>
      </c>
      <c r="ET25" s="373">
        <f t="shared" si="88"/>
        <v>6.856770833333333</v>
      </c>
      <c r="EU25" s="374" t="str">
        <f t="shared" si="117"/>
        <v>(0.64)</v>
      </c>
      <c r="EV25" s="375">
        <v>2</v>
      </c>
      <c r="EW25" s="375">
        <f t="shared" si="90"/>
        <v>1.5</v>
      </c>
      <c r="EX25" s="375">
        <v>0</v>
      </c>
      <c r="EY25" s="375">
        <f t="shared" si="91"/>
        <v>0</v>
      </c>
      <c r="EZ25" s="375">
        <v>4</v>
      </c>
      <c r="FA25" s="375">
        <f t="shared" si="92"/>
        <v>2</v>
      </c>
      <c r="FB25" s="375">
        <f t="shared" si="118"/>
        <v>3.5</v>
      </c>
      <c r="FC25" s="376">
        <f t="shared" si="94"/>
        <v>62.5</v>
      </c>
      <c r="FD25" s="373">
        <f t="shared" si="95"/>
        <v>7.5150208333333337</v>
      </c>
      <c r="FE25" s="374" t="str">
        <f t="shared" si="119"/>
        <v>(0.70)</v>
      </c>
      <c r="FF25" s="22">
        <v>2</v>
      </c>
      <c r="FG25" s="22">
        <f t="shared" si="97"/>
        <v>1.5</v>
      </c>
      <c r="FH25" s="22">
        <v>1</v>
      </c>
      <c r="FI25" s="22">
        <f t="shared" si="98"/>
        <v>0</v>
      </c>
      <c r="FJ25" s="22">
        <v>4</v>
      </c>
      <c r="FK25" s="22">
        <f t="shared" si="99"/>
        <v>2</v>
      </c>
      <c r="FL25" s="22">
        <f t="shared" si="120"/>
        <v>3.5</v>
      </c>
      <c r="FM25" s="23">
        <f t="shared" si="101"/>
        <v>68.5</v>
      </c>
      <c r="FN25" s="239"/>
      <c r="FO25" s="240"/>
      <c r="FP25" s="241"/>
      <c r="FQ25" s="241"/>
      <c r="FR25" s="241"/>
      <c r="FS25" s="241"/>
      <c r="FT25" s="241"/>
      <c r="FU25" s="241"/>
      <c r="FV25" s="241"/>
      <c r="FW25" s="242"/>
      <c r="FX25" s="239"/>
      <c r="FY25" s="240"/>
      <c r="FZ25" s="241"/>
      <c r="GA25" s="241"/>
      <c r="GB25" s="241"/>
      <c r="GC25" s="241"/>
      <c r="GD25" s="241"/>
      <c r="GE25" s="241"/>
      <c r="GF25" s="241"/>
      <c r="GG25" s="242"/>
      <c r="GH25" s="239"/>
      <c r="GI25" s="240"/>
      <c r="GJ25" s="241"/>
      <c r="GK25" s="241"/>
      <c r="GL25" s="241"/>
      <c r="GM25" s="241"/>
      <c r="GN25" s="241"/>
      <c r="GO25" s="241"/>
      <c r="GP25" s="241"/>
      <c r="GQ25" s="242"/>
      <c r="GR25" s="239"/>
      <c r="GS25" s="240"/>
      <c r="GT25" s="241"/>
      <c r="GU25" s="241"/>
      <c r="GV25" s="241"/>
      <c r="GW25" s="241"/>
      <c r="GX25" s="241"/>
      <c r="GY25" s="241"/>
      <c r="GZ25" s="241"/>
      <c r="HA25" s="242"/>
      <c r="HB25" s="239"/>
      <c r="HC25" s="240"/>
      <c r="HD25" s="241"/>
      <c r="HE25" s="241"/>
      <c r="HF25" s="241"/>
      <c r="HG25" s="241"/>
      <c r="HH25" s="241"/>
      <c r="HI25" s="241"/>
      <c r="HJ25" s="241"/>
      <c r="HK25" s="242"/>
      <c r="HL25" s="239"/>
      <c r="HM25" s="240"/>
      <c r="HN25" s="241"/>
      <c r="HO25" s="241"/>
      <c r="HP25" s="241"/>
      <c r="HQ25" s="241"/>
      <c r="HR25" s="241"/>
      <c r="HS25" s="241"/>
      <c r="HT25" s="241"/>
      <c r="HU25" s="242"/>
      <c r="HV25" s="239"/>
      <c r="HW25" s="240"/>
      <c r="HX25" s="241"/>
      <c r="HY25" s="241"/>
      <c r="HZ25" s="241"/>
      <c r="IA25" s="241"/>
      <c r="IB25" s="241"/>
      <c r="IC25" s="241"/>
      <c r="ID25" s="241"/>
      <c r="IE25" s="242"/>
      <c r="IF25" s="239"/>
      <c r="IG25" s="240"/>
      <c r="IH25" s="241"/>
      <c r="II25" s="241"/>
      <c r="IJ25" s="241"/>
      <c r="IK25" s="241"/>
      <c r="IL25" s="241"/>
      <c r="IM25" s="241"/>
      <c r="IN25" s="241"/>
      <c r="IO25" s="242"/>
      <c r="IP25" s="24"/>
      <c r="IQ25" s="25">
        <v>22</v>
      </c>
      <c r="IR25" s="26">
        <v>0</v>
      </c>
      <c r="IS25" s="26">
        <v>0.73399999999999999</v>
      </c>
      <c r="IT25" s="26">
        <v>0.38400000000000001</v>
      </c>
      <c r="IU25" s="26">
        <v>0.75</v>
      </c>
      <c r="IV25" s="26">
        <v>0.5</v>
      </c>
      <c r="IW25" s="26">
        <v>0</v>
      </c>
      <c r="IX25" s="8"/>
    </row>
    <row r="26" spans="2:258" ht="15.75" thickBot="1" x14ac:dyDescent="0.3">
      <c r="B26" s="103">
        <f t="shared" si="17"/>
        <v>48</v>
      </c>
      <c r="C26" s="226">
        <v>9</v>
      </c>
      <c r="D26" s="98">
        <f t="shared" si="1"/>
        <v>0.52209375000000002</v>
      </c>
      <c r="E26" s="96">
        <f t="shared" si="2"/>
        <v>0.60910937500000006</v>
      </c>
      <c r="F26" s="96">
        <f t="shared" si="3"/>
        <v>0.61877777777777776</v>
      </c>
      <c r="G26" s="96">
        <f t="shared" si="4"/>
        <v>0.63811458333333337</v>
      </c>
      <c r="H26" s="96">
        <f t="shared" si="5"/>
        <v>0.64971666666666672</v>
      </c>
      <c r="I26" s="96">
        <f t="shared" si="6"/>
        <v>0.64778298611111118</v>
      </c>
      <c r="J26" s="96">
        <f t="shared" si="7"/>
        <v>0.65468898809523812</v>
      </c>
      <c r="K26" s="96">
        <f t="shared" si="8"/>
        <v>0.65261718750000008</v>
      </c>
      <c r="L26" s="96">
        <f t="shared" si="9"/>
        <v>0.65745138888888888</v>
      </c>
      <c r="M26" s="96">
        <f t="shared" si="10"/>
        <v>0.66131875000000007</v>
      </c>
      <c r="N26" s="96">
        <f t="shared" si="11"/>
        <v>0.65920928030303028</v>
      </c>
      <c r="O26" s="96">
        <f t="shared" si="12"/>
        <v>0.66228559027777778</v>
      </c>
      <c r="P26" s="206"/>
      <c r="Q26" s="206"/>
      <c r="R26" s="206"/>
      <c r="S26" s="206"/>
      <c r="T26" s="206"/>
      <c r="U26" s="206"/>
      <c r="V26" s="206"/>
      <c r="W26" s="206"/>
      <c r="X26" s="96"/>
      <c r="Y26" s="65"/>
      <c r="AA26" s="83"/>
      <c r="AT26" s="4"/>
      <c r="AU26" s="27">
        <f t="shared" si="121"/>
        <v>30</v>
      </c>
      <c r="AV26" s="28" t="str">
        <f t="shared" si="102"/>
        <v>(750)</v>
      </c>
      <c r="AW26" s="19">
        <f t="shared" si="122"/>
        <v>11</v>
      </c>
      <c r="AX26" s="20">
        <f t="shared" si="18"/>
        <v>0.63131249999999994</v>
      </c>
      <c r="AY26" s="29" t="str">
        <f t="shared" si="103"/>
        <v>(0.06)</v>
      </c>
      <c r="AZ26" s="22">
        <v>2</v>
      </c>
      <c r="BA26" s="22">
        <f t="shared" si="20"/>
        <v>1.5</v>
      </c>
      <c r="BB26" s="30">
        <v>0</v>
      </c>
      <c r="BC26" s="22">
        <f t="shared" si="21"/>
        <v>0</v>
      </c>
      <c r="BD26" s="30">
        <v>0</v>
      </c>
      <c r="BE26" s="22">
        <f t="shared" si="22"/>
        <v>0</v>
      </c>
      <c r="BF26" s="22">
        <f t="shared" si="104"/>
        <v>1.5</v>
      </c>
      <c r="BG26" s="23">
        <f t="shared" si="24"/>
        <v>4.5</v>
      </c>
      <c r="BH26" s="373">
        <f t="shared" si="25"/>
        <v>1.4730624999999999</v>
      </c>
      <c r="BI26" s="374" t="str">
        <f t="shared" si="105"/>
        <v>(0.14)</v>
      </c>
      <c r="BJ26" s="375">
        <v>2</v>
      </c>
      <c r="BK26" s="375">
        <f t="shared" si="27"/>
        <v>1.5</v>
      </c>
      <c r="BL26" s="375">
        <v>0</v>
      </c>
      <c r="BM26" s="375">
        <f t="shared" si="28"/>
        <v>0</v>
      </c>
      <c r="BN26" s="375">
        <v>0</v>
      </c>
      <c r="BO26" s="375">
        <f t="shared" si="29"/>
        <v>0</v>
      </c>
      <c r="BP26" s="375">
        <f t="shared" si="106"/>
        <v>1.5</v>
      </c>
      <c r="BQ26" s="376">
        <f t="shared" si="31"/>
        <v>10.5</v>
      </c>
      <c r="BR26" s="373">
        <f t="shared" si="32"/>
        <v>2.2446666666666664</v>
      </c>
      <c r="BS26" s="374" t="str">
        <f t="shared" si="33"/>
        <v>(0.21)</v>
      </c>
      <c r="BT26" s="375">
        <v>2</v>
      </c>
      <c r="BU26" s="375">
        <f t="shared" si="34"/>
        <v>1.5</v>
      </c>
      <c r="BV26" s="375">
        <v>0</v>
      </c>
      <c r="BW26" s="375">
        <f t="shared" si="35"/>
        <v>0</v>
      </c>
      <c r="BX26" s="375">
        <v>1</v>
      </c>
      <c r="BY26" s="375">
        <f t="shared" si="36"/>
        <v>0.5</v>
      </c>
      <c r="BZ26" s="375">
        <f t="shared" si="107"/>
        <v>2</v>
      </c>
      <c r="CA26" s="376">
        <f t="shared" si="38"/>
        <v>16</v>
      </c>
      <c r="CB26" s="373">
        <f t="shared" si="39"/>
        <v>3.0864166666666666</v>
      </c>
      <c r="CC26" s="374" t="str">
        <f t="shared" si="40"/>
        <v>(0.29)</v>
      </c>
      <c r="CD26" s="375">
        <v>2</v>
      </c>
      <c r="CE26" s="375">
        <f t="shared" si="41"/>
        <v>1.5</v>
      </c>
      <c r="CF26" s="375">
        <v>0</v>
      </c>
      <c r="CG26" s="375">
        <f t="shared" si="42"/>
        <v>0</v>
      </c>
      <c r="CH26" s="375">
        <v>1</v>
      </c>
      <c r="CI26" s="375">
        <f t="shared" si="43"/>
        <v>0.5</v>
      </c>
      <c r="CJ26" s="375">
        <f t="shared" si="108"/>
        <v>2</v>
      </c>
      <c r="CK26" s="376">
        <f t="shared" si="45"/>
        <v>22</v>
      </c>
      <c r="CL26" s="373">
        <f t="shared" si="46"/>
        <v>3.9281666666666664</v>
      </c>
      <c r="CM26" s="374" t="str">
        <f t="shared" si="47"/>
        <v>(0.36)</v>
      </c>
      <c r="CN26" s="375">
        <v>2</v>
      </c>
      <c r="CO26" s="375">
        <f t="shared" si="48"/>
        <v>1.5</v>
      </c>
      <c r="CP26" s="375">
        <v>0</v>
      </c>
      <c r="CQ26" s="375">
        <f t="shared" si="49"/>
        <v>0</v>
      </c>
      <c r="CR26" s="375">
        <v>1</v>
      </c>
      <c r="CS26" s="375">
        <f t="shared" si="50"/>
        <v>0.5</v>
      </c>
      <c r="CT26" s="375">
        <f t="shared" si="109"/>
        <v>2</v>
      </c>
      <c r="CU26" s="376">
        <f t="shared" si="52"/>
        <v>28</v>
      </c>
      <c r="CV26" s="373">
        <f t="shared" si="53"/>
        <v>4.699770833333333</v>
      </c>
      <c r="CW26" s="374" t="str">
        <f t="shared" si="54"/>
        <v>(0.44)</v>
      </c>
      <c r="CX26" s="375">
        <v>2</v>
      </c>
      <c r="CY26" s="375">
        <f t="shared" si="55"/>
        <v>1.5</v>
      </c>
      <c r="CZ26" s="375">
        <v>0</v>
      </c>
      <c r="DA26" s="375">
        <f t="shared" si="56"/>
        <v>0</v>
      </c>
      <c r="DB26" s="375">
        <v>2</v>
      </c>
      <c r="DC26" s="375">
        <f t="shared" si="57"/>
        <v>1</v>
      </c>
      <c r="DD26" s="375">
        <f t="shared" si="110"/>
        <v>2.5</v>
      </c>
      <c r="DE26" s="376">
        <f t="shared" si="59"/>
        <v>33.5</v>
      </c>
      <c r="DF26" s="373">
        <f t="shared" si="60"/>
        <v>5.5415208333333332</v>
      </c>
      <c r="DG26" s="374" t="str">
        <f t="shared" si="61"/>
        <v>(0.51)</v>
      </c>
      <c r="DH26" s="375">
        <v>2</v>
      </c>
      <c r="DI26" s="375">
        <f t="shared" si="62"/>
        <v>1.5</v>
      </c>
      <c r="DJ26" s="375">
        <v>0</v>
      </c>
      <c r="DK26" s="375">
        <f t="shared" si="63"/>
        <v>0</v>
      </c>
      <c r="DL26" s="375">
        <v>2</v>
      </c>
      <c r="DM26" s="375">
        <f t="shared" si="64"/>
        <v>1</v>
      </c>
      <c r="DN26" s="375">
        <f t="shared" si="111"/>
        <v>2.5</v>
      </c>
      <c r="DO26" s="376">
        <f t="shared" si="66"/>
        <v>39.5</v>
      </c>
      <c r="DP26" s="373">
        <f t="shared" si="67"/>
        <v>6.3131249999999994</v>
      </c>
      <c r="DQ26" s="374" t="str">
        <f t="shared" si="68"/>
        <v>(0.59)</v>
      </c>
      <c r="DR26" s="375">
        <v>2</v>
      </c>
      <c r="DS26" s="375">
        <f t="shared" si="69"/>
        <v>1.5</v>
      </c>
      <c r="DT26" s="375">
        <v>0</v>
      </c>
      <c r="DU26" s="375">
        <f t="shared" si="70"/>
        <v>0</v>
      </c>
      <c r="DV26" s="375">
        <v>3</v>
      </c>
      <c r="DW26" s="375">
        <f t="shared" si="71"/>
        <v>1.5</v>
      </c>
      <c r="DX26" s="375">
        <f t="shared" si="112"/>
        <v>3</v>
      </c>
      <c r="DY26" s="376">
        <f t="shared" si="73"/>
        <v>45</v>
      </c>
      <c r="DZ26" s="373">
        <f t="shared" si="74"/>
        <v>7.1548749999999997</v>
      </c>
      <c r="EA26" s="374" t="str">
        <f t="shared" si="113"/>
        <v>(0.66)</v>
      </c>
      <c r="EB26" s="375">
        <v>2</v>
      </c>
      <c r="EC26" s="375">
        <f t="shared" si="76"/>
        <v>1.5</v>
      </c>
      <c r="ED26" s="375">
        <v>0</v>
      </c>
      <c r="EE26" s="375">
        <f t="shared" si="77"/>
        <v>0</v>
      </c>
      <c r="EF26" s="375">
        <v>3</v>
      </c>
      <c r="EG26" s="375">
        <f t="shared" si="78"/>
        <v>1.5</v>
      </c>
      <c r="EH26" s="375">
        <f t="shared" si="114"/>
        <v>3</v>
      </c>
      <c r="EI26" s="376">
        <f t="shared" si="80"/>
        <v>51</v>
      </c>
      <c r="EJ26" s="373">
        <f t="shared" si="81"/>
        <v>7.996624999999999</v>
      </c>
      <c r="EK26" s="374" t="str">
        <f t="shared" si="115"/>
        <v>(0.74)</v>
      </c>
      <c r="EL26" s="375">
        <v>2</v>
      </c>
      <c r="EM26" s="375">
        <f t="shared" si="83"/>
        <v>1.5</v>
      </c>
      <c r="EN26" s="375">
        <v>0</v>
      </c>
      <c r="EO26" s="375">
        <f t="shared" si="84"/>
        <v>0</v>
      </c>
      <c r="EP26" s="375">
        <v>3</v>
      </c>
      <c r="EQ26" s="375">
        <f t="shared" si="85"/>
        <v>1.5</v>
      </c>
      <c r="ER26" s="375">
        <f t="shared" si="116"/>
        <v>3</v>
      </c>
      <c r="ES26" s="376">
        <f t="shared" si="87"/>
        <v>57</v>
      </c>
      <c r="ET26" s="373">
        <f t="shared" si="88"/>
        <v>8.7682291666666661</v>
      </c>
      <c r="EU26" s="374" t="str">
        <f t="shared" si="117"/>
        <v>(0.81)</v>
      </c>
      <c r="EV26" s="375">
        <v>2</v>
      </c>
      <c r="EW26" s="375">
        <f t="shared" si="90"/>
        <v>1.5</v>
      </c>
      <c r="EX26" s="375">
        <v>0</v>
      </c>
      <c r="EY26" s="375">
        <f t="shared" si="91"/>
        <v>0</v>
      </c>
      <c r="EZ26" s="375">
        <v>4</v>
      </c>
      <c r="FA26" s="375">
        <f t="shared" si="92"/>
        <v>2</v>
      </c>
      <c r="FB26" s="375">
        <f t="shared" si="118"/>
        <v>3.5</v>
      </c>
      <c r="FC26" s="376">
        <f t="shared" si="94"/>
        <v>62.5</v>
      </c>
      <c r="FD26" s="373">
        <f t="shared" si="95"/>
        <v>9.6099791666666672</v>
      </c>
      <c r="FE26" s="374" t="str">
        <f t="shared" si="119"/>
        <v>(0.89)</v>
      </c>
      <c r="FF26" s="22">
        <v>2</v>
      </c>
      <c r="FG26" s="22">
        <f t="shared" si="97"/>
        <v>1.5</v>
      </c>
      <c r="FH26" s="30">
        <v>1</v>
      </c>
      <c r="FI26" s="22">
        <f t="shared" si="98"/>
        <v>0</v>
      </c>
      <c r="FJ26" s="22">
        <v>4</v>
      </c>
      <c r="FK26" s="22">
        <f t="shared" si="99"/>
        <v>2</v>
      </c>
      <c r="FL26" s="22">
        <f t="shared" si="120"/>
        <v>3.5</v>
      </c>
      <c r="FM26" s="23">
        <f t="shared" si="101"/>
        <v>68.5</v>
      </c>
      <c r="FN26" s="239"/>
      <c r="FO26" s="240"/>
      <c r="FP26" s="241"/>
      <c r="FQ26" s="241"/>
      <c r="FR26" s="241"/>
      <c r="FS26" s="241"/>
      <c r="FT26" s="241"/>
      <c r="FU26" s="241"/>
      <c r="FV26" s="241"/>
      <c r="FW26" s="242"/>
      <c r="FX26" s="239"/>
      <c r="FY26" s="240"/>
      <c r="FZ26" s="241"/>
      <c r="GA26" s="241"/>
      <c r="GB26" s="241"/>
      <c r="GC26" s="241"/>
      <c r="GD26" s="241"/>
      <c r="GE26" s="241"/>
      <c r="GF26" s="241"/>
      <c r="GG26" s="242"/>
      <c r="GH26" s="239"/>
      <c r="GI26" s="240"/>
      <c r="GJ26" s="241"/>
      <c r="GK26" s="241"/>
      <c r="GL26" s="241"/>
      <c r="GM26" s="241"/>
      <c r="GN26" s="241"/>
      <c r="GO26" s="241"/>
      <c r="GP26" s="241"/>
      <c r="GQ26" s="242"/>
      <c r="GR26" s="239"/>
      <c r="GS26" s="240"/>
      <c r="GT26" s="241"/>
      <c r="GU26" s="241"/>
      <c r="GV26" s="241"/>
      <c r="GW26" s="241"/>
      <c r="GX26" s="241"/>
      <c r="GY26" s="241"/>
      <c r="GZ26" s="241"/>
      <c r="HA26" s="242"/>
      <c r="HB26" s="239"/>
      <c r="HC26" s="240"/>
      <c r="HD26" s="241"/>
      <c r="HE26" s="241"/>
      <c r="HF26" s="241"/>
      <c r="HG26" s="241"/>
      <c r="HH26" s="241"/>
      <c r="HI26" s="241"/>
      <c r="HJ26" s="241"/>
      <c r="HK26" s="242"/>
      <c r="HL26" s="239"/>
      <c r="HM26" s="240"/>
      <c r="HN26" s="241"/>
      <c r="HO26" s="241"/>
      <c r="HP26" s="241"/>
      <c r="HQ26" s="241"/>
      <c r="HR26" s="241"/>
      <c r="HS26" s="241"/>
      <c r="HT26" s="241"/>
      <c r="HU26" s="242"/>
      <c r="HV26" s="239"/>
      <c r="HW26" s="240"/>
      <c r="HX26" s="241"/>
      <c r="HY26" s="241"/>
      <c r="HZ26" s="241"/>
      <c r="IA26" s="241"/>
      <c r="IB26" s="241"/>
      <c r="IC26" s="241"/>
      <c r="ID26" s="241"/>
      <c r="IE26" s="242"/>
      <c r="IF26" s="239"/>
      <c r="IG26" s="240"/>
      <c r="IH26" s="241"/>
      <c r="II26" s="241"/>
      <c r="IJ26" s="241"/>
      <c r="IK26" s="241"/>
      <c r="IL26" s="241"/>
      <c r="IM26" s="241"/>
      <c r="IN26" s="241"/>
      <c r="IO26" s="242"/>
      <c r="IP26" s="24"/>
      <c r="IQ26" s="25">
        <v>28</v>
      </c>
      <c r="IR26" s="26">
        <v>0</v>
      </c>
      <c r="IS26" s="26">
        <v>0.73399999999999999</v>
      </c>
      <c r="IT26" s="26">
        <v>0.38400000000000001</v>
      </c>
      <c r="IU26" s="26">
        <v>0.75</v>
      </c>
      <c r="IV26" s="26">
        <v>0.5</v>
      </c>
      <c r="IW26" s="26">
        <v>0</v>
      </c>
      <c r="IX26" s="8"/>
    </row>
    <row r="27" spans="2:258" ht="15.75" thickBot="1" x14ac:dyDescent="0.3">
      <c r="B27" s="103">
        <f t="shared" si="17"/>
        <v>54</v>
      </c>
      <c r="C27" s="221">
        <v>10</v>
      </c>
      <c r="D27" s="98">
        <f t="shared" si="1"/>
        <v>0.52524999999999999</v>
      </c>
      <c r="E27" s="96">
        <f t="shared" si="2"/>
        <v>0.61279166666666673</v>
      </c>
      <c r="F27" s="96">
        <f t="shared" si="3"/>
        <v>0.62251851851851847</v>
      </c>
      <c r="G27" s="96">
        <f t="shared" si="4"/>
        <v>0.64197222222222228</v>
      </c>
      <c r="H27" s="96">
        <f t="shared" si="5"/>
        <v>0.65364444444444447</v>
      </c>
      <c r="I27" s="96">
        <f t="shared" si="6"/>
        <v>0.65169907407407401</v>
      </c>
      <c r="J27" s="96">
        <f t="shared" si="7"/>
        <v>0.65864682539682529</v>
      </c>
      <c r="K27" s="96">
        <f t="shared" si="8"/>
        <v>0.65656250000000005</v>
      </c>
      <c r="L27" s="96">
        <f t="shared" si="9"/>
        <v>0.66142592592592586</v>
      </c>
      <c r="M27" s="96">
        <f t="shared" si="10"/>
        <v>0.66531666666666667</v>
      </c>
      <c r="N27" s="96">
        <f t="shared" si="11"/>
        <v>0.66319444444444442</v>
      </c>
      <c r="O27" s="96">
        <f t="shared" si="12"/>
        <v>0.66628935185185179</v>
      </c>
      <c r="P27" s="206"/>
      <c r="Q27" s="206"/>
      <c r="R27" s="206"/>
      <c r="S27" s="206"/>
      <c r="T27" s="206"/>
      <c r="U27" s="206"/>
      <c r="V27" s="206"/>
      <c r="W27" s="206"/>
      <c r="X27" s="96"/>
      <c r="Y27" s="65"/>
      <c r="AA27" s="83"/>
      <c r="AT27" s="4"/>
      <c r="AU27" s="14">
        <f t="shared" si="121"/>
        <v>36</v>
      </c>
      <c r="AV27" s="12" t="str">
        <f t="shared" si="102"/>
        <v>(900)</v>
      </c>
      <c r="AW27" s="19">
        <f t="shared" si="122"/>
        <v>12</v>
      </c>
      <c r="AX27" s="20">
        <f t="shared" si="18"/>
        <v>0.76893750000000005</v>
      </c>
      <c r="AY27" s="21" t="str">
        <f t="shared" si="103"/>
        <v>(0.07)</v>
      </c>
      <c r="AZ27" s="22">
        <v>2</v>
      </c>
      <c r="BA27" s="22">
        <f t="shared" si="20"/>
        <v>1.5</v>
      </c>
      <c r="BB27" s="22">
        <v>0</v>
      </c>
      <c r="BC27" s="22">
        <f t="shared" si="21"/>
        <v>0</v>
      </c>
      <c r="BD27" s="22">
        <v>0</v>
      </c>
      <c r="BE27" s="22">
        <f t="shared" si="22"/>
        <v>0</v>
      </c>
      <c r="BF27" s="22">
        <f t="shared" si="104"/>
        <v>1.5</v>
      </c>
      <c r="BG27" s="23">
        <f t="shared" si="24"/>
        <v>4.5</v>
      </c>
      <c r="BH27" s="373">
        <f t="shared" si="25"/>
        <v>1.7941875</v>
      </c>
      <c r="BI27" s="374" t="str">
        <f t="shared" si="105"/>
        <v>(0.17)</v>
      </c>
      <c r="BJ27" s="375">
        <v>2</v>
      </c>
      <c r="BK27" s="375">
        <f t="shared" si="27"/>
        <v>1.5</v>
      </c>
      <c r="BL27" s="375">
        <v>0</v>
      </c>
      <c r="BM27" s="375">
        <f t="shared" si="28"/>
        <v>0</v>
      </c>
      <c r="BN27" s="375">
        <v>0</v>
      </c>
      <c r="BO27" s="375">
        <f t="shared" si="29"/>
        <v>0</v>
      </c>
      <c r="BP27" s="375">
        <f t="shared" si="106"/>
        <v>1.5</v>
      </c>
      <c r="BQ27" s="376">
        <f t="shared" si="31"/>
        <v>10.5</v>
      </c>
      <c r="BR27" s="373">
        <f t="shared" si="32"/>
        <v>2.734</v>
      </c>
      <c r="BS27" s="374" t="str">
        <f t="shared" si="33"/>
        <v>(0.25)</v>
      </c>
      <c r="BT27" s="375">
        <v>2</v>
      </c>
      <c r="BU27" s="375">
        <f t="shared" si="34"/>
        <v>1.5</v>
      </c>
      <c r="BV27" s="375">
        <v>0</v>
      </c>
      <c r="BW27" s="375">
        <f t="shared" si="35"/>
        <v>0</v>
      </c>
      <c r="BX27" s="375">
        <v>1</v>
      </c>
      <c r="BY27" s="375">
        <f t="shared" si="36"/>
        <v>0.5</v>
      </c>
      <c r="BZ27" s="375">
        <f t="shared" si="107"/>
        <v>2</v>
      </c>
      <c r="CA27" s="376">
        <f t="shared" si="38"/>
        <v>16</v>
      </c>
      <c r="CB27" s="373">
        <f t="shared" si="39"/>
        <v>3.7592499999999998</v>
      </c>
      <c r="CC27" s="374" t="str">
        <f t="shared" si="40"/>
        <v>(0.35)</v>
      </c>
      <c r="CD27" s="375">
        <v>2</v>
      </c>
      <c r="CE27" s="375">
        <f t="shared" si="41"/>
        <v>1.5</v>
      </c>
      <c r="CF27" s="375">
        <v>0</v>
      </c>
      <c r="CG27" s="375">
        <f t="shared" si="42"/>
        <v>0</v>
      </c>
      <c r="CH27" s="375">
        <v>1</v>
      </c>
      <c r="CI27" s="375">
        <f t="shared" si="43"/>
        <v>0.5</v>
      </c>
      <c r="CJ27" s="375">
        <f t="shared" si="108"/>
        <v>2</v>
      </c>
      <c r="CK27" s="376">
        <f t="shared" si="45"/>
        <v>22</v>
      </c>
      <c r="CL27" s="373">
        <f t="shared" si="46"/>
        <v>4.7845000000000004</v>
      </c>
      <c r="CM27" s="374" t="str">
        <f t="shared" si="47"/>
        <v>(0.44)</v>
      </c>
      <c r="CN27" s="375">
        <v>2</v>
      </c>
      <c r="CO27" s="375">
        <f t="shared" si="48"/>
        <v>1.5</v>
      </c>
      <c r="CP27" s="375">
        <v>0</v>
      </c>
      <c r="CQ27" s="375">
        <f t="shared" si="49"/>
        <v>0</v>
      </c>
      <c r="CR27" s="375">
        <v>1</v>
      </c>
      <c r="CS27" s="375">
        <f t="shared" si="50"/>
        <v>0.5</v>
      </c>
      <c r="CT27" s="375">
        <f t="shared" si="109"/>
        <v>2</v>
      </c>
      <c r="CU27" s="376">
        <f t="shared" si="52"/>
        <v>28</v>
      </c>
      <c r="CV27" s="373">
        <f t="shared" si="53"/>
        <v>5.7243124999999999</v>
      </c>
      <c r="CW27" s="374" t="str">
        <f t="shared" si="54"/>
        <v>(0.53)</v>
      </c>
      <c r="CX27" s="375">
        <v>2</v>
      </c>
      <c r="CY27" s="375">
        <f t="shared" si="55"/>
        <v>1.5</v>
      </c>
      <c r="CZ27" s="375">
        <v>0</v>
      </c>
      <c r="DA27" s="375">
        <f t="shared" si="56"/>
        <v>0</v>
      </c>
      <c r="DB27" s="375">
        <v>2</v>
      </c>
      <c r="DC27" s="375">
        <f t="shared" si="57"/>
        <v>1</v>
      </c>
      <c r="DD27" s="375">
        <f t="shared" si="110"/>
        <v>2.5</v>
      </c>
      <c r="DE27" s="376">
        <f t="shared" si="59"/>
        <v>33.5</v>
      </c>
      <c r="DF27" s="373">
        <f t="shared" si="60"/>
        <v>6.7495624999999997</v>
      </c>
      <c r="DG27" s="374" t="str">
        <f t="shared" si="61"/>
        <v>(0.63)</v>
      </c>
      <c r="DH27" s="375">
        <v>2</v>
      </c>
      <c r="DI27" s="375">
        <f t="shared" si="62"/>
        <v>1.5</v>
      </c>
      <c r="DJ27" s="375">
        <v>0</v>
      </c>
      <c r="DK27" s="375">
        <f t="shared" si="63"/>
        <v>0</v>
      </c>
      <c r="DL27" s="375">
        <v>2</v>
      </c>
      <c r="DM27" s="375">
        <f t="shared" si="64"/>
        <v>1</v>
      </c>
      <c r="DN27" s="375">
        <f t="shared" si="111"/>
        <v>2.5</v>
      </c>
      <c r="DO27" s="376">
        <f t="shared" si="66"/>
        <v>39.5</v>
      </c>
      <c r="DP27" s="373">
        <f t="shared" si="67"/>
        <v>7.6893750000000001</v>
      </c>
      <c r="DQ27" s="374" t="str">
        <f t="shared" si="68"/>
        <v>(0.71)</v>
      </c>
      <c r="DR27" s="375">
        <v>2</v>
      </c>
      <c r="DS27" s="375">
        <f t="shared" si="69"/>
        <v>1.5</v>
      </c>
      <c r="DT27" s="375">
        <v>0</v>
      </c>
      <c r="DU27" s="375">
        <f t="shared" si="70"/>
        <v>0</v>
      </c>
      <c r="DV27" s="375">
        <v>3</v>
      </c>
      <c r="DW27" s="375">
        <f t="shared" si="71"/>
        <v>1.5</v>
      </c>
      <c r="DX27" s="375">
        <f t="shared" si="112"/>
        <v>3</v>
      </c>
      <c r="DY27" s="376">
        <f t="shared" si="73"/>
        <v>45</v>
      </c>
      <c r="DZ27" s="373">
        <f t="shared" si="74"/>
        <v>8.7146250000000016</v>
      </c>
      <c r="EA27" s="374" t="str">
        <f t="shared" si="113"/>
        <v>(0.81)</v>
      </c>
      <c r="EB27" s="375">
        <v>2</v>
      </c>
      <c r="EC27" s="375">
        <f t="shared" si="76"/>
        <v>1.5</v>
      </c>
      <c r="ED27" s="375">
        <v>0</v>
      </c>
      <c r="EE27" s="375">
        <f t="shared" si="77"/>
        <v>0</v>
      </c>
      <c r="EF27" s="375">
        <v>3</v>
      </c>
      <c r="EG27" s="375">
        <f t="shared" si="78"/>
        <v>1.5</v>
      </c>
      <c r="EH27" s="375">
        <f t="shared" si="114"/>
        <v>3</v>
      </c>
      <c r="EI27" s="376">
        <f t="shared" si="80"/>
        <v>51</v>
      </c>
      <c r="EJ27" s="373">
        <f t="shared" si="81"/>
        <v>9.7398750000000014</v>
      </c>
      <c r="EK27" s="374" t="str">
        <f t="shared" si="115"/>
        <v>(0.90)</v>
      </c>
      <c r="EL27" s="375">
        <v>2</v>
      </c>
      <c r="EM27" s="375">
        <f t="shared" si="83"/>
        <v>1.5</v>
      </c>
      <c r="EN27" s="375">
        <v>0</v>
      </c>
      <c r="EO27" s="375">
        <f t="shared" si="84"/>
        <v>0</v>
      </c>
      <c r="EP27" s="375">
        <v>3</v>
      </c>
      <c r="EQ27" s="375">
        <f t="shared" si="85"/>
        <v>1.5</v>
      </c>
      <c r="ER27" s="375">
        <f t="shared" si="116"/>
        <v>3</v>
      </c>
      <c r="ES27" s="376">
        <f t="shared" si="87"/>
        <v>57</v>
      </c>
      <c r="ET27" s="373">
        <f t="shared" si="88"/>
        <v>10.6796875</v>
      </c>
      <c r="EU27" s="374" t="str">
        <f t="shared" si="117"/>
        <v>(0.99)</v>
      </c>
      <c r="EV27" s="375">
        <v>2</v>
      </c>
      <c r="EW27" s="375">
        <f t="shared" si="90"/>
        <v>1.5</v>
      </c>
      <c r="EX27" s="375">
        <v>0</v>
      </c>
      <c r="EY27" s="375">
        <f t="shared" si="91"/>
        <v>0</v>
      </c>
      <c r="EZ27" s="375">
        <v>4</v>
      </c>
      <c r="FA27" s="375">
        <f t="shared" si="92"/>
        <v>2</v>
      </c>
      <c r="FB27" s="375">
        <f t="shared" si="118"/>
        <v>3.5</v>
      </c>
      <c r="FC27" s="376">
        <f t="shared" si="94"/>
        <v>62.5</v>
      </c>
      <c r="FD27" s="373">
        <f t="shared" si="95"/>
        <v>11.704937500000002</v>
      </c>
      <c r="FE27" s="374" t="str">
        <f t="shared" si="119"/>
        <v>(1.09)</v>
      </c>
      <c r="FF27" s="22">
        <v>2</v>
      </c>
      <c r="FG27" s="22">
        <f t="shared" si="97"/>
        <v>1.5</v>
      </c>
      <c r="FH27" s="22">
        <v>1</v>
      </c>
      <c r="FI27" s="22">
        <f t="shared" si="98"/>
        <v>0</v>
      </c>
      <c r="FJ27" s="22">
        <v>4</v>
      </c>
      <c r="FK27" s="22">
        <f t="shared" si="99"/>
        <v>2</v>
      </c>
      <c r="FL27" s="22">
        <f t="shared" si="120"/>
        <v>3.5</v>
      </c>
      <c r="FM27" s="23">
        <f t="shared" si="101"/>
        <v>68.5</v>
      </c>
      <c r="FN27" s="239"/>
      <c r="FO27" s="240"/>
      <c r="FP27" s="241"/>
      <c r="FQ27" s="241"/>
      <c r="FR27" s="241"/>
      <c r="FS27" s="241"/>
      <c r="FT27" s="241"/>
      <c r="FU27" s="241"/>
      <c r="FV27" s="241"/>
      <c r="FW27" s="242"/>
      <c r="FX27" s="239"/>
      <c r="FY27" s="240"/>
      <c r="FZ27" s="241"/>
      <c r="GA27" s="241"/>
      <c r="GB27" s="241"/>
      <c r="GC27" s="241"/>
      <c r="GD27" s="241"/>
      <c r="GE27" s="241"/>
      <c r="GF27" s="241"/>
      <c r="GG27" s="242"/>
      <c r="GH27" s="239"/>
      <c r="GI27" s="240"/>
      <c r="GJ27" s="241"/>
      <c r="GK27" s="241"/>
      <c r="GL27" s="241"/>
      <c r="GM27" s="241"/>
      <c r="GN27" s="241"/>
      <c r="GO27" s="241"/>
      <c r="GP27" s="241"/>
      <c r="GQ27" s="242"/>
      <c r="GR27" s="239"/>
      <c r="GS27" s="240"/>
      <c r="GT27" s="241"/>
      <c r="GU27" s="241"/>
      <c r="GV27" s="241"/>
      <c r="GW27" s="241"/>
      <c r="GX27" s="241"/>
      <c r="GY27" s="241"/>
      <c r="GZ27" s="241"/>
      <c r="HA27" s="242"/>
      <c r="HB27" s="239"/>
      <c r="HC27" s="240"/>
      <c r="HD27" s="241"/>
      <c r="HE27" s="241"/>
      <c r="HF27" s="241"/>
      <c r="HG27" s="241"/>
      <c r="HH27" s="241"/>
      <c r="HI27" s="241"/>
      <c r="HJ27" s="241"/>
      <c r="HK27" s="242"/>
      <c r="HL27" s="239"/>
      <c r="HM27" s="240"/>
      <c r="HN27" s="241"/>
      <c r="HO27" s="241"/>
      <c r="HP27" s="241"/>
      <c r="HQ27" s="241"/>
      <c r="HR27" s="241"/>
      <c r="HS27" s="241"/>
      <c r="HT27" s="241"/>
      <c r="HU27" s="242"/>
      <c r="HV27" s="239"/>
      <c r="HW27" s="240"/>
      <c r="HX27" s="241"/>
      <c r="HY27" s="241"/>
      <c r="HZ27" s="241"/>
      <c r="IA27" s="241"/>
      <c r="IB27" s="241"/>
      <c r="IC27" s="241"/>
      <c r="ID27" s="241"/>
      <c r="IE27" s="242"/>
      <c r="IF27" s="239"/>
      <c r="IG27" s="240"/>
      <c r="IH27" s="241"/>
      <c r="II27" s="241"/>
      <c r="IJ27" s="241"/>
      <c r="IK27" s="241"/>
      <c r="IL27" s="241"/>
      <c r="IM27" s="241"/>
      <c r="IN27" s="241"/>
      <c r="IO27" s="242"/>
      <c r="IP27" s="24"/>
      <c r="IQ27" s="25">
        <v>34</v>
      </c>
      <c r="IR27" s="26">
        <v>0</v>
      </c>
      <c r="IS27" s="26">
        <v>0.73399999999999999</v>
      </c>
      <c r="IT27" s="26">
        <v>0.38400000000000001</v>
      </c>
      <c r="IU27" s="26">
        <v>0.75</v>
      </c>
      <c r="IV27" s="26">
        <v>0.5</v>
      </c>
      <c r="IW27" s="26">
        <v>0</v>
      </c>
      <c r="IX27" s="8"/>
    </row>
    <row r="28" spans="2:258" ht="15.75" thickBot="1" x14ac:dyDescent="0.3">
      <c r="B28" s="103">
        <f t="shared" si="17"/>
        <v>60</v>
      </c>
      <c r="C28" s="226">
        <v>11</v>
      </c>
      <c r="D28" s="98">
        <f t="shared" si="1"/>
        <v>0.52777499999999999</v>
      </c>
      <c r="E28" s="96">
        <f t="shared" si="2"/>
        <v>0.61573750000000005</v>
      </c>
      <c r="F28" s="96">
        <f t="shared" si="3"/>
        <v>0.62551111111111113</v>
      </c>
      <c r="G28" s="96">
        <f t="shared" si="4"/>
        <v>0.64505833333333329</v>
      </c>
      <c r="H28" s="96">
        <f t="shared" si="5"/>
        <v>0.65678666666666674</v>
      </c>
      <c r="I28" s="96">
        <f t="shared" si="6"/>
        <v>0.65483194444444448</v>
      </c>
      <c r="J28" s="96">
        <f t="shared" si="7"/>
        <v>0.66181309523809528</v>
      </c>
      <c r="K28" s="96">
        <f t="shared" si="8"/>
        <v>0.65971875000000002</v>
      </c>
      <c r="L28" s="96">
        <f t="shared" si="9"/>
        <v>0.66460555555555556</v>
      </c>
      <c r="M28" s="96">
        <f t="shared" si="10"/>
        <v>0.66851499999999997</v>
      </c>
      <c r="N28" s="96">
        <f t="shared" si="11"/>
        <v>0.66638257575757576</v>
      </c>
      <c r="O28" s="96">
        <f t="shared" si="12"/>
        <v>0.6694923611111111</v>
      </c>
      <c r="P28" s="206"/>
      <c r="Q28" s="206"/>
      <c r="R28" s="206"/>
      <c r="S28" s="206"/>
      <c r="T28" s="206"/>
      <c r="U28" s="206"/>
      <c r="V28" s="206"/>
      <c r="W28" s="206"/>
      <c r="X28" s="96"/>
      <c r="Y28" s="65"/>
      <c r="AA28" s="83"/>
      <c r="AT28" s="4"/>
      <c r="AU28" s="14">
        <f t="shared" si="121"/>
        <v>42</v>
      </c>
      <c r="AV28" s="12" t="str">
        <f t="shared" si="102"/>
        <v>(1050)</v>
      </c>
      <c r="AW28" s="19">
        <f t="shared" si="122"/>
        <v>13</v>
      </c>
      <c r="AX28" s="20">
        <f t="shared" si="18"/>
        <v>0.90656249999999994</v>
      </c>
      <c r="AY28" s="21" t="str">
        <f t="shared" si="103"/>
        <v>(0.08)</v>
      </c>
      <c r="AZ28" s="22">
        <v>2</v>
      </c>
      <c r="BA28" s="22">
        <f t="shared" si="20"/>
        <v>1.5</v>
      </c>
      <c r="BB28" s="22">
        <v>0</v>
      </c>
      <c r="BC28" s="22">
        <f t="shared" si="21"/>
        <v>0</v>
      </c>
      <c r="BD28" s="22">
        <v>0</v>
      </c>
      <c r="BE28" s="22">
        <f t="shared" si="22"/>
        <v>0</v>
      </c>
      <c r="BF28" s="22">
        <f t="shared" si="104"/>
        <v>1.5</v>
      </c>
      <c r="BG28" s="23">
        <f t="shared" si="24"/>
        <v>4.5</v>
      </c>
      <c r="BH28" s="373">
        <f t="shared" si="25"/>
        <v>2.1153124999999999</v>
      </c>
      <c r="BI28" s="374" t="str">
        <f t="shared" si="105"/>
        <v>(0.20)</v>
      </c>
      <c r="BJ28" s="375">
        <v>2</v>
      </c>
      <c r="BK28" s="375">
        <f t="shared" si="27"/>
        <v>1.5</v>
      </c>
      <c r="BL28" s="375">
        <v>0</v>
      </c>
      <c r="BM28" s="375">
        <f t="shared" si="28"/>
        <v>0</v>
      </c>
      <c r="BN28" s="375">
        <v>0</v>
      </c>
      <c r="BO28" s="375">
        <f t="shared" si="29"/>
        <v>0</v>
      </c>
      <c r="BP28" s="375">
        <f t="shared" si="106"/>
        <v>1.5</v>
      </c>
      <c r="BQ28" s="376">
        <f t="shared" si="31"/>
        <v>10.5</v>
      </c>
      <c r="BR28" s="373">
        <f t="shared" si="32"/>
        <v>3.2233333333333332</v>
      </c>
      <c r="BS28" s="374" t="str">
        <f t="shared" si="33"/>
        <v>(0.3)</v>
      </c>
      <c r="BT28" s="375">
        <v>2</v>
      </c>
      <c r="BU28" s="375">
        <f t="shared" si="34"/>
        <v>1.5</v>
      </c>
      <c r="BV28" s="375">
        <v>0</v>
      </c>
      <c r="BW28" s="375">
        <f t="shared" si="35"/>
        <v>0</v>
      </c>
      <c r="BX28" s="375">
        <v>1</v>
      </c>
      <c r="BY28" s="375">
        <f t="shared" si="36"/>
        <v>0.5</v>
      </c>
      <c r="BZ28" s="375">
        <f t="shared" si="107"/>
        <v>2</v>
      </c>
      <c r="CA28" s="376">
        <f t="shared" si="38"/>
        <v>16</v>
      </c>
      <c r="CB28" s="373">
        <f t="shared" si="39"/>
        <v>4.4320833333333329</v>
      </c>
      <c r="CC28" s="374" t="str">
        <f t="shared" si="40"/>
        <v>(0.41)</v>
      </c>
      <c r="CD28" s="375">
        <v>2</v>
      </c>
      <c r="CE28" s="375">
        <f t="shared" si="41"/>
        <v>1.5</v>
      </c>
      <c r="CF28" s="375">
        <v>0</v>
      </c>
      <c r="CG28" s="375">
        <f t="shared" si="42"/>
        <v>0</v>
      </c>
      <c r="CH28" s="375">
        <v>1</v>
      </c>
      <c r="CI28" s="375">
        <f t="shared" si="43"/>
        <v>0.5</v>
      </c>
      <c r="CJ28" s="375">
        <f t="shared" si="108"/>
        <v>2</v>
      </c>
      <c r="CK28" s="376">
        <f t="shared" si="45"/>
        <v>22</v>
      </c>
      <c r="CL28" s="373">
        <f t="shared" si="46"/>
        <v>5.6408333333333331</v>
      </c>
      <c r="CM28" s="374" t="str">
        <f t="shared" si="47"/>
        <v>(0.52)</v>
      </c>
      <c r="CN28" s="375">
        <v>2</v>
      </c>
      <c r="CO28" s="375">
        <f t="shared" si="48"/>
        <v>1.5</v>
      </c>
      <c r="CP28" s="375">
        <v>0</v>
      </c>
      <c r="CQ28" s="375">
        <f t="shared" si="49"/>
        <v>0</v>
      </c>
      <c r="CR28" s="375">
        <v>1</v>
      </c>
      <c r="CS28" s="375">
        <f t="shared" si="50"/>
        <v>0.5</v>
      </c>
      <c r="CT28" s="375">
        <f t="shared" si="109"/>
        <v>2</v>
      </c>
      <c r="CU28" s="376">
        <f t="shared" si="52"/>
        <v>28</v>
      </c>
      <c r="CV28" s="373">
        <f t="shared" si="53"/>
        <v>6.7488541666666659</v>
      </c>
      <c r="CW28" s="374" t="str">
        <f t="shared" si="54"/>
        <v>(0.63)</v>
      </c>
      <c r="CX28" s="375">
        <v>2</v>
      </c>
      <c r="CY28" s="375">
        <f t="shared" si="55"/>
        <v>1.5</v>
      </c>
      <c r="CZ28" s="375">
        <v>0</v>
      </c>
      <c r="DA28" s="375">
        <f t="shared" si="56"/>
        <v>0</v>
      </c>
      <c r="DB28" s="375">
        <v>2</v>
      </c>
      <c r="DC28" s="375">
        <f t="shared" si="57"/>
        <v>1</v>
      </c>
      <c r="DD28" s="375">
        <f t="shared" si="110"/>
        <v>2.5</v>
      </c>
      <c r="DE28" s="376">
        <f t="shared" si="59"/>
        <v>33.5</v>
      </c>
      <c r="DF28" s="373">
        <f t="shared" si="60"/>
        <v>7.9576041666666661</v>
      </c>
      <c r="DG28" s="374" t="str">
        <f t="shared" si="61"/>
        <v>(0.74)</v>
      </c>
      <c r="DH28" s="375">
        <v>2</v>
      </c>
      <c r="DI28" s="375">
        <f t="shared" si="62"/>
        <v>1.5</v>
      </c>
      <c r="DJ28" s="375">
        <v>0</v>
      </c>
      <c r="DK28" s="375">
        <f t="shared" si="63"/>
        <v>0</v>
      </c>
      <c r="DL28" s="375">
        <v>2</v>
      </c>
      <c r="DM28" s="375">
        <f t="shared" si="64"/>
        <v>1</v>
      </c>
      <c r="DN28" s="375">
        <f t="shared" si="111"/>
        <v>2.5</v>
      </c>
      <c r="DO28" s="376">
        <f t="shared" si="66"/>
        <v>39.5</v>
      </c>
      <c r="DP28" s="373">
        <f t="shared" si="67"/>
        <v>9.0656249999999989</v>
      </c>
      <c r="DQ28" s="374" t="str">
        <f t="shared" si="68"/>
        <v>(0.84)</v>
      </c>
      <c r="DR28" s="375">
        <v>2</v>
      </c>
      <c r="DS28" s="375">
        <f t="shared" si="69"/>
        <v>1.5</v>
      </c>
      <c r="DT28" s="375">
        <v>0</v>
      </c>
      <c r="DU28" s="375">
        <f t="shared" si="70"/>
        <v>0</v>
      </c>
      <c r="DV28" s="375">
        <v>3</v>
      </c>
      <c r="DW28" s="375">
        <f t="shared" si="71"/>
        <v>1.5</v>
      </c>
      <c r="DX28" s="375">
        <f t="shared" si="112"/>
        <v>3</v>
      </c>
      <c r="DY28" s="376">
        <f t="shared" si="73"/>
        <v>45</v>
      </c>
      <c r="DZ28" s="373">
        <f t="shared" si="74"/>
        <v>10.274374999999999</v>
      </c>
      <c r="EA28" s="374" t="str">
        <f t="shared" si="113"/>
        <v>(0.95)</v>
      </c>
      <c r="EB28" s="375">
        <v>2</v>
      </c>
      <c r="EC28" s="375">
        <f t="shared" si="76"/>
        <v>1.5</v>
      </c>
      <c r="ED28" s="375">
        <v>0</v>
      </c>
      <c r="EE28" s="375">
        <f t="shared" si="77"/>
        <v>0</v>
      </c>
      <c r="EF28" s="375">
        <v>3</v>
      </c>
      <c r="EG28" s="375">
        <f t="shared" si="78"/>
        <v>1.5</v>
      </c>
      <c r="EH28" s="375">
        <f t="shared" si="114"/>
        <v>3</v>
      </c>
      <c r="EI28" s="376">
        <f t="shared" si="80"/>
        <v>51</v>
      </c>
      <c r="EJ28" s="373">
        <f t="shared" si="81"/>
        <v>11.483124999999999</v>
      </c>
      <c r="EK28" s="374" t="str">
        <f t="shared" si="115"/>
        <v>(1.07)</v>
      </c>
      <c r="EL28" s="375">
        <v>2</v>
      </c>
      <c r="EM28" s="375">
        <f t="shared" si="83"/>
        <v>1.5</v>
      </c>
      <c r="EN28" s="375">
        <v>0</v>
      </c>
      <c r="EO28" s="375">
        <f t="shared" si="84"/>
        <v>0</v>
      </c>
      <c r="EP28" s="375">
        <v>3</v>
      </c>
      <c r="EQ28" s="375">
        <f t="shared" si="85"/>
        <v>1.5</v>
      </c>
      <c r="ER28" s="375">
        <f t="shared" si="116"/>
        <v>3</v>
      </c>
      <c r="ES28" s="376">
        <f t="shared" si="87"/>
        <v>57</v>
      </c>
      <c r="ET28" s="373">
        <f t="shared" si="88"/>
        <v>12.591145833333332</v>
      </c>
      <c r="EU28" s="374" t="str">
        <f t="shared" si="117"/>
        <v>(1.17)</v>
      </c>
      <c r="EV28" s="375">
        <v>2</v>
      </c>
      <c r="EW28" s="375">
        <f t="shared" si="90"/>
        <v>1.5</v>
      </c>
      <c r="EX28" s="375">
        <v>0</v>
      </c>
      <c r="EY28" s="375">
        <f t="shared" si="91"/>
        <v>0</v>
      </c>
      <c r="EZ28" s="375">
        <v>4</v>
      </c>
      <c r="FA28" s="375">
        <f t="shared" si="92"/>
        <v>2</v>
      </c>
      <c r="FB28" s="375">
        <f t="shared" si="118"/>
        <v>3.5</v>
      </c>
      <c r="FC28" s="376">
        <f t="shared" si="94"/>
        <v>62.5</v>
      </c>
      <c r="FD28" s="373">
        <f t="shared" si="95"/>
        <v>13.799895833333332</v>
      </c>
      <c r="FE28" s="374" t="str">
        <f t="shared" si="119"/>
        <v>(1.28)</v>
      </c>
      <c r="FF28" s="22">
        <v>2</v>
      </c>
      <c r="FG28" s="22">
        <f t="shared" si="97"/>
        <v>1.5</v>
      </c>
      <c r="FH28" s="22">
        <v>1</v>
      </c>
      <c r="FI28" s="22">
        <f t="shared" si="98"/>
        <v>0</v>
      </c>
      <c r="FJ28" s="22">
        <v>4</v>
      </c>
      <c r="FK28" s="22">
        <f t="shared" si="99"/>
        <v>2</v>
      </c>
      <c r="FL28" s="22">
        <f t="shared" si="120"/>
        <v>3.5</v>
      </c>
      <c r="FM28" s="23">
        <f t="shared" si="101"/>
        <v>68.5</v>
      </c>
      <c r="FN28" s="239"/>
      <c r="FO28" s="240"/>
      <c r="FP28" s="241"/>
      <c r="FQ28" s="241"/>
      <c r="FR28" s="241"/>
      <c r="FS28" s="241"/>
      <c r="FT28" s="241"/>
      <c r="FU28" s="241"/>
      <c r="FV28" s="241"/>
      <c r="FW28" s="242"/>
      <c r="FX28" s="239"/>
      <c r="FY28" s="240"/>
      <c r="FZ28" s="241"/>
      <c r="GA28" s="241"/>
      <c r="GB28" s="241"/>
      <c r="GC28" s="241"/>
      <c r="GD28" s="241"/>
      <c r="GE28" s="241"/>
      <c r="GF28" s="241"/>
      <c r="GG28" s="242"/>
      <c r="GH28" s="239"/>
      <c r="GI28" s="240"/>
      <c r="GJ28" s="241"/>
      <c r="GK28" s="241"/>
      <c r="GL28" s="241"/>
      <c r="GM28" s="241"/>
      <c r="GN28" s="241"/>
      <c r="GO28" s="241"/>
      <c r="GP28" s="241"/>
      <c r="GQ28" s="242"/>
      <c r="GR28" s="239"/>
      <c r="GS28" s="240"/>
      <c r="GT28" s="241"/>
      <c r="GU28" s="241"/>
      <c r="GV28" s="241"/>
      <c r="GW28" s="241"/>
      <c r="GX28" s="241"/>
      <c r="GY28" s="241"/>
      <c r="GZ28" s="241"/>
      <c r="HA28" s="242"/>
      <c r="HB28" s="239"/>
      <c r="HC28" s="240"/>
      <c r="HD28" s="241"/>
      <c r="HE28" s="241"/>
      <c r="HF28" s="241"/>
      <c r="HG28" s="241"/>
      <c r="HH28" s="241"/>
      <c r="HI28" s="241"/>
      <c r="HJ28" s="241"/>
      <c r="HK28" s="242"/>
      <c r="HL28" s="239"/>
      <c r="HM28" s="240"/>
      <c r="HN28" s="241"/>
      <c r="HO28" s="241"/>
      <c r="HP28" s="241"/>
      <c r="HQ28" s="241"/>
      <c r="HR28" s="241"/>
      <c r="HS28" s="241"/>
      <c r="HT28" s="241"/>
      <c r="HU28" s="242"/>
      <c r="HV28" s="239"/>
      <c r="HW28" s="240"/>
      <c r="HX28" s="241"/>
      <c r="HY28" s="241"/>
      <c r="HZ28" s="241"/>
      <c r="IA28" s="241"/>
      <c r="IB28" s="241"/>
      <c r="IC28" s="241"/>
      <c r="ID28" s="241"/>
      <c r="IE28" s="242"/>
      <c r="IF28" s="239"/>
      <c r="IG28" s="240"/>
      <c r="IH28" s="241"/>
      <c r="II28" s="241"/>
      <c r="IJ28" s="241"/>
      <c r="IK28" s="241"/>
      <c r="IL28" s="241"/>
      <c r="IM28" s="241"/>
      <c r="IN28" s="241"/>
      <c r="IO28" s="242"/>
      <c r="IP28" s="24"/>
      <c r="IQ28" s="25">
        <v>40</v>
      </c>
      <c r="IR28" s="26">
        <v>0</v>
      </c>
      <c r="IS28" s="26">
        <v>0.73399999999999999</v>
      </c>
      <c r="IT28" s="26">
        <v>0.38400000000000001</v>
      </c>
      <c r="IU28" s="26">
        <v>0.75</v>
      </c>
      <c r="IV28" s="26">
        <v>0.5</v>
      </c>
      <c r="IW28" s="26">
        <v>0</v>
      </c>
      <c r="IX28" s="8"/>
    </row>
    <row r="29" spans="2:258" ht="15.75" thickBot="1" x14ac:dyDescent="0.3">
      <c r="B29" s="103">
        <f t="shared" si="17"/>
        <v>66</v>
      </c>
      <c r="C29" s="221">
        <v>12</v>
      </c>
      <c r="D29" s="98">
        <f t="shared" si="1"/>
        <v>0.52984090909090908</v>
      </c>
      <c r="E29" s="96">
        <f t="shared" si="2"/>
        <v>0.61814772727272727</v>
      </c>
      <c r="F29" s="96">
        <f t="shared" si="3"/>
        <v>0.62795959595959594</v>
      </c>
      <c r="G29" s="96">
        <f t="shared" si="4"/>
        <v>0.64758333333333329</v>
      </c>
      <c r="H29" s="96">
        <f t="shared" si="5"/>
        <v>0.65935757575757581</v>
      </c>
      <c r="I29" s="96">
        <f t="shared" si="6"/>
        <v>0.65739520202020207</v>
      </c>
      <c r="J29" s="96">
        <f t="shared" si="7"/>
        <v>0.66440367965367964</v>
      </c>
      <c r="K29" s="96">
        <f t="shared" si="8"/>
        <v>0.6623011363636363</v>
      </c>
      <c r="L29" s="96">
        <f t="shared" si="9"/>
        <v>0.66720707070707075</v>
      </c>
      <c r="M29" s="96">
        <f t="shared" si="10"/>
        <v>0.67113181818181822</v>
      </c>
      <c r="N29" s="96">
        <f t="shared" si="11"/>
        <v>0.66899104683195598</v>
      </c>
      <c r="O29" s="96">
        <f t="shared" si="12"/>
        <v>0.67211300505050497</v>
      </c>
      <c r="P29" s="206"/>
      <c r="Q29" s="206"/>
      <c r="R29" s="206"/>
      <c r="S29" s="206"/>
      <c r="T29" s="206"/>
      <c r="U29" s="206"/>
      <c r="V29" s="206"/>
      <c r="W29" s="206"/>
      <c r="X29" s="96"/>
      <c r="Y29" s="65"/>
      <c r="AA29" s="83"/>
      <c r="AT29" s="4"/>
      <c r="AU29" s="14">
        <f t="shared" si="121"/>
        <v>48</v>
      </c>
      <c r="AV29" s="12" t="str">
        <f t="shared" si="102"/>
        <v>(1200)</v>
      </c>
      <c r="AW29" s="19">
        <f t="shared" si="122"/>
        <v>14</v>
      </c>
      <c r="AX29" s="20">
        <f t="shared" si="18"/>
        <v>1.0441875</v>
      </c>
      <c r="AY29" s="21" t="str">
        <f t="shared" si="103"/>
        <v>(0.10)</v>
      </c>
      <c r="AZ29" s="22">
        <v>2</v>
      </c>
      <c r="BA29" s="22">
        <f t="shared" si="20"/>
        <v>1.5</v>
      </c>
      <c r="BB29" s="22">
        <v>0</v>
      </c>
      <c r="BC29" s="22">
        <f t="shared" si="21"/>
        <v>0</v>
      </c>
      <c r="BD29" s="22">
        <v>0</v>
      </c>
      <c r="BE29" s="22">
        <f t="shared" si="22"/>
        <v>0</v>
      </c>
      <c r="BF29" s="22">
        <f t="shared" si="104"/>
        <v>1.5</v>
      </c>
      <c r="BG29" s="23">
        <f t="shared" si="24"/>
        <v>4.5</v>
      </c>
      <c r="BH29" s="373">
        <f t="shared" si="25"/>
        <v>2.4364375000000003</v>
      </c>
      <c r="BI29" s="374" t="str">
        <f t="shared" si="105"/>
        <v>(0.23)</v>
      </c>
      <c r="BJ29" s="375">
        <v>2</v>
      </c>
      <c r="BK29" s="375">
        <f t="shared" si="27"/>
        <v>1.5</v>
      </c>
      <c r="BL29" s="375">
        <v>0</v>
      </c>
      <c r="BM29" s="375">
        <f t="shared" si="28"/>
        <v>0</v>
      </c>
      <c r="BN29" s="375">
        <v>0</v>
      </c>
      <c r="BO29" s="375">
        <f t="shared" si="29"/>
        <v>0</v>
      </c>
      <c r="BP29" s="375">
        <f t="shared" si="106"/>
        <v>1.5</v>
      </c>
      <c r="BQ29" s="376">
        <f t="shared" si="31"/>
        <v>10.5</v>
      </c>
      <c r="BR29" s="373">
        <f t="shared" si="32"/>
        <v>3.7126666666666668</v>
      </c>
      <c r="BS29" s="374" t="str">
        <f t="shared" si="33"/>
        <v>(0.34)</v>
      </c>
      <c r="BT29" s="375">
        <v>2</v>
      </c>
      <c r="BU29" s="375">
        <f t="shared" si="34"/>
        <v>1.5</v>
      </c>
      <c r="BV29" s="375">
        <v>0</v>
      </c>
      <c r="BW29" s="375">
        <f t="shared" si="35"/>
        <v>0</v>
      </c>
      <c r="BX29" s="375">
        <v>1</v>
      </c>
      <c r="BY29" s="375">
        <f t="shared" si="36"/>
        <v>0.5</v>
      </c>
      <c r="BZ29" s="375">
        <f t="shared" si="107"/>
        <v>2</v>
      </c>
      <c r="CA29" s="376">
        <f t="shared" si="38"/>
        <v>16</v>
      </c>
      <c r="CB29" s="373">
        <f t="shared" si="39"/>
        <v>5.104916666666667</v>
      </c>
      <c r="CC29" s="374" t="str">
        <f t="shared" si="40"/>
        <v>(0.47)</v>
      </c>
      <c r="CD29" s="375">
        <v>2</v>
      </c>
      <c r="CE29" s="375">
        <f t="shared" si="41"/>
        <v>1.5</v>
      </c>
      <c r="CF29" s="375">
        <v>0</v>
      </c>
      <c r="CG29" s="375">
        <f t="shared" si="42"/>
        <v>0</v>
      </c>
      <c r="CH29" s="375">
        <v>1</v>
      </c>
      <c r="CI29" s="375">
        <f t="shared" si="43"/>
        <v>0.5</v>
      </c>
      <c r="CJ29" s="375">
        <f t="shared" si="108"/>
        <v>2</v>
      </c>
      <c r="CK29" s="376">
        <f t="shared" si="45"/>
        <v>22</v>
      </c>
      <c r="CL29" s="373">
        <f t="shared" si="46"/>
        <v>6.4971666666666676</v>
      </c>
      <c r="CM29" s="374" t="str">
        <f t="shared" si="47"/>
        <v>(0.6)</v>
      </c>
      <c r="CN29" s="375">
        <v>2</v>
      </c>
      <c r="CO29" s="375">
        <f t="shared" si="48"/>
        <v>1.5</v>
      </c>
      <c r="CP29" s="375">
        <v>0</v>
      </c>
      <c r="CQ29" s="375">
        <f t="shared" si="49"/>
        <v>0</v>
      </c>
      <c r="CR29" s="375">
        <v>1</v>
      </c>
      <c r="CS29" s="375">
        <f t="shared" si="50"/>
        <v>0.5</v>
      </c>
      <c r="CT29" s="375">
        <f t="shared" si="109"/>
        <v>2</v>
      </c>
      <c r="CU29" s="376">
        <f t="shared" si="52"/>
        <v>28</v>
      </c>
      <c r="CV29" s="373">
        <f t="shared" si="53"/>
        <v>7.7733958333333346</v>
      </c>
      <c r="CW29" s="374" t="str">
        <f t="shared" si="54"/>
        <v>(0.72)</v>
      </c>
      <c r="CX29" s="375">
        <v>2</v>
      </c>
      <c r="CY29" s="375">
        <f t="shared" si="55"/>
        <v>1.5</v>
      </c>
      <c r="CZ29" s="375">
        <v>0</v>
      </c>
      <c r="DA29" s="375">
        <f t="shared" si="56"/>
        <v>0</v>
      </c>
      <c r="DB29" s="375">
        <v>2</v>
      </c>
      <c r="DC29" s="375">
        <f t="shared" si="57"/>
        <v>1</v>
      </c>
      <c r="DD29" s="375">
        <f t="shared" si="110"/>
        <v>2.5</v>
      </c>
      <c r="DE29" s="376">
        <f t="shared" si="59"/>
        <v>33.5</v>
      </c>
      <c r="DF29" s="373">
        <f t="shared" si="60"/>
        <v>9.1656458333333344</v>
      </c>
      <c r="DG29" s="374" t="str">
        <f t="shared" si="61"/>
        <v>(0.85)</v>
      </c>
      <c r="DH29" s="375">
        <v>2</v>
      </c>
      <c r="DI29" s="375">
        <f t="shared" si="62"/>
        <v>1.5</v>
      </c>
      <c r="DJ29" s="375">
        <v>0</v>
      </c>
      <c r="DK29" s="375">
        <f t="shared" si="63"/>
        <v>0</v>
      </c>
      <c r="DL29" s="375">
        <v>2</v>
      </c>
      <c r="DM29" s="375">
        <f t="shared" si="64"/>
        <v>1</v>
      </c>
      <c r="DN29" s="375">
        <f t="shared" si="111"/>
        <v>2.5</v>
      </c>
      <c r="DO29" s="376">
        <f t="shared" si="66"/>
        <v>39.5</v>
      </c>
      <c r="DP29" s="377">
        <f t="shared" si="67"/>
        <v>10.441875000000001</v>
      </c>
      <c r="DQ29" s="378" t="str">
        <f t="shared" si="68"/>
        <v>(0.97)</v>
      </c>
      <c r="DR29" s="375">
        <v>2</v>
      </c>
      <c r="DS29" s="375">
        <f t="shared" si="69"/>
        <v>1.5</v>
      </c>
      <c r="DT29" s="375">
        <v>0</v>
      </c>
      <c r="DU29" s="375">
        <f t="shared" si="70"/>
        <v>0</v>
      </c>
      <c r="DV29" s="375">
        <v>3</v>
      </c>
      <c r="DW29" s="375">
        <f t="shared" si="71"/>
        <v>1.5</v>
      </c>
      <c r="DX29" s="375">
        <f t="shared" si="112"/>
        <v>3</v>
      </c>
      <c r="DY29" s="376">
        <f t="shared" si="73"/>
        <v>45</v>
      </c>
      <c r="DZ29" s="373">
        <f t="shared" si="74"/>
        <v>11.834125</v>
      </c>
      <c r="EA29" s="374" t="str">
        <f t="shared" si="113"/>
        <v>(1.10)</v>
      </c>
      <c r="EB29" s="375">
        <v>2</v>
      </c>
      <c r="EC29" s="375">
        <f t="shared" si="76"/>
        <v>1.5</v>
      </c>
      <c r="ED29" s="375">
        <v>0</v>
      </c>
      <c r="EE29" s="375">
        <f t="shared" si="77"/>
        <v>0</v>
      </c>
      <c r="EF29" s="375">
        <v>3</v>
      </c>
      <c r="EG29" s="375">
        <f t="shared" si="78"/>
        <v>1.5</v>
      </c>
      <c r="EH29" s="375">
        <f t="shared" si="114"/>
        <v>3</v>
      </c>
      <c r="EI29" s="376">
        <f t="shared" si="80"/>
        <v>51</v>
      </c>
      <c r="EJ29" s="373">
        <f t="shared" si="81"/>
        <v>13.226375000000001</v>
      </c>
      <c r="EK29" s="374" t="str">
        <f t="shared" si="115"/>
        <v>(1.23)</v>
      </c>
      <c r="EL29" s="375">
        <v>2</v>
      </c>
      <c r="EM29" s="375">
        <f t="shared" si="83"/>
        <v>1.5</v>
      </c>
      <c r="EN29" s="375">
        <v>0</v>
      </c>
      <c r="EO29" s="375">
        <f t="shared" si="84"/>
        <v>0</v>
      </c>
      <c r="EP29" s="375">
        <v>3</v>
      </c>
      <c r="EQ29" s="375">
        <f t="shared" si="85"/>
        <v>1.5</v>
      </c>
      <c r="ER29" s="375">
        <f t="shared" si="116"/>
        <v>3</v>
      </c>
      <c r="ES29" s="376">
        <f t="shared" si="87"/>
        <v>57</v>
      </c>
      <c r="ET29" s="373">
        <f t="shared" si="88"/>
        <v>14.502604166666666</v>
      </c>
      <c r="EU29" s="374" t="str">
        <f t="shared" si="117"/>
        <v>(1.35)</v>
      </c>
      <c r="EV29" s="375">
        <v>2</v>
      </c>
      <c r="EW29" s="375">
        <f t="shared" si="90"/>
        <v>1.5</v>
      </c>
      <c r="EX29" s="375">
        <v>0</v>
      </c>
      <c r="EY29" s="375">
        <f t="shared" si="91"/>
        <v>0</v>
      </c>
      <c r="EZ29" s="375">
        <v>4</v>
      </c>
      <c r="FA29" s="375">
        <f t="shared" si="92"/>
        <v>2</v>
      </c>
      <c r="FB29" s="375">
        <f t="shared" si="118"/>
        <v>3.5</v>
      </c>
      <c r="FC29" s="376">
        <f t="shared" si="94"/>
        <v>62.5</v>
      </c>
      <c r="FD29" s="373">
        <f t="shared" si="95"/>
        <v>15.894854166666667</v>
      </c>
      <c r="FE29" s="374" t="str">
        <f t="shared" si="119"/>
        <v>(1.48)</v>
      </c>
      <c r="FF29" s="22">
        <v>2</v>
      </c>
      <c r="FG29" s="22">
        <f t="shared" si="97"/>
        <v>1.5</v>
      </c>
      <c r="FH29" s="22">
        <v>1</v>
      </c>
      <c r="FI29" s="22">
        <f t="shared" si="98"/>
        <v>0</v>
      </c>
      <c r="FJ29" s="22">
        <v>4</v>
      </c>
      <c r="FK29" s="22">
        <f t="shared" si="99"/>
        <v>2</v>
      </c>
      <c r="FL29" s="22">
        <f t="shared" si="120"/>
        <v>3.5</v>
      </c>
      <c r="FM29" s="23">
        <f t="shared" si="101"/>
        <v>68.5</v>
      </c>
      <c r="FN29" s="239"/>
      <c r="FO29" s="240"/>
      <c r="FP29" s="241"/>
      <c r="FQ29" s="241"/>
      <c r="FR29" s="241"/>
      <c r="FS29" s="241"/>
      <c r="FT29" s="241"/>
      <c r="FU29" s="241"/>
      <c r="FV29" s="241"/>
      <c r="FW29" s="242"/>
      <c r="FX29" s="239"/>
      <c r="FY29" s="240"/>
      <c r="FZ29" s="241"/>
      <c r="GA29" s="241"/>
      <c r="GB29" s="241"/>
      <c r="GC29" s="241"/>
      <c r="GD29" s="241"/>
      <c r="GE29" s="241"/>
      <c r="GF29" s="241"/>
      <c r="GG29" s="242"/>
      <c r="GH29" s="239"/>
      <c r="GI29" s="240"/>
      <c r="GJ29" s="241"/>
      <c r="GK29" s="241"/>
      <c r="GL29" s="241"/>
      <c r="GM29" s="241"/>
      <c r="GN29" s="241"/>
      <c r="GO29" s="241"/>
      <c r="GP29" s="241"/>
      <c r="GQ29" s="242"/>
      <c r="GR29" s="239"/>
      <c r="GS29" s="240"/>
      <c r="GT29" s="241"/>
      <c r="GU29" s="241"/>
      <c r="GV29" s="241"/>
      <c r="GW29" s="241"/>
      <c r="GX29" s="241"/>
      <c r="GY29" s="241"/>
      <c r="GZ29" s="241"/>
      <c r="HA29" s="242"/>
      <c r="HB29" s="239"/>
      <c r="HC29" s="240"/>
      <c r="HD29" s="241"/>
      <c r="HE29" s="241"/>
      <c r="HF29" s="241"/>
      <c r="HG29" s="241"/>
      <c r="HH29" s="241"/>
      <c r="HI29" s="241"/>
      <c r="HJ29" s="241"/>
      <c r="HK29" s="242"/>
      <c r="HL29" s="239"/>
      <c r="HM29" s="240"/>
      <c r="HN29" s="241"/>
      <c r="HO29" s="241"/>
      <c r="HP29" s="241"/>
      <c r="HQ29" s="241"/>
      <c r="HR29" s="241"/>
      <c r="HS29" s="241"/>
      <c r="HT29" s="241"/>
      <c r="HU29" s="242"/>
      <c r="HV29" s="239"/>
      <c r="HW29" s="240"/>
      <c r="HX29" s="241"/>
      <c r="HY29" s="241"/>
      <c r="HZ29" s="241"/>
      <c r="IA29" s="241"/>
      <c r="IB29" s="241"/>
      <c r="IC29" s="241"/>
      <c r="ID29" s="241"/>
      <c r="IE29" s="242"/>
      <c r="IF29" s="239"/>
      <c r="IG29" s="240"/>
      <c r="IH29" s="241"/>
      <c r="II29" s="241"/>
      <c r="IJ29" s="241"/>
      <c r="IK29" s="241"/>
      <c r="IL29" s="241"/>
      <c r="IM29" s="241"/>
      <c r="IN29" s="241"/>
      <c r="IO29" s="242"/>
      <c r="IP29" s="24"/>
      <c r="IQ29" s="25">
        <v>46</v>
      </c>
      <c r="IR29" s="26">
        <v>0</v>
      </c>
      <c r="IS29" s="26">
        <v>0.73399999999999999</v>
      </c>
      <c r="IT29" s="26">
        <v>0.38400000000000001</v>
      </c>
      <c r="IU29" s="26">
        <v>0.75</v>
      </c>
      <c r="IV29" s="26">
        <v>0.5</v>
      </c>
      <c r="IW29" s="26">
        <v>0</v>
      </c>
      <c r="IX29" s="8"/>
    </row>
    <row r="30" spans="2:258" ht="15.75" thickBot="1" x14ac:dyDescent="0.3">
      <c r="B30" s="103">
        <f t="shared" si="17"/>
        <v>72</v>
      </c>
      <c r="C30" s="226">
        <v>13</v>
      </c>
      <c r="D30" s="98">
        <f t="shared" si="1"/>
        <v>0.53156250000000005</v>
      </c>
      <c r="E30" s="96">
        <f t="shared" si="2"/>
        <v>0.62015625000000008</v>
      </c>
      <c r="F30" s="96">
        <f t="shared" si="3"/>
        <v>0.63</v>
      </c>
      <c r="G30" s="96">
        <f t="shared" si="4"/>
        <v>0.64968750000000008</v>
      </c>
      <c r="H30" s="96">
        <f t="shared" si="5"/>
        <v>0.66150000000000009</v>
      </c>
      <c r="I30" s="96">
        <f t="shared" si="6"/>
        <v>0.65953125000000012</v>
      </c>
      <c r="J30" s="96">
        <f t="shared" si="7"/>
        <v>0.66656250000000006</v>
      </c>
      <c r="K30" s="96">
        <f t="shared" si="8"/>
        <v>0.66445312499999998</v>
      </c>
      <c r="L30" s="96">
        <f t="shared" si="9"/>
        <v>0.66937500000000005</v>
      </c>
      <c r="M30" s="96">
        <f t="shared" si="10"/>
        <v>0.67331249999999998</v>
      </c>
      <c r="N30" s="96">
        <f t="shared" si="11"/>
        <v>0.67116477272727271</v>
      </c>
      <c r="O30" s="96">
        <f t="shared" si="12"/>
        <v>0.67429687500000002</v>
      </c>
      <c r="P30" s="206"/>
      <c r="Q30" s="206"/>
      <c r="R30" s="206"/>
      <c r="S30" s="206"/>
      <c r="T30" s="206"/>
      <c r="U30" s="206"/>
      <c r="V30" s="206"/>
      <c r="W30" s="206"/>
      <c r="X30" s="96"/>
      <c r="Y30" s="65"/>
      <c r="AA30" s="83"/>
      <c r="AT30" s="4"/>
      <c r="AU30" s="14">
        <f t="shared" si="121"/>
        <v>54</v>
      </c>
      <c r="AV30" s="12" t="str">
        <f t="shared" si="102"/>
        <v>(1350)</v>
      </c>
      <c r="AW30" s="19">
        <f t="shared" si="122"/>
        <v>15</v>
      </c>
      <c r="AX30" s="20">
        <f t="shared" si="18"/>
        <v>1.1818124999999999</v>
      </c>
      <c r="AY30" s="21" t="str">
        <f t="shared" si="103"/>
        <v>(0.11)</v>
      </c>
      <c r="AZ30" s="22">
        <v>2</v>
      </c>
      <c r="BA30" s="22">
        <f t="shared" si="20"/>
        <v>1.5</v>
      </c>
      <c r="BB30" s="22">
        <v>0</v>
      </c>
      <c r="BC30" s="22">
        <f t="shared" si="21"/>
        <v>0</v>
      </c>
      <c r="BD30" s="22">
        <v>0</v>
      </c>
      <c r="BE30" s="22">
        <f t="shared" si="22"/>
        <v>0</v>
      </c>
      <c r="BF30" s="22">
        <f t="shared" si="104"/>
        <v>1.5</v>
      </c>
      <c r="BG30" s="23">
        <f t="shared" si="24"/>
        <v>4.5</v>
      </c>
      <c r="BH30" s="373">
        <f t="shared" si="25"/>
        <v>2.7575625000000001</v>
      </c>
      <c r="BI30" s="374" t="str">
        <f t="shared" si="105"/>
        <v>(0.26)</v>
      </c>
      <c r="BJ30" s="375">
        <v>2</v>
      </c>
      <c r="BK30" s="375">
        <f t="shared" si="27"/>
        <v>1.5</v>
      </c>
      <c r="BL30" s="375">
        <v>0</v>
      </c>
      <c r="BM30" s="375">
        <f t="shared" si="28"/>
        <v>0</v>
      </c>
      <c r="BN30" s="375">
        <v>0</v>
      </c>
      <c r="BO30" s="375">
        <f t="shared" si="29"/>
        <v>0</v>
      </c>
      <c r="BP30" s="375">
        <f t="shared" si="106"/>
        <v>1.5</v>
      </c>
      <c r="BQ30" s="376">
        <f t="shared" si="31"/>
        <v>10.5</v>
      </c>
      <c r="BR30" s="373">
        <f t="shared" si="32"/>
        <v>4.202</v>
      </c>
      <c r="BS30" s="374" t="str">
        <f t="shared" si="33"/>
        <v>(0.39)</v>
      </c>
      <c r="BT30" s="375">
        <v>2</v>
      </c>
      <c r="BU30" s="375">
        <f t="shared" si="34"/>
        <v>1.5</v>
      </c>
      <c r="BV30" s="375">
        <v>0</v>
      </c>
      <c r="BW30" s="375">
        <f t="shared" si="35"/>
        <v>0</v>
      </c>
      <c r="BX30" s="375">
        <v>1</v>
      </c>
      <c r="BY30" s="375">
        <f t="shared" si="36"/>
        <v>0.5</v>
      </c>
      <c r="BZ30" s="375">
        <f t="shared" si="107"/>
        <v>2</v>
      </c>
      <c r="CA30" s="376">
        <f t="shared" si="38"/>
        <v>16</v>
      </c>
      <c r="CB30" s="373">
        <f t="shared" si="39"/>
        <v>5.7777500000000002</v>
      </c>
      <c r="CC30" s="374" t="str">
        <f t="shared" si="40"/>
        <v>(0.54)</v>
      </c>
      <c r="CD30" s="375">
        <v>2</v>
      </c>
      <c r="CE30" s="375">
        <f t="shared" si="41"/>
        <v>1.5</v>
      </c>
      <c r="CF30" s="375">
        <v>0</v>
      </c>
      <c r="CG30" s="375">
        <f t="shared" si="42"/>
        <v>0</v>
      </c>
      <c r="CH30" s="375">
        <v>1</v>
      </c>
      <c r="CI30" s="375">
        <f t="shared" si="43"/>
        <v>0.5</v>
      </c>
      <c r="CJ30" s="375">
        <f t="shared" si="108"/>
        <v>2</v>
      </c>
      <c r="CK30" s="376">
        <f t="shared" si="45"/>
        <v>22</v>
      </c>
      <c r="CL30" s="373">
        <f t="shared" si="46"/>
        <v>7.3535000000000004</v>
      </c>
      <c r="CM30" s="374" t="str">
        <f t="shared" si="47"/>
        <v>(0.68)</v>
      </c>
      <c r="CN30" s="375">
        <v>2</v>
      </c>
      <c r="CO30" s="375">
        <f t="shared" si="48"/>
        <v>1.5</v>
      </c>
      <c r="CP30" s="375">
        <v>0</v>
      </c>
      <c r="CQ30" s="375">
        <f t="shared" si="49"/>
        <v>0</v>
      </c>
      <c r="CR30" s="375">
        <v>1</v>
      </c>
      <c r="CS30" s="375">
        <f t="shared" si="50"/>
        <v>0.5</v>
      </c>
      <c r="CT30" s="375">
        <f t="shared" si="109"/>
        <v>2</v>
      </c>
      <c r="CU30" s="376">
        <f t="shared" si="52"/>
        <v>28</v>
      </c>
      <c r="CV30" s="373">
        <f t="shared" si="53"/>
        <v>8.7979374999999997</v>
      </c>
      <c r="CW30" s="374" t="str">
        <f t="shared" si="54"/>
        <v>(0.82)</v>
      </c>
      <c r="CX30" s="375">
        <v>2</v>
      </c>
      <c r="CY30" s="375">
        <f t="shared" si="55"/>
        <v>1.5</v>
      </c>
      <c r="CZ30" s="375">
        <v>0</v>
      </c>
      <c r="DA30" s="375">
        <f t="shared" si="56"/>
        <v>0</v>
      </c>
      <c r="DB30" s="375">
        <v>2</v>
      </c>
      <c r="DC30" s="375">
        <f t="shared" si="57"/>
        <v>1</v>
      </c>
      <c r="DD30" s="375">
        <f t="shared" si="110"/>
        <v>2.5</v>
      </c>
      <c r="DE30" s="376">
        <f t="shared" si="59"/>
        <v>33.5</v>
      </c>
      <c r="DF30" s="373">
        <f t="shared" si="60"/>
        <v>10.373687499999999</v>
      </c>
      <c r="DG30" s="374" t="str">
        <f t="shared" si="61"/>
        <v>(0.96)</v>
      </c>
      <c r="DH30" s="375">
        <v>2</v>
      </c>
      <c r="DI30" s="375">
        <f t="shared" si="62"/>
        <v>1.5</v>
      </c>
      <c r="DJ30" s="375">
        <v>0</v>
      </c>
      <c r="DK30" s="375">
        <f t="shared" si="63"/>
        <v>0</v>
      </c>
      <c r="DL30" s="375">
        <v>2</v>
      </c>
      <c r="DM30" s="375">
        <f t="shared" si="64"/>
        <v>1</v>
      </c>
      <c r="DN30" s="375">
        <f t="shared" si="111"/>
        <v>2.5</v>
      </c>
      <c r="DO30" s="376">
        <f t="shared" si="66"/>
        <v>39.5</v>
      </c>
      <c r="DP30" s="373">
        <f t="shared" si="67"/>
        <v>11.818125</v>
      </c>
      <c r="DQ30" s="374" t="str">
        <f t="shared" si="68"/>
        <v>(1.1)</v>
      </c>
      <c r="DR30" s="375">
        <v>2</v>
      </c>
      <c r="DS30" s="375">
        <f t="shared" si="69"/>
        <v>1.5</v>
      </c>
      <c r="DT30" s="375">
        <v>0</v>
      </c>
      <c r="DU30" s="375">
        <f t="shared" si="70"/>
        <v>0</v>
      </c>
      <c r="DV30" s="375">
        <v>3</v>
      </c>
      <c r="DW30" s="375">
        <f t="shared" si="71"/>
        <v>1.5</v>
      </c>
      <c r="DX30" s="375">
        <f t="shared" si="112"/>
        <v>3</v>
      </c>
      <c r="DY30" s="376">
        <f t="shared" si="73"/>
        <v>45</v>
      </c>
      <c r="DZ30" s="373">
        <f t="shared" si="74"/>
        <v>13.393875</v>
      </c>
      <c r="EA30" s="374" t="str">
        <f t="shared" si="113"/>
        <v>(1.24)</v>
      </c>
      <c r="EB30" s="375">
        <v>2</v>
      </c>
      <c r="EC30" s="375">
        <f t="shared" si="76"/>
        <v>1.5</v>
      </c>
      <c r="ED30" s="375">
        <v>0</v>
      </c>
      <c r="EE30" s="375">
        <f t="shared" si="77"/>
        <v>0</v>
      </c>
      <c r="EF30" s="375">
        <v>3</v>
      </c>
      <c r="EG30" s="375">
        <f t="shared" si="78"/>
        <v>1.5</v>
      </c>
      <c r="EH30" s="375">
        <f t="shared" si="114"/>
        <v>3</v>
      </c>
      <c r="EI30" s="376">
        <f t="shared" si="80"/>
        <v>51</v>
      </c>
      <c r="EJ30" s="373">
        <f t="shared" si="81"/>
        <v>14.969624999999999</v>
      </c>
      <c r="EK30" s="374" t="str">
        <f t="shared" si="115"/>
        <v>(1.39)</v>
      </c>
      <c r="EL30" s="375">
        <v>2</v>
      </c>
      <c r="EM30" s="375">
        <f t="shared" si="83"/>
        <v>1.5</v>
      </c>
      <c r="EN30" s="375">
        <v>0</v>
      </c>
      <c r="EO30" s="375">
        <f t="shared" si="84"/>
        <v>0</v>
      </c>
      <c r="EP30" s="375">
        <v>3</v>
      </c>
      <c r="EQ30" s="375">
        <f t="shared" si="85"/>
        <v>1.5</v>
      </c>
      <c r="ER30" s="375">
        <f t="shared" si="116"/>
        <v>3</v>
      </c>
      <c r="ES30" s="376">
        <f t="shared" si="87"/>
        <v>57</v>
      </c>
      <c r="ET30" s="373">
        <f t="shared" si="88"/>
        <v>16.4140625</v>
      </c>
      <c r="EU30" s="374" t="str">
        <f t="shared" si="117"/>
        <v>(1.52)</v>
      </c>
      <c r="EV30" s="375">
        <v>2</v>
      </c>
      <c r="EW30" s="375">
        <f t="shared" si="90"/>
        <v>1.5</v>
      </c>
      <c r="EX30" s="375">
        <v>0</v>
      </c>
      <c r="EY30" s="375">
        <f t="shared" si="91"/>
        <v>0</v>
      </c>
      <c r="EZ30" s="375">
        <v>4</v>
      </c>
      <c r="FA30" s="375">
        <f t="shared" si="92"/>
        <v>2</v>
      </c>
      <c r="FB30" s="375">
        <f t="shared" si="118"/>
        <v>3.5</v>
      </c>
      <c r="FC30" s="376">
        <f t="shared" si="94"/>
        <v>62.5</v>
      </c>
      <c r="FD30" s="373">
        <f t="shared" si="95"/>
        <v>17.989812499999999</v>
      </c>
      <c r="FE30" s="374" t="str">
        <f t="shared" si="119"/>
        <v>(1.67)</v>
      </c>
      <c r="FF30" s="22">
        <v>2</v>
      </c>
      <c r="FG30" s="22">
        <f t="shared" si="97"/>
        <v>1.5</v>
      </c>
      <c r="FH30" s="22">
        <v>1</v>
      </c>
      <c r="FI30" s="22">
        <f t="shared" si="98"/>
        <v>0</v>
      </c>
      <c r="FJ30" s="22">
        <v>4</v>
      </c>
      <c r="FK30" s="22">
        <f t="shared" si="99"/>
        <v>2</v>
      </c>
      <c r="FL30" s="22">
        <f t="shared" si="120"/>
        <v>3.5</v>
      </c>
      <c r="FM30" s="23">
        <f t="shared" si="101"/>
        <v>68.5</v>
      </c>
      <c r="FN30" s="239"/>
      <c r="FO30" s="240"/>
      <c r="FP30" s="241"/>
      <c r="FQ30" s="241"/>
      <c r="FR30" s="241"/>
      <c r="FS30" s="241"/>
      <c r="FT30" s="241"/>
      <c r="FU30" s="241"/>
      <c r="FV30" s="241"/>
      <c r="FW30" s="242"/>
      <c r="FX30" s="239"/>
      <c r="FY30" s="240"/>
      <c r="FZ30" s="241"/>
      <c r="GA30" s="241"/>
      <c r="GB30" s="241"/>
      <c r="GC30" s="241"/>
      <c r="GD30" s="241"/>
      <c r="GE30" s="241"/>
      <c r="GF30" s="241"/>
      <c r="GG30" s="242"/>
      <c r="GH30" s="239"/>
      <c r="GI30" s="240"/>
      <c r="GJ30" s="241"/>
      <c r="GK30" s="241"/>
      <c r="GL30" s="241"/>
      <c r="GM30" s="241"/>
      <c r="GN30" s="241"/>
      <c r="GO30" s="241"/>
      <c r="GP30" s="241"/>
      <c r="GQ30" s="242"/>
      <c r="GR30" s="239"/>
      <c r="GS30" s="240"/>
      <c r="GT30" s="241"/>
      <c r="GU30" s="241"/>
      <c r="GV30" s="241"/>
      <c r="GW30" s="241"/>
      <c r="GX30" s="241"/>
      <c r="GY30" s="241"/>
      <c r="GZ30" s="241"/>
      <c r="HA30" s="242"/>
      <c r="HB30" s="239"/>
      <c r="HC30" s="240"/>
      <c r="HD30" s="241"/>
      <c r="HE30" s="241"/>
      <c r="HF30" s="241"/>
      <c r="HG30" s="241"/>
      <c r="HH30" s="241"/>
      <c r="HI30" s="241"/>
      <c r="HJ30" s="241"/>
      <c r="HK30" s="242"/>
      <c r="HL30" s="239"/>
      <c r="HM30" s="240"/>
      <c r="HN30" s="241"/>
      <c r="HO30" s="241"/>
      <c r="HP30" s="241"/>
      <c r="HQ30" s="241"/>
      <c r="HR30" s="241"/>
      <c r="HS30" s="241"/>
      <c r="HT30" s="241"/>
      <c r="HU30" s="242"/>
      <c r="HV30" s="239"/>
      <c r="HW30" s="240"/>
      <c r="HX30" s="241"/>
      <c r="HY30" s="241"/>
      <c r="HZ30" s="241"/>
      <c r="IA30" s="241"/>
      <c r="IB30" s="241"/>
      <c r="IC30" s="241"/>
      <c r="ID30" s="241"/>
      <c r="IE30" s="242"/>
      <c r="IF30" s="239"/>
      <c r="IG30" s="240"/>
      <c r="IH30" s="241"/>
      <c r="II30" s="241"/>
      <c r="IJ30" s="241"/>
      <c r="IK30" s="241"/>
      <c r="IL30" s="241"/>
      <c r="IM30" s="241"/>
      <c r="IN30" s="241"/>
      <c r="IO30" s="242"/>
      <c r="IP30" s="24"/>
      <c r="IQ30" s="25">
        <v>52</v>
      </c>
      <c r="IR30" s="26">
        <v>0</v>
      </c>
      <c r="IS30" s="26">
        <v>0.73399999999999999</v>
      </c>
      <c r="IT30" s="26">
        <v>0.38400000000000001</v>
      </c>
      <c r="IU30" s="26">
        <v>0.75</v>
      </c>
      <c r="IV30" s="26">
        <v>0.5</v>
      </c>
      <c r="IW30" s="26">
        <v>0</v>
      </c>
      <c r="IX30" s="8"/>
    </row>
    <row r="31" spans="2:258" ht="15.75" thickBot="1" x14ac:dyDescent="0.3">
      <c r="B31" s="103">
        <f t="shared" si="17"/>
        <v>78</v>
      </c>
      <c r="C31" s="221">
        <v>14</v>
      </c>
      <c r="D31" s="206"/>
      <c r="E31" s="206"/>
      <c r="F31" s="206"/>
      <c r="G31" s="206"/>
      <c r="H31" s="206"/>
      <c r="I31" s="206"/>
      <c r="J31" s="206"/>
      <c r="K31" s="206"/>
      <c r="L31" s="206"/>
      <c r="M31" s="206"/>
      <c r="N31" s="206"/>
      <c r="O31" s="206"/>
      <c r="P31" s="206"/>
      <c r="Q31" s="206"/>
      <c r="R31" s="206"/>
      <c r="S31" s="206"/>
      <c r="T31" s="206"/>
      <c r="U31" s="206"/>
      <c r="V31" s="206"/>
      <c r="W31" s="206"/>
      <c r="X31" s="96"/>
      <c r="Y31" s="65"/>
      <c r="AT31" s="4"/>
      <c r="AU31" s="27">
        <f t="shared" si="121"/>
        <v>60</v>
      </c>
      <c r="AV31" s="28" t="str">
        <f t="shared" si="102"/>
        <v>(1500)</v>
      </c>
      <c r="AW31" s="19">
        <f t="shared" si="122"/>
        <v>16</v>
      </c>
      <c r="AX31" s="20">
        <f t="shared" si="18"/>
        <v>1.3194375</v>
      </c>
      <c r="AY31" s="29" t="str">
        <f>"("&amp;FIXED(AX31*0.092903,2)&amp;")"</f>
        <v>(0.12)</v>
      </c>
      <c r="AZ31" s="22">
        <v>2</v>
      </c>
      <c r="BA31" s="22">
        <f t="shared" si="20"/>
        <v>1.5</v>
      </c>
      <c r="BB31" s="30">
        <v>0</v>
      </c>
      <c r="BC31" s="22">
        <f t="shared" si="21"/>
        <v>0</v>
      </c>
      <c r="BD31" s="30">
        <v>0</v>
      </c>
      <c r="BE31" s="22">
        <f t="shared" si="22"/>
        <v>0</v>
      </c>
      <c r="BF31" s="22">
        <f t="shared" si="104"/>
        <v>1.5</v>
      </c>
      <c r="BG31" s="23">
        <f t="shared" si="24"/>
        <v>4.5</v>
      </c>
      <c r="BH31" s="373">
        <f t="shared" si="25"/>
        <v>3.0786875</v>
      </c>
      <c r="BI31" s="374" t="str">
        <f>"("&amp;FIXED(BH31*0.092903,2)&amp;")"</f>
        <v>(0.29)</v>
      </c>
      <c r="BJ31" s="375">
        <v>2</v>
      </c>
      <c r="BK31" s="375">
        <f t="shared" si="27"/>
        <v>1.5</v>
      </c>
      <c r="BL31" s="375">
        <v>0</v>
      </c>
      <c r="BM31" s="375">
        <f t="shared" si="28"/>
        <v>0</v>
      </c>
      <c r="BN31" s="375">
        <v>0</v>
      </c>
      <c r="BO31" s="375">
        <f t="shared" si="29"/>
        <v>0</v>
      </c>
      <c r="BP31" s="375">
        <f t="shared" si="106"/>
        <v>1.5</v>
      </c>
      <c r="BQ31" s="376">
        <f t="shared" si="31"/>
        <v>10.5</v>
      </c>
      <c r="BR31" s="373">
        <f t="shared" si="32"/>
        <v>4.6913333333333336</v>
      </c>
      <c r="BS31" s="374" t="str">
        <f t="shared" si="33"/>
        <v>(0.44)</v>
      </c>
      <c r="BT31" s="375">
        <v>2</v>
      </c>
      <c r="BU31" s="375">
        <f t="shared" si="34"/>
        <v>1.5</v>
      </c>
      <c r="BV31" s="375">
        <v>0</v>
      </c>
      <c r="BW31" s="375">
        <f t="shared" si="35"/>
        <v>0</v>
      </c>
      <c r="BX31" s="375">
        <v>1</v>
      </c>
      <c r="BY31" s="375">
        <f t="shared" si="36"/>
        <v>0.5</v>
      </c>
      <c r="BZ31" s="375">
        <f t="shared" si="107"/>
        <v>2</v>
      </c>
      <c r="CA31" s="376">
        <f t="shared" si="38"/>
        <v>16</v>
      </c>
      <c r="CB31" s="373">
        <f t="shared" si="39"/>
        <v>6.4505833333333333</v>
      </c>
      <c r="CC31" s="374" t="str">
        <f t="shared" si="40"/>
        <v>(0.6)</v>
      </c>
      <c r="CD31" s="375">
        <v>2</v>
      </c>
      <c r="CE31" s="375">
        <f t="shared" si="41"/>
        <v>1.5</v>
      </c>
      <c r="CF31" s="375">
        <v>0</v>
      </c>
      <c r="CG31" s="375">
        <f t="shared" si="42"/>
        <v>0</v>
      </c>
      <c r="CH31" s="375">
        <v>1</v>
      </c>
      <c r="CI31" s="375">
        <f t="shared" si="43"/>
        <v>0.5</v>
      </c>
      <c r="CJ31" s="375">
        <f t="shared" si="108"/>
        <v>2</v>
      </c>
      <c r="CK31" s="376">
        <f t="shared" si="45"/>
        <v>22</v>
      </c>
      <c r="CL31" s="373">
        <f t="shared" si="46"/>
        <v>8.209833333333334</v>
      </c>
      <c r="CM31" s="374" t="str">
        <f t="shared" si="47"/>
        <v>(0.76)</v>
      </c>
      <c r="CN31" s="375">
        <v>2</v>
      </c>
      <c r="CO31" s="375">
        <f t="shared" si="48"/>
        <v>1.5</v>
      </c>
      <c r="CP31" s="375">
        <v>0</v>
      </c>
      <c r="CQ31" s="375">
        <f t="shared" si="49"/>
        <v>0</v>
      </c>
      <c r="CR31" s="375">
        <v>1</v>
      </c>
      <c r="CS31" s="375">
        <f t="shared" si="50"/>
        <v>0.5</v>
      </c>
      <c r="CT31" s="375">
        <f t="shared" si="109"/>
        <v>2</v>
      </c>
      <c r="CU31" s="376">
        <f t="shared" si="52"/>
        <v>28</v>
      </c>
      <c r="CV31" s="373">
        <f t="shared" si="53"/>
        <v>9.8224791666666675</v>
      </c>
      <c r="CW31" s="374" t="str">
        <f t="shared" si="54"/>
        <v>(0.91)</v>
      </c>
      <c r="CX31" s="375">
        <v>2</v>
      </c>
      <c r="CY31" s="375">
        <f t="shared" si="55"/>
        <v>1.5</v>
      </c>
      <c r="CZ31" s="375">
        <v>0</v>
      </c>
      <c r="DA31" s="375">
        <f t="shared" si="56"/>
        <v>0</v>
      </c>
      <c r="DB31" s="375">
        <v>2</v>
      </c>
      <c r="DC31" s="375">
        <f t="shared" si="57"/>
        <v>1</v>
      </c>
      <c r="DD31" s="375">
        <f t="shared" si="110"/>
        <v>2.5</v>
      </c>
      <c r="DE31" s="376">
        <f t="shared" si="59"/>
        <v>33.5</v>
      </c>
      <c r="DF31" s="373">
        <f t="shared" si="60"/>
        <v>11.581729166666667</v>
      </c>
      <c r="DG31" s="374" t="str">
        <f t="shared" si="61"/>
        <v>(1.08)</v>
      </c>
      <c r="DH31" s="375">
        <v>2</v>
      </c>
      <c r="DI31" s="375">
        <f t="shared" si="62"/>
        <v>1.5</v>
      </c>
      <c r="DJ31" s="375">
        <v>0</v>
      </c>
      <c r="DK31" s="375">
        <f t="shared" si="63"/>
        <v>0</v>
      </c>
      <c r="DL31" s="375">
        <v>2</v>
      </c>
      <c r="DM31" s="375">
        <f t="shared" si="64"/>
        <v>1</v>
      </c>
      <c r="DN31" s="375">
        <f t="shared" si="111"/>
        <v>2.5</v>
      </c>
      <c r="DO31" s="376">
        <f t="shared" si="66"/>
        <v>39.5</v>
      </c>
      <c r="DP31" s="373">
        <f t="shared" si="67"/>
        <v>13.194375000000001</v>
      </c>
      <c r="DQ31" s="374" t="str">
        <f t="shared" si="68"/>
        <v>(1.23)</v>
      </c>
      <c r="DR31" s="375">
        <v>2</v>
      </c>
      <c r="DS31" s="375">
        <f t="shared" si="69"/>
        <v>1.5</v>
      </c>
      <c r="DT31" s="375">
        <v>0</v>
      </c>
      <c r="DU31" s="375">
        <f t="shared" si="70"/>
        <v>0</v>
      </c>
      <c r="DV31" s="375">
        <v>3</v>
      </c>
      <c r="DW31" s="375">
        <f t="shared" si="71"/>
        <v>1.5</v>
      </c>
      <c r="DX31" s="375">
        <f t="shared" si="112"/>
        <v>3</v>
      </c>
      <c r="DY31" s="376">
        <f t="shared" si="73"/>
        <v>45</v>
      </c>
      <c r="DZ31" s="373">
        <f t="shared" si="74"/>
        <v>14.953625000000001</v>
      </c>
      <c r="EA31" s="374" t="str">
        <f>"("&amp;FIXED(DZ31*0.092903,2)&amp;")"</f>
        <v>(1.39)</v>
      </c>
      <c r="EB31" s="375">
        <v>2</v>
      </c>
      <c r="EC31" s="375">
        <f t="shared" si="76"/>
        <v>1.5</v>
      </c>
      <c r="ED31" s="375">
        <v>0</v>
      </c>
      <c r="EE31" s="375">
        <f t="shared" si="77"/>
        <v>0</v>
      </c>
      <c r="EF31" s="375">
        <v>3</v>
      </c>
      <c r="EG31" s="375">
        <f t="shared" si="78"/>
        <v>1.5</v>
      </c>
      <c r="EH31" s="375">
        <f t="shared" si="114"/>
        <v>3</v>
      </c>
      <c r="EI31" s="376">
        <f t="shared" si="80"/>
        <v>51</v>
      </c>
      <c r="EJ31" s="373">
        <f t="shared" si="81"/>
        <v>16.712875</v>
      </c>
      <c r="EK31" s="374" t="str">
        <f>"("&amp;FIXED(EJ31*0.092903,2)&amp;")"</f>
        <v>(1.55)</v>
      </c>
      <c r="EL31" s="375">
        <v>2</v>
      </c>
      <c r="EM31" s="375">
        <f t="shared" si="83"/>
        <v>1.5</v>
      </c>
      <c r="EN31" s="375">
        <v>0</v>
      </c>
      <c r="EO31" s="375">
        <f t="shared" si="84"/>
        <v>0</v>
      </c>
      <c r="EP31" s="375">
        <v>3</v>
      </c>
      <c r="EQ31" s="375">
        <f t="shared" si="85"/>
        <v>1.5</v>
      </c>
      <c r="ER31" s="375">
        <f t="shared" si="116"/>
        <v>3</v>
      </c>
      <c r="ES31" s="376">
        <f t="shared" si="87"/>
        <v>57</v>
      </c>
      <c r="ET31" s="373">
        <f t="shared" si="88"/>
        <v>18.325520833333332</v>
      </c>
      <c r="EU31" s="374" t="str">
        <f>"("&amp;FIXED(ET31*0.092903,2)&amp;")"</f>
        <v>(1.70)</v>
      </c>
      <c r="EV31" s="375">
        <v>2</v>
      </c>
      <c r="EW31" s="375">
        <f t="shared" si="90"/>
        <v>1.5</v>
      </c>
      <c r="EX31" s="375">
        <v>0</v>
      </c>
      <c r="EY31" s="375">
        <f t="shared" si="91"/>
        <v>0</v>
      </c>
      <c r="EZ31" s="375">
        <v>4</v>
      </c>
      <c r="FA31" s="375">
        <f t="shared" si="92"/>
        <v>2</v>
      </c>
      <c r="FB31" s="375">
        <f t="shared" si="118"/>
        <v>3.5</v>
      </c>
      <c r="FC31" s="376">
        <f t="shared" si="94"/>
        <v>62.5</v>
      </c>
      <c r="FD31" s="373">
        <f t="shared" si="95"/>
        <v>20.084770833333334</v>
      </c>
      <c r="FE31" s="374" t="str">
        <f>"("&amp;FIXED(FD31*0.092903,2)&amp;")"</f>
        <v>(1.87)</v>
      </c>
      <c r="FF31" s="22">
        <v>2</v>
      </c>
      <c r="FG31" s="22">
        <f t="shared" si="97"/>
        <v>1.5</v>
      </c>
      <c r="FH31" s="30">
        <v>1</v>
      </c>
      <c r="FI31" s="22">
        <f t="shared" si="98"/>
        <v>0</v>
      </c>
      <c r="FJ31" s="22">
        <v>4</v>
      </c>
      <c r="FK31" s="22">
        <f t="shared" si="99"/>
        <v>2</v>
      </c>
      <c r="FL31" s="22">
        <f t="shared" si="120"/>
        <v>3.5</v>
      </c>
      <c r="FM31" s="23">
        <f t="shared" si="101"/>
        <v>68.5</v>
      </c>
      <c r="FN31" s="239"/>
      <c r="FO31" s="240"/>
      <c r="FP31" s="241"/>
      <c r="FQ31" s="241"/>
      <c r="FR31" s="241"/>
      <c r="FS31" s="241"/>
      <c r="FT31" s="241"/>
      <c r="FU31" s="241"/>
      <c r="FV31" s="241"/>
      <c r="FW31" s="242"/>
      <c r="FX31" s="239"/>
      <c r="FY31" s="240"/>
      <c r="FZ31" s="241"/>
      <c r="GA31" s="241"/>
      <c r="GB31" s="241"/>
      <c r="GC31" s="241"/>
      <c r="GD31" s="241"/>
      <c r="GE31" s="241"/>
      <c r="GF31" s="241"/>
      <c r="GG31" s="242"/>
      <c r="GH31" s="239"/>
      <c r="GI31" s="240"/>
      <c r="GJ31" s="241"/>
      <c r="GK31" s="241"/>
      <c r="GL31" s="241"/>
      <c r="GM31" s="241"/>
      <c r="GN31" s="241"/>
      <c r="GO31" s="241"/>
      <c r="GP31" s="241"/>
      <c r="GQ31" s="242"/>
      <c r="GR31" s="239"/>
      <c r="GS31" s="240"/>
      <c r="GT31" s="241"/>
      <c r="GU31" s="241"/>
      <c r="GV31" s="241"/>
      <c r="GW31" s="241"/>
      <c r="GX31" s="241"/>
      <c r="GY31" s="241"/>
      <c r="GZ31" s="241"/>
      <c r="HA31" s="242"/>
      <c r="HB31" s="239"/>
      <c r="HC31" s="240"/>
      <c r="HD31" s="241"/>
      <c r="HE31" s="241"/>
      <c r="HF31" s="241"/>
      <c r="HG31" s="241"/>
      <c r="HH31" s="241"/>
      <c r="HI31" s="241"/>
      <c r="HJ31" s="241"/>
      <c r="HK31" s="242"/>
      <c r="HL31" s="239"/>
      <c r="HM31" s="240"/>
      <c r="HN31" s="241"/>
      <c r="HO31" s="241"/>
      <c r="HP31" s="241"/>
      <c r="HQ31" s="241"/>
      <c r="HR31" s="241"/>
      <c r="HS31" s="241"/>
      <c r="HT31" s="241"/>
      <c r="HU31" s="242"/>
      <c r="HV31" s="239"/>
      <c r="HW31" s="240"/>
      <c r="HX31" s="241"/>
      <c r="HY31" s="241"/>
      <c r="HZ31" s="241"/>
      <c r="IA31" s="241"/>
      <c r="IB31" s="241"/>
      <c r="IC31" s="241"/>
      <c r="ID31" s="241"/>
      <c r="IE31" s="242"/>
      <c r="IF31" s="239"/>
      <c r="IG31" s="240"/>
      <c r="IH31" s="241"/>
      <c r="II31" s="241"/>
      <c r="IJ31" s="241"/>
      <c r="IK31" s="241"/>
      <c r="IL31" s="241"/>
      <c r="IM31" s="241"/>
      <c r="IN31" s="241"/>
      <c r="IO31" s="242"/>
      <c r="IP31" s="24"/>
      <c r="IQ31" s="25">
        <v>58</v>
      </c>
      <c r="IR31" s="26">
        <v>0</v>
      </c>
      <c r="IS31" s="26">
        <v>0.73399999999999999</v>
      </c>
      <c r="IT31" s="26">
        <v>0.38400000000000001</v>
      </c>
      <c r="IU31" s="26">
        <v>0.75</v>
      </c>
      <c r="IV31" s="26">
        <v>0.5</v>
      </c>
      <c r="IW31" s="26">
        <v>0</v>
      </c>
      <c r="IX31" s="8"/>
    </row>
    <row r="32" spans="2:258" ht="15.75" thickBot="1" x14ac:dyDescent="0.3">
      <c r="B32" s="103">
        <f t="shared" si="17"/>
        <v>84</v>
      </c>
      <c r="C32" s="226">
        <v>15</v>
      </c>
      <c r="D32" s="206"/>
      <c r="E32" s="206"/>
      <c r="F32" s="206"/>
      <c r="G32" s="206"/>
      <c r="H32" s="206"/>
      <c r="I32" s="206"/>
      <c r="J32" s="206"/>
      <c r="K32" s="206"/>
      <c r="L32" s="206"/>
      <c r="M32" s="206"/>
      <c r="N32" s="206"/>
      <c r="O32" s="206"/>
      <c r="P32" s="206"/>
      <c r="Q32" s="206"/>
      <c r="R32" s="206"/>
      <c r="S32" s="206"/>
      <c r="T32" s="206"/>
      <c r="U32" s="206"/>
      <c r="V32" s="206"/>
      <c r="W32" s="206"/>
      <c r="X32" s="96"/>
      <c r="Y32" s="65"/>
      <c r="AT32" s="4"/>
      <c r="AU32" s="14">
        <f t="shared" si="121"/>
        <v>66</v>
      </c>
      <c r="AV32" s="12" t="str">
        <f t="shared" si="102"/>
        <v>(1700)</v>
      </c>
      <c r="AW32" s="19">
        <f t="shared" si="122"/>
        <v>17</v>
      </c>
      <c r="AX32" s="20">
        <f t="shared" si="18"/>
        <v>1.4570624999999999</v>
      </c>
      <c r="AY32" s="21" t="str">
        <f t="shared" ref="AY32:AY33" si="123">"("&amp;FIXED(AX32*0.092903,2)&amp;")"</f>
        <v>(0.14)</v>
      </c>
      <c r="AZ32" s="22">
        <v>2</v>
      </c>
      <c r="BA32" s="22">
        <f t="shared" si="20"/>
        <v>1.5</v>
      </c>
      <c r="BB32" s="22">
        <v>0</v>
      </c>
      <c r="BC32" s="22">
        <f t="shared" si="21"/>
        <v>0</v>
      </c>
      <c r="BD32" s="22">
        <v>0</v>
      </c>
      <c r="BE32" s="22">
        <f t="shared" si="22"/>
        <v>0</v>
      </c>
      <c r="BF32" s="22">
        <f t="shared" si="104"/>
        <v>1.5</v>
      </c>
      <c r="BG32" s="23">
        <f t="shared" si="24"/>
        <v>4.5</v>
      </c>
      <c r="BH32" s="373">
        <f t="shared" si="25"/>
        <v>3.3998124999999999</v>
      </c>
      <c r="BI32" s="374" t="str">
        <f t="shared" si="105"/>
        <v>(0.32)</v>
      </c>
      <c r="BJ32" s="375">
        <v>2</v>
      </c>
      <c r="BK32" s="375">
        <f t="shared" si="27"/>
        <v>1.5</v>
      </c>
      <c r="BL32" s="375">
        <v>0</v>
      </c>
      <c r="BM32" s="375">
        <f t="shared" si="28"/>
        <v>0</v>
      </c>
      <c r="BN32" s="375">
        <v>0</v>
      </c>
      <c r="BO32" s="375">
        <f t="shared" si="29"/>
        <v>0</v>
      </c>
      <c r="BP32" s="375">
        <f t="shared" si="106"/>
        <v>1.5</v>
      </c>
      <c r="BQ32" s="376">
        <f t="shared" si="31"/>
        <v>10.5</v>
      </c>
      <c r="BR32" s="373">
        <f t="shared" si="32"/>
        <v>5.1806666666666663</v>
      </c>
      <c r="BS32" s="374" t="str">
        <f t="shared" si="33"/>
        <v>(0.48)</v>
      </c>
      <c r="BT32" s="375">
        <v>2</v>
      </c>
      <c r="BU32" s="375">
        <f t="shared" si="34"/>
        <v>1.5</v>
      </c>
      <c r="BV32" s="375">
        <v>0</v>
      </c>
      <c r="BW32" s="375">
        <f t="shared" si="35"/>
        <v>0</v>
      </c>
      <c r="BX32" s="375">
        <v>1</v>
      </c>
      <c r="BY32" s="375">
        <f t="shared" si="36"/>
        <v>0.5</v>
      </c>
      <c r="BZ32" s="375">
        <f t="shared" si="107"/>
        <v>2</v>
      </c>
      <c r="CA32" s="376">
        <f t="shared" si="38"/>
        <v>16</v>
      </c>
      <c r="CB32" s="373">
        <f t="shared" si="39"/>
        <v>7.1234166666666665</v>
      </c>
      <c r="CC32" s="374" t="str">
        <f t="shared" si="40"/>
        <v>(0.66)</v>
      </c>
      <c r="CD32" s="375">
        <v>2</v>
      </c>
      <c r="CE32" s="375">
        <f t="shared" si="41"/>
        <v>1.5</v>
      </c>
      <c r="CF32" s="375">
        <v>0</v>
      </c>
      <c r="CG32" s="375">
        <f t="shared" si="42"/>
        <v>0</v>
      </c>
      <c r="CH32" s="375">
        <v>1</v>
      </c>
      <c r="CI32" s="375">
        <f t="shared" si="43"/>
        <v>0.5</v>
      </c>
      <c r="CJ32" s="375">
        <f t="shared" si="108"/>
        <v>2</v>
      </c>
      <c r="CK32" s="376">
        <f t="shared" si="45"/>
        <v>22</v>
      </c>
      <c r="CL32" s="373">
        <f t="shared" si="46"/>
        <v>9.0661666666666676</v>
      </c>
      <c r="CM32" s="374" t="str">
        <f t="shared" si="47"/>
        <v>(0.84)</v>
      </c>
      <c r="CN32" s="375">
        <v>2</v>
      </c>
      <c r="CO32" s="375">
        <f t="shared" si="48"/>
        <v>1.5</v>
      </c>
      <c r="CP32" s="375">
        <v>0</v>
      </c>
      <c r="CQ32" s="375">
        <f t="shared" si="49"/>
        <v>0</v>
      </c>
      <c r="CR32" s="375">
        <v>1</v>
      </c>
      <c r="CS32" s="375">
        <f t="shared" si="50"/>
        <v>0.5</v>
      </c>
      <c r="CT32" s="375">
        <f t="shared" si="109"/>
        <v>2</v>
      </c>
      <c r="CU32" s="376">
        <f t="shared" si="52"/>
        <v>28</v>
      </c>
      <c r="CV32" s="373">
        <f t="shared" si="53"/>
        <v>10.847020833333334</v>
      </c>
      <c r="CW32" s="374" t="str">
        <f t="shared" si="54"/>
        <v>(1.01)</v>
      </c>
      <c r="CX32" s="375">
        <v>2</v>
      </c>
      <c r="CY32" s="375">
        <f t="shared" si="55"/>
        <v>1.5</v>
      </c>
      <c r="CZ32" s="375">
        <v>0</v>
      </c>
      <c r="DA32" s="375">
        <f t="shared" si="56"/>
        <v>0</v>
      </c>
      <c r="DB32" s="375">
        <v>2</v>
      </c>
      <c r="DC32" s="375">
        <f t="shared" si="57"/>
        <v>1</v>
      </c>
      <c r="DD32" s="375">
        <f t="shared" si="110"/>
        <v>2.5</v>
      </c>
      <c r="DE32" s="376">
        <f t="shared" si="59"/>
        <v>33.5</v>
      </c>
      <c r="DF32" s="373">
        <f t="shared" si="60"/>
        <v>12.789770833333332</v>
      </c>
      <c r="DG32" s="374" t="str">
        <f t="shared" si="61"/>
        <v>(1.19)</v>
      </c>
      <c r="DH32" s="375">
        <v>2</v>
      </c>
      <c r="DI32" s="375">
        <f t="shared" si="62"/>
        <v>1.5</v>
      </c>
      <c r="DJ32" s="375">
        <v>0</v>
      </c>
      <c r="DK32" s="375">
        <f t="shared" si="63"/>
        <v>0</v>
      </c>
      <c r="DL32" s="375">
        <v>2</v>
      </c>
      <c r="DM32" s="375">
        <f t="shared" si="64"/>
        <v>1</v>
      </c>
      <c r="DN32" s="375">
        <f t="shared" si="111"/>
        <v>2.5</v>
      </c>
      <c r="DO32" s="376">
        <f t="shared" si="66"/>
        <v>39.5</v>
      </c>
      <c r="DP32" s="373">
        <f t="shared" si="67"/>
        <v>14.570625</v>
      </c>
      <c r="DQ32" s="374" t="str">
        <f t="shared" si="68"/>
        <v>(1.35)</v>
      </c>
      <c r="DR32" s="375">
        <v>2</v>
      </c>
      <c r="DS32" s="375">
        <f t="shared" si="69"/>
        <v>1.5</v>
      </c>
      <c r="DT32" s="375">
        <v>0</v>
      </c>
      <c r="DU32" s="375">
        <f t="shared" si="70"/>
        <v>0</v>
      </c>
      <c r="DV32" s="375">
        <v>3</v>
      </c>
      <c r="DW32" s="375">
        <f t="shared" si="71"/>
        <v>1.5</v>
      </c>
      <c r="DX32" s="375">
        <f t="shared" si="112"/>
        <v>3</v>
      </c>
      <c r="DY32" s="376">
        <f t="shared" si="73"/>
        <v>45</v>
      </c>
      <c r="DZ32" s="373">
        <f t="shared" si="74"/>
        <v>16.513375</v>
      </c>
      <c r="EA32" s="374" t="str">
        <f t="shared" si="113"/>
        <v>(1.53)</v>
      </c>
      <c r="EB32" s="375">
        <v>2</v>
      </c>
      <c r="EC32" s="375">
        <f t="shared" si="76"/>
        <v>1.5</v>
      </c>
      <c r="ED32" s="375">
        <v>0</v>
      </c>
      <c r="EE32" s="375">
        <f t="shared" si="77"/>
        <v>0</v>
      </c>
      <c r="EF32" s="375">
        <v>3</v>
      </c>
      <c r="EG32" s="375">
        <f t="shared" si="78"/>
        <v>1.5</v>
      </c>
      <c r="EH32" s="375">
        <f t="shared" si="114"/>
        <v>3</v>
      </c>
      <c r="EI32" s="376">
        <f t="shared" si="80"/>
        <v>51</v>
      </c>
      <c r="EJ32" s="373">
        <f t="shared" si="81"/>
        <v>18.456125</v>
      </c>
      <c r="EK32" s="374" t="str">
        <f t="shared" ref="EK32:EK33" si="124">"("&amp;FIXED(EJ32*0.092903,2)&amp;")"</f>
        <v>(1.71)</v>
      </c>
      <c r="EL32" s="375">
        <v>2</v>
      </c>
      <c r="EM32" s="375">
        <f t="shared" si="83"/>
        <v>1.5</v>
      </c>
      <c r="EN32" s="375">
        <v>0</v>
      </c>
      <c r="EO32" s="375">
        <f t="shared" si="84"/>
        <v>0</v>
      </c>
      <c r="EP32" s="375">
        <v>3</v>
      </c>
      <c r="EQ32" s="375">
        <f t="shared" si="85"/>
        <v>1.5</v>
      </c>
      <c r="ER32" s="375">
        <f t="shared" si="116"/>
        <v>3</v>
      </c>
      <c r="ES32" s="376">
        <f t="shared" si="87"/>
        <v>57</v>
      </c>
      <c r="ET32" s="373">
        <f t="shared" si="88"/>
        <v>20.236979166666668</v>
      </c>
      <c r="EU32" s="374" t="str">
        <f t="shared" ref="EU32:EU33" si="125">"("&amp;FIXED(ET32*0.092903,2)&amp;")"</f>
        <v>(1.88)</v>
      </c>
      <c r="EV32" s="375">
        <v>2</v>
      </c>
      <c r="EW32" s="375">
        <f t="shared" si="90"/>
        <v>1.5</v>
      </c>
      <c r="EX32" s="375">
        <v>0</v>
      </c>
      <c r="EY32" s="375">
        <f t="shared" si="91"/>
        <v>0</v>
      </c>
      <c r="EZ32" s="375">
        <v>4</v>
      </c>
      <c r="FA32" s="375">
        <f t="shared" si="92"/>
        <v>2</v>
      </c>
      <c r="FB32" s="375">
        <f t="shared" si="118"/>
        <v>3.5</v>
      </c>
      <c r="FC32" s="376">
        <f t="shared" si="94"/>
        <v>62.5</v>
      </c>
      <c r="FD32" s="373">
        <f t="shared" si="95"/>
        <v>22.179729166666664</v>
      </c>
      <c r="FE32" s="374" t="str">
        <f t="shared" si="119"/>
        <v>(2.06)</v>
      </c>
      <c r="FF32" s="22">
        <v>2</v>
      </c>
      <c r="FG32" s="22">
        <f t="shared" si="97"/>
        <v>1.5</v>
      </c>
      <c r="FH32" s="22">
        <v>1</v>
      </c>
      <c r="FI32" s="22">
        <f t="shared" si="98"/>
        <v>0</v>
      </c>
      <c r="FJ32" s="22">
        <v>4</v>
      </c>
      <c r="FK32" s="22">
        <f t="shared" si="99"/>
        <v>2</v>
      </c>
      <c r="FL32" s="22">
        <f t="shared" si="120"/>
        <v>3.5</v>
      </c>
      <c r="FM32" s="23">
        <f t="shared" si="101"/>
        <v>68.5</v>
      </c>
      <c r="FN32" s="239"/>
      <c r="FO32" s="240"/>
      <c r="FP32" s="241"/>
      <c r="FQ32" s="241"/>
      <c r="FR32" s="241"/>
      <c r="FS32" s="241"/>
      <c r="FT32" s="241"/>
      <c r="FU32" s="241"/>
      <c r="FV32" s="241"/>
      <c r="FW32" s="242"/>
      <c r="FX32" s="239"/>
      <c r="FY32" s="240"/>
      <c r="FZ32" s="241"/>
      <c r="GA32" s="241"/>
      <c r="GB32" s="241"/>
      <c r="GC32" s="241"/>
      <c r="GD32" s="241"/>
      <c r="GE32" s="241"/>
      <c r="GF32" s="241"/>
      <c r="GG32" s="242"/>
      <c r="GH32" s="239"/>
      <c r="GI32" s="240"/>
      <c r="GJ32" s="241"/>
      <c r="GK32" s="241"/>
      <c r="GL32" s="241"/>
      <c r="GM32" s="241"/>
      <c r="GN32" s="241"/>
      <c r="GO32" s="241"/>
      <c r="GP32" s="241"/>
      <c r="GQ32" s="242"/>
      <c r="GR32" s="239"/>
      <c r="GS32" s="240"/>
      <c r="GT32" s="241"/>
      <c r="GU32" s="241"/>
      <c r="GV32" s="241"/>
      <c r="GW32" s="241"/>
      <c r="GX32" s="241"/>
      <c r="GY32" s="241"/>
      <c r="GZ32" s="241"/>
      <c r="HA32" s="242"/>
      <c r="HB32" s="239"/>
      <c r="HC32" s="240"/>
      <c r="HD32" s="241"/>
      <c r="HE32" s="241"/>
      <c r="HF32" s="241"/>
      <c r="HG32" s="241"/>
      <c r="HH32" s="241"/>
      <c r="HI32" s="241"/>
      <c r="HJ32" s="241"/>
      <c r="HK32" s="242"/>
      <c r="HL32" s="239"/>
      <c r="HM32" s="240"/>
      <c r="HN32" s="241"/>
      <c r="HO32" s="241"/>
      <c r="HP32" s="241"/>
      <c r="HQ32" s="241"/>
      <c r="HR32" s="241"/>
      <c r="HS32" s="241"/>
      <c r="HT32" s="241"/>
      <c r="HU32" s="242"/>
      <c r="HV32" s="239"/>
      <c r="HW32" s="240"/>
      <c r="HX32" s="241"/>
      <c r="HY32" s="241"/>
      <c r="HZ32" s="241"/>
      <c r="IA32" s="241"/>
      <c r="IB32" s="241"/>
      <c r="IC32" s="241"/>
      <c r="ID32" s="241"/>
      <c r="IE32" s="242"/>
      <c r="IF32" s="239"/>
      <c r="IG32" s="240"/>
      <c r="IH32" s="241"/>
      <c r="II32" s="241"/>
      <c r="IJ32" s="241"/>
      <c r="IK32" s="241"/>
      <c r="IL32" s="241"/>
      <c r="IM32" s="241"/>
      <c r="IN32" s="241"/>
      <c r="IO32" s="242"/>
      <c r="IP32" s="24"/>
      <c r="IQ32" s="25">
        <v>64</v>
      </c>
      <c r="IR32" s="26">
        <v>0</v>
      </c>
      <c r="IS32" s="26">
        <v>0.73399999999999999</v>
      </c>
      <c r="IT32" s="26">
        <v>0.38400000000000001</v>
      </c>
      <c r="IU32" s="26">
        <v>0.75</v>
      </c>
      <c r="IV32" s="26">
        <v>0.5</v>
      </c>
      <c r="IW32" s="26">
        <v>0</v>
      </c>
      <c r="IX32" s="8"/>
    </row>
    <row r="33" spans="2:258" ht="15.75" thickBot="1" x14ac:dyDescent="0.3">
      <c r="B33" s="103">
        <f t="shared" si="17"/>
        <v>90</v>
      </c>
      <c r="C33" s="221">
        <v>16</v>
      </c>
      <c r="D33" s="206"/>
      <c r="E33" s="206"/>
      <c r="F33" s="206"/>
      <c r="G33" s="206"/>
      <c r="H33" s="206"/>
      <c r="I33" s="206"/>
      <c r="J33" s="206"/>
      <c r="K33" s="206"/>
      <c r="L33" s="206"/>
      <c r="M33" s="206"/>
      <c r="N33" s="206"/>
      <c r="O33" s="206"/>
      <c r="P33" s="206"/>
      <c r="Q33" s="206"/>
      <c r="R33" s="206"/>
      <c r="S33" s="206"/>
      <c r="T33" s="206"/>
      <c r="U33" s="206"/>
      <c r="V33" s="206"/>
      <c r="W33" s="206"/>
      <c r="X33" s="96"/>
      <c r="Y33" s="65"/>
      <c r="AT33" s="4"/>
      <c r="AU33" s="14">
        <f t="shared" si="121"/>
        <v>72</v>
      </c>
      <c r="AV33" s="12" t="str">
        <f t="shared" si="102"/>
        <v>(1850)</v>
      </c>
      <c r="AW33" s="19">
        <f t="shared" si="122"/>
        <v>18</v>
      </c>
      <c r="AX33" s="20">
        <f t="shared" si="18"/>
        <v>1.5946875</v>
      </c>
      <c r="AY33" s="21" t="str">
        <f t="shared" si="123"/>
        <v>(0.15)</v>
      </c>
      <c r="AZ33" s="22">
        <v>2</v>
      </c>
      <c r="BA33" s="22">
        <f t="shared" si="20"/>
        <v>1.5</v>
      </c>
      <c r="BB33" s="22">
        <v>0</v>
      </c>
      <c r="BC33" s="22">
        <f t="shared" si="21"/>
        <v>0</v>
      </c>
      <c r="BD33" s="22">
        <v>0</v>
      </c>
      <c r="BE33" s="22">
        <f t="shared" si="22"/>
        <v>0</v>
      </c>
      <c r="BF33" s="22">
        <f t="shared" si="104"/>
        <v>1.5</v>
      </c>
      <c r="BG33" s="23">
        <f t="shared" si="24"/>
        <v>4.5</v>
      </c>
      <c r="BH33" s="373">
        <f t="shared" si="25"/>
        <v>3.7209375000000002</v>
      </c>
      <c r="BI33" s="374" t="str">
        <f t="shared" si="105"/>
        <v>(0.35)</v>
      </c>
      <c r="BJ33" s="375">
        <v>2</v>
      </c>
      <c r="BK33" s="375">
        <f t="shared" si="27"/>
        <v>1.5</v>
      </c>
      <c r="BL33" s="375">
        <v>0</v>
      </c>
      <c r="BM33" s="375">
        <f t="shared" si="28"/>
        <v>0</v>
      </c>
      <c r="BN33" s="375">
        <v>0</v>
      </c>
      <c r="BO33" s="375">
        <f t="shared" si="29"/>
        <v>0</v>
      </c>
      <c r="BP33" s="375">
        <f t="shared" si="106"/>
        <v>1.5</v>
      </c>
      <c r="BQ33" s="376">
        <f t="shared" si="31"/>
        <v>10.5</v>
      </c>
      <c r="BR33" s="373">
        <f t="shared" si="32"/>
        <v>5.67</v>
      </c>
      <c r="BS33" s="374" t="str">
        <f t="shared" si="33"/>
        <v>(0.53)</v>
      </c>
      <c r="BT33" s="375">
        <v>2</v>
      </c>
      <c r="BU33" s="375">
        <f t="shared" si="34"/>
        <v>1.5</v>
      </c>
      <c r="BV33" s="375">
        <v>0</v>
      </c>
      <c r="BW33" s="375">
        <f t="shared" si="35"/>
        <v>0</v>
      </c>
      <c r="BX33" s="375">
        <v>1</v>
      </c>
      <c r="BY33" s="375">
        <f t="shared" si="36"/>
        <v>0.5</v>
      </c>
      <c r="BZ33" s="375">
        <f t="shared" si="107"/>
        <v>2</v>
      </c>
      <c r="CA33" s="376">
        <f t="shared" si="38"/>
        <v>16</v>
      </c>
      <c r="CB33" s="373">
        <f t="shared" si="39"/>
        <v>7.7962500000000006</v>
      </c>
      <c r="CC33" s="374" t="str">
        <f t="shared" si="40"/>
        <v>(0.72)</v>
      </c>
      <c r="CD33" s="375">
        <v>2</v>
      </c>
      <c r="CE33" s="375">
        <f t="shared" si="41"/>
        <v>1.5</v>
      </c>
      <c r="CF33" s="375">
        <v>0</v>
      </c>
      <c r="CG33" s="375">
        <f t="shared" si="42"/>
        <v>0</v>
      </c>
      <c r="CH33" s="375">
        <v>1</v>
      </c>
      <c r="CI33" s="375">
        <f t="shared" si="43"/>
        <v>0.5</v>
      </c>
      <c r="CJ33" s="375">
        <f t="shared" si="108"/>
        <v>2</v>
      </c>
      <c r="CK33" s="376">
        <f t="shared" si="45"/>
        <v>22</v>
      </c>
      <c r="CL33" s="373">
        <f t="shared" si="46"/>
        <v>9.9225000000000012</v>
      </c>
      <c r="CM33" s="374" t="str">
        <f t="shared" si="47"/>
        <v>(0.92)</v>
      </c>
      <c r="CN33" s="375">
        <v>2</v>
      </c>
      <c r="CO33" s="375">
        <f t="shared" si="48"/>
        <v>1.5</v>
      </c>
      <c r="CP33" s="375">
        <v>0</v>
      </c>
      <c r="CQ33" s="375">
        <f t="shared" si="49"/>
        <v>0</v>
      </c>
      <c r="CR33" s="375">
        <v>1</v>
      </c>
      <c r="CS33" s="375">
        <f t="shared" si="50"/>
        <v>0.5</v>
      </c>
      <c r="CT33" s="375">
        <f t="shared" si="109"/>
        <v>2</v>
      </c>
      <c r="CU33" s="376">
        <f t="shared" si="52"/>
        <v>28</v>
      </c>
      <c r="CV33" s="373">
        <f t="shared" si="53"/>
        <v>11.871562500000001</v>
      </c>
      <c r="CW33" s="374" t="str">
        <f t="shared" si="54"/>
        <v>(1.1)</v>
      </c>
      <c r="CX33" s="375">
        <v>2</v>
      </c>
      <c r="CY33" s="375">
        <f t="shared" si="55"/>
        <v>1.5</v>
      </c>
      <c r="CZ33" s="375">
        <v>0</v>
      </c>
      <c r="DA33" s="375">
        <f t="shared" si="56"/>
        <v>0</v>
      </c>
      <c r="DB33" s="375">
        <v>2</v>
      </c>
      <c r="DC33" s="375">
        <f t="shared" si="57"/>
        <v>1</v>
      </c>
      <c r="DD33" s="375">
        <f t="shared" si="110"/>
        <v>2.5</v>
      </c>
      <c r="DE33" s="376">
        <f t="shared" si="59"/>
        <v>33.5</v>
      </c>
      <c r="DF33" s="373">
        <f t="shared" si="60"/>
        <v>13.9978125</v>
      </c>
      <c r="DG33" s="374" t="str">
        <f t="shared" si="61"/>
        <v>(1.3)</v>
      </c>
      <c r="DH33" s="375">
        <v>2</v>
      </c>
      <c r="DI33" s="375">
        <f t="shared" si="62"/>
        <v>1.5</v>
      </c>
      <c r="DJ33" s="375">
        <v>0</v>
      </c>
      <c r="DK33" s="375">
        <f t="shared" si="63"/>
        <v>0</v>
      </c>
      <c r="DL33" s="375">
        <v>2</v>
      </c>
      <c r="DM33" s="375">
        <f t="shared" si="64"/>
        <v>1</v>
      </c>
      <c r="DN33" s="375">
        <f t="shared" si="111"/>
        <v>2.5</v>
      </c>
      <c r="DO33" s="376">
        <f t="shared" si="66"/>
        <v>39.5</v>
      </c>
      <c r="DP33" s="373">
        <f t="shared" si="67"/>
        <v>15.946874999999999</v>
      </c>
      <c r="DQ33" s="374" t="str">
        <f t="shared" si="68"/>
        <v>(1.48)</v>
      </c>
      <c r="DR33" s="375">
        <v>2</v>
      </c>
      <c r="DS33" s="375">
        <f t="shared" si="69"/>
        <v>1.5</v>
      </c>
      <c r="DT33" s="375">
        <v>0</v>
      </c>
      <c r="DU33" s="375">
        <f t="shared" si="70"/>
        <v>0</v>
      </c>
      <c r="DV33" s="375">
        <v>3</v>
      </c>
      <c r="DW33" s="375">
        <f t="shared" si="71"/>
        <v>1.5</v>
      </c>
      <c r="DX33" s="375">
        <f t="shared" si="112"/>
        <v>3</v>
      </c>
      <c r="DY33" s="376">
        <f t="shared" si="73"/>
        <v>45</v>
      </c>
      <c r="DZ33" s="373">
        <f t="shared" si="74"/>
        <v>18.073125000000001</v>
      </c>
      <c r="EA33" s="374" t="str">
        <f t="shared" si="113"/>
        <v>(1.68)</v>
      </c>
      <c r="EB33" s="375">
        <v>2</v>
      </c>
      <c r="EC33" s="375">
        <f t="shared" si="76"/>
        <v>1.5</v>
      </c>
      <c r="ED33" s="375">
        <v>0</v>
      </c>
      <c r="EE33" s="375">
        <f t="shared" si="77"/>
        <v>0</v>
      </c>
      <c r="EF33" s="375">
        <v>3</v>
      </c>
      <c r="EG33" s="375">
        <f t="shared" si="78"/>
        <v>1.5</v>
      </c>
      <c r="EH33" s="375">
        <f t="shared" si="114"/>
        <v>3</v>
      </c>
      <c r="EI33" s="376">
        <f t="shared" si="80"/>
        <v>51</v>
      </c>
      <c r="EJ33" s="373">
        <f t="shared" si="81"/>
        <v>20.199375</v>
      </c>
      <c r="EK33" s="374" t="str">
        <f t="shared" si="124"/>
        <v>(1.88)</v>
      </c>
      <c r="EL33" s="375">
        <v>2</v>
      </c>
      <c r="EM33" s="375">
        <f t="shared" si="83"/>
        <v>1.5</v>
      </c>
      <c r="EN33" s="375">
        <v>0</v>
      </c>
      <c r="EO33" s="375">
        <f t="shared" si="84"/>
        <v>0</v>
      </c>
      <c r="EP33" s="375">
        <v>3</v>
      </c>
      <c r="EQ33" s="375">
        <f t="shared" si="85"/>
        <v>1.5</v>
      </c>
      <c r="ER33" s="375">
        <f t="shared" si="116"/>
        <v>3</v>
      </c>
      <c r="ES33" s="376">
        <f t="shared" si="87"/>
        <v>57</v>
      </c>
      <c r="ET33" s="373">
        <f t="shared" si="88"/>
        <v>22.1484375</v>
      </c>
      <c r="EU33" s="374" t="str">
        <f t="shared" si="125"/>
        <v>(2.06)</v>
      </c>
      <c r="EV33" s="375">
        <v>2</v>
      </c>
      <c r="EW33" s="375">
        <f t="shared" si="90"/>
        <v>1.5</v>
      </c>
      <c r="EX33" s="375">
        <v>0</v>
      </c>
      <c r="EY33" s="375">
        <f t="shared" si="91"/>
        <v>0</v>
      </c>
      <c r="EZ33" s="375">
        <v>4</v>
      </c>
      <c r="FA33" s="375">
        <f t="shared" si="92"/>
        <v>2</v>
      </c>
      <c r="FB33" s="375">
        <f t="shared" si="118"/>
        <v>3.5</v>
      </c>
      <c r="FC33" s="376">
        <f t="shared" si="94"/>
        <v>62.5</v>
      </c>
      <c r="FD33" s="373">
        <f t="shared" si="95"/>
        <v>24.274687500000002</v>
      </c>
      <c r="FE33" s="374" t="str">
        <f t="shared" si="119"/>
        <v>(2.26)</v>
      </c>
      <c r="FF33" s="22">
        <v>2</v>
      </c>
      <c r="FG33" s="22">
        <f t="shared" si="97"/>
        <v>1.5</v>
      </c>
      <c r="FH33" s="22">
        <v>1</v>
      </c>
      <c r="FI33" s="22">
        <f t="shared" si="98"/>
        <v>0</v>
      </c>
      <c r="FJ33" s="22">
        <v>4</v>
      </c>
      <c r="FK33" s="22">
        <f t="shared" si="99"/>
        <v>2</v>
      </c>
      <c r="FL33" s="22">
        <f t="shared" si="120"/>
        <v>3.5</v>
      </c>
      <c r="FM33" s="23">
        <f t="shared" si="101"/>
        <v>68.5</v>
      </c>
      <c r="FN33" s="239"/>
      <c r="FO33" s="240"/>
      <c r="FP33" s="241"/>
      <c r="FQ33" s="241"/>
      <c r="FR33" s="241"/>
      <c r="FS33" s="241"/>
      <c r="FT33" s="241"/>
      <c r="FU33" s="241"/>
      <c r="FV33" s="241"/>
      <c r="FW33" s="242"/>
      <c r="FX33" s="239"/>
      <c r="FY33" s="240"/>
      <c r="FZ33" s="241"/>
      <c r="GA33" s="241"/>
      <c r="GB33" s="241"/>
      <c r="GC33" s="241"/>
      <c r="GD33" s="241"/>
      <c r="GE33" s="241"/>
      <c r="GF33" s="241"/>
      <c r="GG33" s="242"/>
      <c r="GH33" s="239"/>
      <c r="GI33" s="240"/>
      <c r="GJ33" s="241"/>
      <c r="GK33" s="241"/>
      <c r="GL33" s="241"/>
      <c r="GM33" s="241"/>
      <c r="GN33" s="241"/>
      <c r="GO33" s="241"/>
      <c r="GP33" s="241"/>
      <c r="GQ33" s="242"/>
      <c r="GR33" s="239"/>
      <c r="GS33" s="240"/>
      <c r="GT33" s="241"/>
      <c r="GU33" s="241"/>
      <c r="GV33" s="241"/>
      <c r="GW33" s="241"/>
      <c r="GX33" s="241"/>
      <c r="GY33" s="241"/>
      <c r="GZ33" s="241"/>
      <c r="HA33" s="242"/>
      <c r="HB33" s="239"/>
      <c r="HC33" s="240"/>
      <c r="HD33" s="241"/>
      <c r="HE33" s="241"/>
      <c r="HF33" s="241"/>
      <c r="HG33" s="241"/>
      <c r="HH33" s="241"/>
      <c r="HI33" s="241"/>
      <c r="HJ33" s="241"/>
      <c r="HK33" s="242"/>
      <c r="HL33" s="239"/>
      <c r="HM33" s="240"/>
      <c r="HN33" s="241"/>
      <c r="HO33" s="241"/>
      <c r="HP33" s="241"/>
      <c r="HQ33" s="241"/>
      <c r="HR33" s="241"/>
      <c r="HS33" s="241"/>
      <c r="HT33" s="241"/>
      <c r="HU33" s="242"/>
      <c r="HV33" s="239"/>
      <c r="HW33" s="240"/>
      <c r="HX33" s="241"/>
      <c r="HY33" s="241"/>
      <c r="HZ33" s="241"/>
      <c r="IA33" s="241"/>
      <c r="IB33" s="241"/>
      <c r="IC33" s="241"/>
      <c r="ID33" s="241"/>
      <c r="IE33" s="242"/>
      <c r="IF33" s="239"/>
      <c r="IG33" s="240"/>
      <c r="IH33" s="241"/>
      <c r="II33" s="241"/>
      <c r="IJ33" s="241"/>
      <c r="IK33" s="241"/>
      <c r="IL33" s="241"/>
      <c r="IM33" s="241"/>
      <c r="IN33" s="241"/>
      <c r="IO33" s="242"/>
      <c r="IP33" s="24"/>
      <c r="IQ33" s="25">
        <v>70</v>
      </c>
      <c r="IR33" s="26">
        <v>0</v>
      </c>
      <c r="IS33" s="26">
        <v>0.73399999999999999</v>
      </c>
      <c r="IT33" s="26">
        <v>0.38400000000000001</v>
      </c>
      <c r="IU33" s="26">
        <v>0.75</v>
      </c>
      <c r="IV33" s="26">
        <v>0.5</v>
      </c>
      <c r="IW33" s="26">
        <v>0</v>
      </c>
      <c r="IX33" s="8"/>
    </row>
    <row r="34" spans="2:258" ht="15.75" thickBot="1" x14ac:dyDescent="0.3">
      <c r="B34" s="103">
        <f t="shared" si="17"/>
        <v>96</v>
      </c>
      <c r="C34" s="226">
        <v>17</v>
      </c>
      <c r="D34" s="206"/>
      <c r="E34" s="206"/>
      <c r="F34" s="206"/>
      <c r="G34" s="206"/>
      <c r="H34" s="206"/>
      <c r="I34" s="206"/>
      <c r="J34" s="206"/>
      <c r="K34" s="206"/>
      <c r="L34" s="206"/>
      <c r="M34" s="206"/>
      <c r="N34" s="206"/>
      <c r="O34" s="206"/>
      <c r="P34" s="206"/>
      <c r="Q34" s="206"/>
      <c r="R34" s="206"/>
      <c r="S34" s="206"/>
      <c r="T34" s="206"/>
      <c r="U34" s="206"/>
      <c r="V34" s="206"/>
      <c r="W34" s="206"/>
      <c r="X34" s="96"/>
      <c r="Y34" s="65"/>
      <c r="AT34" s="4"/>
      <c r="AU34" s="14">
        <f t="shared" si="121"/>
        <v>78</v>
      </c>
      <c r="AV34" s="12" t="str">
        <f t="shared" si="102"/>
        <v>(2000)</v>
      </c>
      <c r="AW34" s="19">
        <f t="shared" si="122"/>
        <v>19</v>
      </c>
      <c r="AX34" s="239"/>
      <c r="AY34" s="240"/>
      <c r="AZ34" s="241"/>
      <c r="BA34" s="241"/>
      <c r="BB34" s="241"/>
      <c r="BC34" s="241"/>
      <c r="BD34" s="241"/>
      <c r="BE34" s="241"/>
      <c r="BF34" s="241"/>
      <c r="BG34" s="242"/>
      <c r="BH34" s="239"/>
      <c r="BI34" s="240"/>
      <c r="BJ34" s="241"/>
      <c r="BK34" s="241"/>
      <c r="BL34" s="241"/>
      <c r="BM34" s="241"/>
      <c r="BN34" s="241"/>
      <c r="BO34" s="241"/>
      <c r="BP34" s="241"/>
      <c r="BQ34" s="242"/>
      <c r="BR34" s="239"/>
      <c r="BS34" s="240"/>
      <c r="BT34" s="241"/>
      <c r="BU34" s="241"/>
      <c r="BV34" s="241"/>
      <c r="BW34" s="241"/>
      <c r="BX34" s="241"/>
      <c r="BY34" s="241"/>
      <c r="BZ34" s="241"/>
      <c r="CA34" s="242"/>
      <c r="CB34" s="239"/>
      <c r="CC34" s="240"/>
      <c r="CD34" s="241"/>
      <c r="CE34" s="241"/>
      <c r="CF34" s="241"/>
      <c r="CG34" s="241"/>
      <c r="CH34" s="241"/>
      <c r="CI34" s="241"/>
      <c r="CJ34" s="241"/>
      <c r="CK34" s="242"/>
      <c r="CL34" s="239"/>
      <c r="CM34" s="240"/>
      <c r="CN34" s="241"/>
      <c r="CO34" s="241"/>
      <c r="CP34" s="241"/>
      <c r="CQ34" s="241"/>
      <c r="CR34" s="241"/>
      <c r="CS34" s="241"/>
      <c r="CT34" s="241"/>
      <c r="CU34" s="242"/>
      <c r="CV34" s="239"/>
      <c r="CW34" s="240"/>
      <c r="CX34" s="241"/>
      <c r="CY34" s="241"/>
      <c r="CZ34" s="241"/>
      <c r="DA34" s="241"/>
      <c r="DB34" s="241"/>
      <c r="DC34" s="241"/>
      <c r="DD34" s="241"/>
      <c r="DE34" s="242"/>
      <c r="DF34" s="239"/>
      <c r="DG34" s="240"/>
      <c r="DH34" s="241"/>
      <c r="DI34" s="241"/>
      <c r="DJ34" s="241"/>
      <c r="DK34" s="241"/>
      <c r="DL34" s="241"/>
      <c r="DM34" s="241"/>
      <c r="DN34" s="241"/>
      <c r="DO34" s="242"/>
      <c r="DP34" s="239"/>
      <c r="DQ34" s="240"/>
      <c r="DR34" s="241"/>
      <c r="DS34" s="241"/>
      <c r="DT34" s="241"/>
      <c r="DU34" s="241"/>
      <c r="DV34" s="241"/>
      <c r="DW34" s="241"/>
      <c r="DX34" s="241"/>
      <c r="DY34" s="242"/>
      <c r="DZ34" s="239"/>
      <c r="EA34" s="240"/>
      <c r="EB34" s="241"/>
      <c r="EC34" s="241"/>
      <c r="ED34" s="241"/>
      <c r="EE34" s="241"/>
      <c r="EF34" s="241"/>
      <c r="EG34" s="241"/>
      <c r="EH34" s="241"/>
      <c r="EI34" s="242"/>
      <c r="EJ34" s="239"/>
      <c r="EK34" s="240"/>
      <c r="EL34" s="241"/>
      <c r="EM34" s="241"/>
      <c r="EN34" s="241"/>
      <c r="EO34" s="241"/>
      <c r="EP34" s="241"/>
      <c r="EQ34" s="241"/>
      <c r="ER34" s="241"/>
      <c r="ES34" s="242"/>
      <c r="ET34" s="239"/>
      <c r="EU34" s="240"/>
      <c r="EV34" s="241"/>
      <c r="EW34" s="241"/>
      <c r="EX34" s="241"/>
      <c r="EY34" s="241"/>
      <c r="EZ34" s="241"/>
      <c r="FA34" s="241"/>
      <c r="FB34" s="241"/>
      <c r="FC34" s="242"/>
      <c r="FD34" s="239"/>
      <c r="FE34" s="240"/>
      <c r="FF34" s="241"/>
      <c r="FG34" s="241"/>
      <c r="FH34" s="241"/>
      <c r="FI34" s="241"/>
      <c r="FJ34" s="241"/>
      <c r="FK34" s="241"/>
      <c r="FL34" s="241"/>
      <c r="FM34" s="242"/>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43"/>
      <c r="IR34" s="244"/>
      <c r="IS34" s="244"/>
      <c r="IT34" s="244"/>
      <c r="IU34" s="244"/>
      <c r="IV34" s="244"/>
      <c r="IW34" s="244"/>
      <c r="IX34" s="8"/>
    </row>
    <row r="35" spans="2:258" ht="15.75" thickBot="1" x14ac:dyDescent="0.3">
      <c r="B35" s="103">
        <f t="shared" si="17"/>
        <v>102</v>
      </c>
      <c r="C35" s="221">
        <v>18</v>
      </c>
      <c r="D35" s="206"/>
      <c r="E35" s="206"/>
      <c r="F35" s="206"/>
      <c r="G35" s="206"/>
      <c r="H35" s="206"/>
      <c r="I35" s="206"/>
      <c r="J35" s="206"/>
      <c r="K35" s="206"/>
      <c r="L35" s="206"/>
      <c r="M35" s="206"/>
      <c r="N35" s="206"/>
      <c r="O35" s="206"/>
      <c r="P35" s="206"/>
      <c r="Q35" s="206"/>
      <c r="R35" s="206"/>
      <c r="S35" s="206"/>
      <c r="T35" s="206"/>
      <c r="U35" s="206"/>
      <c r="V35" s="206"/>
      <c r="W35" s="206"/>
      <c r="X35" s="96"/>
      <c r="Y35" s="65"/>
      <c r="AT35" s="4"/>
      <c r="AU35" s="14">
        <f t="shared" si="121"/>
        <v>84</v>
      </c>
      <c r="AV35" s="12" t="str">
        <f t="shared" si="102"/>
        <v>(2150)</v>
      </c>
      <c r="AW35" s="19">
        <f t="shared" si="122"/>
        <v>20</v>
      </c>
      <c r="AX35" s="239"/>
      <c r="AY35" s="240"/>
      <c r="AZ35" s="241"/>
      <c r="BA35" s="241"/>
      <c r="BB35" s="241"/>
      <c r="BC35" s="241"/>
      <c r="BD35" s="241"/>
      <c r="BE35" s="241"/>
      <c r="BF35" s="241"/>
      <c r="BG35" s="242"/>
      <c r="BH35" s="239"/>
      <c r="BI35" s="240"/>
      <c r="BJ35" s="241"/>
      <c r="BK35" s="241"/>
      <c r="BL35" s="241"/>
      <c r="BM35" s="241"/>
      <c r="BN35" s="241"/>
      <c r="BO35" s="241"/>
      <c r="BP35" s="241"/>
      <c r="BQ35" s="242"/>
      <c r="BR35" s="239"/>
      <c r="BS35" s="240"/>
      <c r="BT35" s="241"/>
      <c r="BU35" s="241"/>
      <c r="BV35" s="241"/>
      <c r="BW35" s="241"/>
      <c r="BX35" s="241"/>
      <c r="BY35" s="241"/>
      <c r="BZ35" s="241"/>
      <c r="CA35" s="242"/>
      <c r="CB35" s="239"/>
      <c r="CC35" s="240"/>
      <c r="CD35" s="241"/>
      <c r="CE35" s="241"/>
      <c r="CF35" s="241"/>
      <c r="CG35" s="241"/>
      <c r="CH35" s="241"/>
      <c r="CI35" s="241"/>
      <c r="CJ35" s="241"/>
      <c r="CK35" s="242"/>
      <c r="CL35" s="239"/>
      <c r="CM35" s="240"/>
      <c r="CN35" s="241"/>
      <c r="CO35" s="241"/>
      <c r="CP35" s="241"/>
      <c r="CQ35" s="241"/>
      <c r="CR35" s="241"/>
      <c r="CS35" s="241"/>
      <c r="CT35" s="241"/>
      <c r="CU35" s="242"/>
      <c r="CV35" s="239"/>
      <c r="CW35" s="240"/>
      <c r="CX35" s="241"/>
      <c r="CY35" s="241"/>
      <c r="CZ35" s="241"/>
      <c r="DA35" s="241"/>
      <c r="DB35" s="241"/>
      <c r="DC35" s="241"/>
      <c r="DD35" s="241"/>
      <c r="DE35" s="242"/>
      <c r="DF35" s="239"/>
      <c r="DG35" s="240"/>
      <c r="DH35" s="241"/>
      <c r="DI35" s="241"/>
      <c r="DJ35" s="241"/>
      <c r="DK35" s="241"/>
      <c r="DL35" s="241"/>
      <c r="DM35" s="241"/>
      <c r="DN35" s="241"/>
      <c r="DO35" s="242"/>
      <c r="DP35" s="239"/>
      <c r="DQ35" s="240"/>
      <c r="DR35" s="241"/>
      <c r="DS35" s="241"/>
      <c r="DT35" s="241"/>
      <c r="DU35" s="241"/>
      <c r="DV35" s="241"/>
      <c r="DW35" s="241"/>
      <c r="DX35" s="241"/>
      <c r="DY35" s="242"/>
      <c r="DZ35" s="239"/>
      <c r="EA35" s="240"/>
      <c r="EB35" s="241"/>
      <c r="EC35" s="241"/>
      <c r="ED35" s="241"/>
      <c r="EE35" s="241"/>
      <c r="EF35" s="241"/>
      <c r="EG35" s="241"/>
      <c r="EH35" s="241"/>
      <c r="EI35" s="242"/>
      <c r="EJ35" s="239"/>
      <c r="EK35" s="240"/>
      <c r="EL35" s="241"/>
      <c r="EM35" s="241"/>
      <c r="EN35" s="241"/>
      <c r="EO35" s="241"/>
      <c r="EP35" s="241"/>
      <c r="EQ35" s="241"/>
      <c r="ER35" s="241"/>
      <c r="ES35" s="242"/>
      <c r="ET35" s="239"/>
      <c r="EU35" s="240"/>
      <c r="EV35" s="241"/>
      <c r="EW35" s="241"/>
      <c r="EX35" s="241"/>
      <c r="EY35" s="241"/>
      <c r="EZ35" s="241"/>
      <c r="FA35" s="241"/>
      <c r="FB35" s="241"/>
      <c r="FC35" s="242"/>
      <c r="FD35" s="239"/>
      <c r="FE35" s="240"/>
      <c r="FF35" s="241"/>
      <c r="FG35" s="241"/>
      <c r="FH35" s="241"/>
      <c r="FI35" s="241"/>
      <c r="FJ35" s="241"/>
      <c r="FK35" s="241"/>
      <c r="FL35" s="241"/>
      <c r="FM35" s="242"/>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43"/>
      <c r="IR35" s="244"/>
      <c r="IS35" s="244"/>
      <c r="IT35" s="244"/>
      <c r="IU35" s="244"/>
      <c r="IV35" s="244"/>
      <c r="IW35" s="244"/>
      <c r="IX35" s="8"/>
    </row>
    <row r="36" spans="2:258" ht="15.75" thickBot="1" x14ac:dyDescent="0.3">
      <c r="B36" s="103">
        <f t="shared" si="17"/>
        <v>108</v>
      </c>
      <c r="C36" s="226">
        <v>19</v>
      </c>
      <c r="D36" s="206"/>
      <c r="E36" s="206"/>
      <c r="F36" s="206"/>
      <c r="G36" s="206"/>
      <c r="H36" s="206"/>
      <c r="I36" s="206"/>
      <c r="J36" s="206"/>
      <c r="K36" s="206"/>
      <c r="L36" s="206"/>
      <c r="M36" s="206"/>
      <c r="N36" s="206"/>
      <c r="O36" s="206"/>
      <c r="P36" s="206"/>
      <c r="Q36" s="206"/>
      <c r="R36" s="206"/>
      <c r="S36" s="206"/>
      <c r="T36" s="206"/>
      <c r="U36" s="206"/>
      <c r="V36" s="206"/>
      <c r="W36" s="206"/>
      <c r="X36" s="96"/>
      <c r="Y36" s="65"/>
      <c r="AT36" s="4"/>
      <c r="AU36" s="27">
        <f t="shared" si="121"/>
        <v>90</v>
      </c>
      <c r="AV36" s="28" t="str">
        <f t="shared" si="102"/>
        <v>(2300)</v>
      </c>
      <c r="AW36" s="19">
        <f t="shared" si="122"/>
        <v>21</v>
      </c>
      <c r="AX36" s="239"/>
      <c r="AY36" s="240"/>
      <c r="AZ36" s="241"/>
      <c r="BA36" s="241"/>
      <c r="BB36" s="241"/>
      <c r="BC36" s="241"/>
      <c r="BD36" s="241"/>
      <c r="BE36" s="241"/>
      <c r="BF36" s="241"/>
      <c r="BG36" s="242"/>
      <c r="BH36" s="239"/>
      <c r="BI36" s="240"/>
      <c r="BJ36" s="241"/>
      <c r="BK36" s="241"/>
      <c r="BL36" s="241"/>
      <c r="BM36" s="241"/>
      <c r="BN36" s="241"/>
      <c r="BO36" s="241"/>
      <c r="BP36" s="241"/>
      <c r="BQ36" s="242"/>
      <c r="BR36" s="239"/>
      <c r="BS36" s="240"/>
      <c r="BT36" s="241"/>
      <c r="BU36" s="241"/>
      <c r="BV36" s="241"/>
      <c r="BW36" s="241"/>
      <c r="BX36" s="241"/>
      <c r="BY36" s="241"/>
      <c r="BZ36" s="241"/>
      <c r="CA36" s="242"/>
      <c r="CB36" s="239"/>
      <c r="CC36" s="240"/>
      <c r="CD36" s="241"/>
      <c r="CE36" s="241"/>
      <c r="CF36" s="241"/>
      <c r="CG36" s="241"/>
      <c r="CH36" s="241"/>
      <c r="CI36" s="241"/>
      <c r="CJ36" s="241"/>
      <c r="CK36" s="242"/>
      <c r="CL36" s="239"/>
      <c r="CM36" s="240"/>
      <c r="CN36" s="241"/>
      <c r="CO36" s="241"/>
      <c r="CP36" s="241"/>
      <c r="CQ36" s="241"/>
      <c r="CR36" s="241"/>
      <c r="CS36" s="241"/>
      <c r="CT36" s="241"/>
      <c r="CU36" s="242"/>
      <c r="CV36" s="239"/>
      <c r="CW36" s="240"/>
      <c r="CX36" s="241"/>
      <c r="CY36" s="241"/>
      <c r="CZ36" s="241"/>
      <c r="DA36" s="241"/>
      <c r="DB36" s="241"/>
      <c r="DC36" s="241"/>
      <c r="DD36" s="241"/>
      <c r="DE36" s="242"/>
      <c r="DF36" s="239"/>
      <c r="DG36" s="240"/>
      <c r="DH36" s="241"/>
      <c r="DI36" s="241"/>
      <c r="DJ36" s="241"/>
      <c r="DK36" s="241"/>
      <c r="DL36" s="241"/>
      <c r="DM36" s="241"/>
      <c r="DN36" s="241"/>
      <c r="DO36" s="242"/>
      <c r="DP36" s="239"/>
      <c r="DQ36" s="240"/>
      <c r="DR36" s="241"/>
      <c r="DS36" s="241"/>
      <c r="DT36" s="241"/>
      <c r="DU36" s="241"/>
      <c r="DV36" s="241"/>
      <c r="DW36" s="241"/>
      <c r="DX36" s="241"/>
      <c r="DY36" s="242"/>
      <c r="DZ36" s="239"/>
      <c r="EA36" s="240"/>
      <c r="EB36" s="241"/>
      <c r="EC36" s="241"/>
      <c r="ED36" s="241"/>
      <c r="EE36" s="241"/>
      <c r="EF36" s="241"/>
      <c r="EG36" s="241"/>
      <c r="EH36" s="241"/>
      <c r="EI36" s="242"/>
      <c r="EJ36" s="239"/>
      <c r="EK36" s="240"/>
      <c r="EL36" s="241"/>
      <c r="EM36" s="241"/>
      <c r="EN36" s="241"/>
      <c r="EO36" s="241"/>
      <c r="EP36" s="241"/>
      <c r="EQ36" s="241"/>
      <c r="ER36" s="241"/>
      <c r="ES36" s="242"/>
      <c r="ET36" s="239"/>
      <c r="EU36" s="240"/>
      <c r="EV36" s="241"/>
      <c r="EW36" s="241"/>
      <c r="EX36" s="241"/>
      <c r="EY36" s="241"/>
      <c r="EZ36" s="241"/>
      <c r="FA36" s="241"/>
      <c r="FB36" s="241"/>
      <c r="FC36" s="242"/>
      <c r="FD36" s="239"/>
      <c r="FE36" s="240"/>
      <c r="FF36" s="241"/>
      <c r="FG36" s="241"/>
      <c r="FH36" s="241"/>
      <c r="FI36" s="241"/>
      <c r="FJ36" s="241"/>
      <c r="FK36" s="241"/>
      <c r="FL36" s="241"/>
      <c r="FM36" s="242"/>
      <c r="FN36" s="31"/>
      <c r="FO36" s="31"/>
      <c r="FP36" s="32"/>
      <c r="FQ36" s="32"/>
      <c r="FR36" s="34"/>
      <c r="FS36" s="32"/>
      <c r="FT36" s="34"/>
      <c r="FU36" s="32"/>
      <c r="FV36" s="31"/>
      <c r="FW36" s="31"/>
      <c r="FX36" s="31"/>
      <c r="FY36" s="31"/>
      <c r="FZ36" s="31"/>
      <c r="GA36" s="31"/>
      <c r="GB36" s="31"/>
      <c r="GC36" s="31"/>
      <c r="GD36" s="31"/>
      <c r="GE36" s="31"/>
      <c r="GF36" s="31"/>
      <c r="GG36" s="31"/>
      <c r="GH36" s="31"/>
      <c r="GI36" s="31"/>
      <c r="GJ36" s="32"/>
      <c r="GK36" s="32"/>
      <c r="GL36" s="34"/>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4"/>
      <c r="HQ36" s="32"/>
      <c r="HR36" s="32"/>
      <c r="HS36" s="32"/>
      <c r="HT36" s="32"/>
      <c r="HU36" s="32"/>
      <c r="HV36" s="32"/>
      <c r="HW36" s="32"/>
      <c r="HX36" s="32"/>
      <c r="HY36" s="32"/>
      <c r="HZ36" s="32"/>
      <c r="IA36" s="32"/>
      <c r="IB36" s="32"/>
      <c r="IC36" s="32"/>
      <c r="ID36" s="32"/>
      <c r="IE36" s="32"/>
      <c r="IF36" s="31"/>
      <c r="IG36" s="31"/>
      <c r="IH36" s="32"/>
      <c r="II36" s="32"/>
      <c r="IJ36" s="34"/>
      <c r="IK36" s="32"/>
      <c r="IL36" s="32"/>
      <c r="IM36" s="32"/>
      <c r="IN36" s="33"/>
      <c r="IO36" s="33"/>
      <c r="IP36" s="33"/>
      <c r="IQ36" s="243"/>
      <c r="IR36" s="244"/>
      <c r="IS36" s="244"/>
      <c r="IT36" s="244"/>
      <c r="IU36" s="244"/>
      <c r="IV36" s="244"/>
      <c r="IW36" s="244"/>
      <c r="IX36" s="8"/>
    </row>
    <row r="37" spans="2:258" ht="15.75" thickBot="1" x14ac:dyDescent="0.3">
      <c r="B37" s="103">
        <f>B36+6</f>
        <v>114</v>
      </c>
      <c r="C37" s="221">
        <v>20</v>
      </c>
      <c r="D37" s="206"/>
      <c r="E37" s="206"/>
      <c r="F37" s="206"/>
      <c r="G37" s="206"/>
      <c r="H37" s="206"/>
      <c r="I37" s="206"/>
      <c r="J37" s="206"/>
      <c r="K37" s="206"/>
      <c r="L37" s="206"/>
      <c r="M37" s="206"/>
      <c r="N37" s="206"/>
      <c r="O37" s="206"/>
      <c r="P37" s="206"/>
      <c r="Q37" s="206"/>
      <c r="R37" s="206"/>
      <c r="S37" s="206"/>
      <c r="T37" s="206"/>
      <c r="U37" s="206"/>
      <c r="V37" s="206"/>
      <c r="W37" s="206"/>
      <c r="X37" s="96"/>
      <c r="Y37" s="65"/>
      <c r="AT37" s="4"/>
      <c r="AU37" s="27">
        <f t="shared" si="121"/>
        <v>96</v>
      </c>
      <c r="AV37" s="28" t="str">
        <f t="shared" si="102"/>
        <v>(2450)</v>
      </c>
      <c r="AW37" s="19">
        <f t="shared" si="122"/>
        <v>22</v>
      </c>
      <c r="AX37" s="239"/>
      <c r="AY37" s="240"/>
      <c r="AZ37" s="241"/>
      <c r="BA37" s="241"/>
      <c r="BB37" s="241"/>
      <c r="BC37" s="241"/>
      <c r="BD37" s="241"/>
      <c r="BE37" s="241"/>
      <c r="BF37" s="241"/>
      <c r="BG37" s="242"/>
      <c r="BH37" s="239"/>
      <c r="BI37" s="240"/>
      <c r="BJ37" s="241"/>
      <c r="BK37" s="241"/>
      <c r="BL37" s="241"/>
      <c r="BM37" s="241"/>
      <c r="BN37" s="241"/>
      <c r="BO37" s="241"/>
      <c r="BP37" s="241"/>
      <c r="BQ37" s="242"/>
      <c r="BR37" s="239"/>
      <c r="BS37" s="240"/>
      <c r="BT37" s="241"/>
      <c r="BU37" s="241"/>
      <c r="BV37" s="241"/>
      <c r="BW37" s="241"/>
      <c r="BX37" s="241"/>
      <c r="BY37" s="241"/>
      <c r="BZ37" s="241"/>
      <c r="CA37" s="242"/>
      <c r="CB37" s="239"/>
      <c r="CC37" s="240"/>
      <c r="CD37" s="241"/>
      <c r="CE37" s="241"/>
      <c r="CF37" s="241"/>
      <c r="CG37" s="241"/>
      <c r="CH37" s="241"/>
      <c r="CI37" s="241"/>
      <c r="CJ37" s="241"/>
      <c r="CK37" s="242"/>
      <c r="CL37" s="239"/>
      <c r="CM37" s="240"/>
      <c r="CN37" s="241"/>
      <c r="CO37" s="241"/>
      <c r="CP37" s="241"/>
      <c r="CQ37" s="241"/>
      <c r="CR37" s="241"/>
      <c r="CS37" s="241"/>
      <c r="CT37" s="241"/>
      <c r="CU37" s="242"/>
      <c r="CV37" s="239"/>
      <c r="CW37" s="240"/>
      <c r="CX37" s="241"/>
      <c r="CY37" s="241"/>
      <c r="CZ37" s="241"/>
      <c r="DA37" s="241"/>
      <c r="DB37" s="241"/>
      <c r="DC37" s="241"/>
      <c r="DD37" s="241"/>
      <c r="DE37" s="242"/>
      <c r="DF37" s="239"/>
      <c r="DG37" s="240"/>
      <c r="DH37" s="241"/>
      <c r="DI37" s="241"/>
      <c r="DJ37" s="241"/>
      <c r="DK37" s="241"/>
      <c r="DL37" s="241"/>
      <c r="DM37" s="241"/>
      <c r="DN37" s="241"/>
      <c r="DO37" s="242"/>
      <c r="DP37" s="239"/>
      <c r="DQ37" s="240"/>
      <c r="DR37" s="241"/>
      <c r="DS37" s="241"/>
      <c r="DT37" s="241"/>
      <c r="DU37" s="241"/>
      <c r="DV37" s="241"/>
      <c r="DW37" s="241"/>
      <c r="DX37" s="241"/>
      <c r="DY37" s="242"/>
      <c r="DZ37" s="239"/>
      <c r="EA37" s="240"/>
      <c r="EB37" s="241"/>
      <c r="EC37" s="241"/>
      <c r="ED37" s="241"/>
      <c r="EE37" s="241"/>
      <c r="EF37" s="241"/>
      <c r="EG37" s="241"/>
      <c r="EH37" s="241"/>
      <c r="EI37" s="242"/>
      <c r="EJ37" s="239"/>
      <c r="EK37" s="240"/>
      <c r="EL37" s="241"/>
      <c r="EM37" s="241"/>
      <c r="EN37" s="241"/>
      <c r="EO37" s="241"/>
      <c r="EP37" s="241"/>
      <c r="EQ37" s="241"/>
      <c r="ER37" s="241"/>
      <c r="ES37" s="242"/>
      <c r="ET37" s="239"/>
      <c r="EU37" s="240"/>
      <c r="EV37" s="241"/>
      <c r="EW37" s="241"/>
      <c r="EX37" s="241"/>
      <c r="EY37" s="241"/>
      <c r="EZ37" s="241"/>
      <c r="FA37" s="241"/>
      <c r="FB37" s="241"/>
      <c r="FC37" s="242"/>
      <c r="FD37" s="239"/>
      <c r="FE37" s="240"/>
      <c r="FF37" s="241"/>
      <c r="FG37" s="241"/>
      <c r="FH37" s="241"/>
      <c r="FI37" s="241"/>
      <c r="FJ37" s="241"/>
      <c r="FK37" s="241"/>
      <c r="FL37" s="241"/>
      <c r="FM37" s="242"/>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43"/>
      <c r="IR37" s="244"/>
      <c r="IS37" s="244"/>
      <c r="IT37" s="244"/>
      <c r="IU37" s="244"/>
      <c r="IV37" s="244"/>
      <c r="IW37" s="244"/>
      <c r="IX37" s="8"/>
    </row>
    <row r="38" spans="2:258" ht="15.75" thickBot="1" x14ac:dyDescent="0.3">
      <c r="B38" s="103">
        <f t="shared" si="17"/>
        <v>120</v>
      </c>
      <c r="C38" s="227">
        <v>21</v>
      </c>
      <c r="D38" s="206"/>
      <c r="E38" s="206"/>
      <c r="F38" s="206"/>
      <c r="G38" s="206"/>
      <c r="H38" s="206"/>
      <c r="I38" s="206"/>
      <c r="J38" s="206"/>
      <c r="K38" s="206"/>
      <c r="L38" s="206"/>
      <c r="M38" s="206"/>
      <c r="N38" s="206"/>
      <c r="O38" s="206"/>
      <c r="P38" s="206"/>
      <c r="Q38" s="206"/>
      <c r="R38" s="206"/>
      <c r="S38" s="206"/>
      <c r="T38" s="206"/>
      <c r="U38" s="206"/>
      <c r="V38" s="206"/>
      <c r="W38" s="206"/>
      <c r="X38" s="96"/>
      <c r="Y38" s="65"/>
      <c r="AT38" s="4"/>
      <c r="AU38" s="27">
        <f t="shared" si="121"/>
        <v>102</v>
      </c>
      <c r="AV38" s="28" t="str">
        <f t="shared" si="102"/>
        <v>(2600)</v>
      </c>
      <c r="AW38" s="19">
        <f t="shared" si="122"/>
        <v>23</v>
      </c>
      <c r="AX38" s="239"/>
      <c r="AY38" s="240"/>
      <c r="AZ38" s="241"/>
      <c r="BA38" s="241"/>
      <c r="BB38" s="241"/>
      <c r="BC38" s="241"/>
      <c r="BD38" s="241"/>
      <c r="BE38" s="241"/>
      <c r="BF38" s="241"/>
      <c r="BG38" s="242"/>
      <c r="BH38" s="239"/>
      <c r="BI38" s="240"/>
      <c r="BJ38" s="241"/>
      <c r="BK38" s="241"/>
      <c r="BL38" s="241"/>
      <c r="BM38" s="241"/>
      <c r="BN38" s="241"/>
      <c r="BO38" s="241"/>
      <c r="BP38" s="241"/>
      <c r="BQ38" s="242"/>
      <c r="BR38" s="239"/>
      <c r="BS38" s="240"/>
      <c r="BT38" s="241"/>
      <c r="BU38" s="241"/>
      <c r="BV38" s="241"/>
      <c r="BW38" s="241"/>
      <c r="BX38" s="241"/>
      <c r="BY38" s="241"/>
      <c r="BZ38" s="241"/>
      <c r="CA38" s="242"/>
      <c r="CB38" s="239"/>
      <c r="CC38" s="240"/>
      <c r="CD38" s="241"/>
      <c r="CE38" s="241"/>
      <c r="CF38" s="241"/>
      <c r="CG38" s="241"/>
      <c r="CH38" s="241"/>
      <c r="CI38" s="241"/>
      <c r="CJ38" s="241"/>
      <c r="CK38" s="242"/>
      <c r="CL38" s="239"/>
      <c r="CM38" s="240"/>
      <c r="CN38" s="241"/>
      <c r="CO38" s="241"/>
      <c r="CP38" s="241"/>
      <c r="CQ38" s="241"/>
      <c r="CR38" s="241"/>
      <c r="CS38" s="241"/>
      <c r="CT38" s="241"/>
      <c r="CU38" s="242"/>
      <c r="CV38" s="239"/>
      <c r="CW38" s="240"/>
      <c r="CX38" s="241"/>
      <c r="CY38" s="241"/>
      <c r="CZ38" s="241"/>
      <c r="DA38" s="241"/>
      <c r="DB38" s="241"/>
      <c r="DC38" s="241"/>
      <c r="DD38" s="241"/>
      <c r="DE38" s="242"/>
      <c r="DF38" s="239"/>
      <c r="DG38" s="240"/>
      <c r="DH38" s="241"/>
      <c r="DI38" s="241"/>
      <c r="DJ38" s="241"/>
      <c r="DK38" s="241"/>
      <c r="DL38" s="241"/>
      <c r="DM38" s="241"/>
      <c r="DN38" s="241"/>
      <c r="DO38" s="242"/>
      <c r="DP38" s="239"/>
      <c r="DQ38" s="240"/>
      <c r="DR38" s="241"/>
      <c r="DS38" s="241"/>
      <c r="DT38" s="241"/>
      <c r="DU38" s="241"/>
      <c r="DV38" s="241"/>
      <c r="DW38" s="241"/>
      <c r="DX38" s="241"/>
      <c r="DY38" s="242"/>
      <c r="DZ38" s="239"/>
      <c r="EA38" s="240"/>
      <c r="EB38" s="241"/>
      <c r="EC38" s="241"/>
      <c r="ED38" s="241"/>
      <c r="EE38" s="241"/>
      <c r="EF38" s="241"/>
      <c r="EG38" s="241"/>
      <c r="EH38" s="241"/>
      <c r="EI38" s="242"/>
      <c r="EJ38" s="239"/>
      <c r="EK38" s="240"/>
      <c r="EL38" s="241"/>
      <c r="EM38" s="241"/>
      <c r="EN38" s="241"/>
      <c r="EO38" s="241"/>
      <c r="EP38" s="241"/>
      <c r="EQ38" s="241"/>
      <c r="ER38" s="241"/>
      <c r="ES38" s="242"/>
      <c r="ET38" s="239"/>
      <c r="EU38" s="240"/>
      <c r="EV38" s="241"/>
      <c r="EW38" s="241"/>
      <c r="EX38" s="241"/>
      <c r="EY38" s="241"/>
      <c r="EZ38" s="241"/>
      <c r="FA38" s="241"/>
      <c r="FB38" s="241"/>
      <c r="FC38" s="242"/>
      <c r="FD38" s="239"/>
      <c r="FE38" s="240"/>
      <c r="FF38" s="241"/>
      <c r="FG38" s="241"/>
      <c r="FH38" s="241"/>
      <c r="FI38" s="241"/>
      <c r="FJ38" s="241"/>
      <c r="FK38" s="241"/>
      <c r="FL38" s="241"/>
      <c r="FM38" s="242"/>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43"/>
      <c r="IR38" s="244"/>
      <c r="IS38" s="244"/>
      <c r="IT38" s="244"/>
      <c r="IU38" s="244"/>
      <c r="IV38" s="244"/>
      <c r="IW38" s="244"/>
      <c r="IX38" s="8"/>
    </row>
    <row r="39" spans="2:258" ht="15.75" thickBot="1" x14ac:dyDescent="0.3">
      <c r="B39" s="66"/>
      <c r="C39" s="96"/>
      <c r="D39" s="64"/>
      <c r="E39" s="64"/>
      <c r="F39" s="64"/>
      <c r="G39" s="64"/>
      <c r="H39" s="64"/>
      <c r="I39" s="64"/>
      <c r="J39" s="64"/>
      <c r="K39" s="64"/>
      <c r="L39" s="64"/>
      <c r="M39" s="64"/>
      <c r="N39" s="64"/>
      <c r="O39" s="64"/>
      <c r="P39" s="64"/>
      <c r="Q39" s="64"/>
      <c r="R39" s="64"/>
      <c r="S39" s="64"/>
      <c r="T39" s="64"/>
      <c r="U39" s="64"/>
      <c r="V39" s="64"/>
      <c r="W39" s="96"/>
      <c r="X39" s="96"/>
      <c r="Y39" s="65"/>
      <c r="AT39" s="4"/>
      <c r="AU39" s="27">
        <f t="shared" si="121"/>
        <v>108</v>
      </c>
      <c r="AV39" s="28" t="str">
        <f t="shared" si="102"/>
        <v>(2750)</v>
      </c>
      <c r="AW39" s="19">
        <f t="shared" si="122"/>
        <v>24</v>
      </c>
      <c r="AX39" s="239"/>
      <c r="AY39" s="240"/>
      <c r="AZ39" s="241"/>
      <c r="BA39" s="241"/>
      <c r="BB39" s="241"/>
      <c r="BC39" s="241"/>
      <c r="BD39" s="241"/>
      <c r="BE39" s="241"/>
      <c r="BF39" s="241"/>
      <c r="BG39" s="242"/>
      <c r="BH39" s="239"/>
      <c r="BI39" s="240"/>
      <c r="BJ39" s="241"/>
      <c r="BK39" s="241"/>
      <c r="BL39" s="241"/>
      <c r="BM39" s="241"/>
      <c r="BN39" s="241"/>
      <c r="BO39" s="241"/>
      <c r="BP39" s="241"/>
      <c r="BQ39" s="242"/>
      <c r="BR39" s="239"/>
      <c r="BS39" s="240"/>
      <c r="BT39" s="241"/>
      <c r="BU39" s="241"/>
      <c r="BV39" s="241"/>
      <c r="BW39" s="241"/>
      <c r="BX39" s="241"/>
      <c r="BY39" s="241"/>
      <c r="BZ39" s="241"/>
      <c r="CA39" s="242"/>
      <c r="CB39" s="239"/>
      <c r="CC39" s="240"/>
      <c r="CD39" s="241"/>
      <c r="CE39" s="241"/>
      <c r="CF39" s="241"/>
      <c r="CG39" s="241"/>
      <c r="CH39" s="241"/>
      <c r="CI39" s="241"/>
      <c r="CJ39" s="241"/>
      <c r="CK39" s="242"/>
      <c r="CL39" s="239"/>
      <c r="CM39" s="240"/>
      <c r="CN39" s="241"/>
      <c r="CO39" s="241"/>
      <c r="CP39" s="241"/>
      <c r="CQ39" s="241"/>
      <c r="CR39" s="241"/>
      <c r="CS39" s="241"/>
      <c r="CT39" s="241"/>
      <c r="CU39" s="242"/>
      <c r="CV39" s="239"/>
      <c r="CW39" s="240"/>
      <c r="CX39" s="241"/>
      <c r="CY39" s="241"/>
      <c r="CZ39" s="241"/>
      <c r="DA39" s="241"/>
      <c r="DB39" s="241"/>
      <c r="DC39" s="241"/>
      <c r="DD39" s="241"/>
      <c r="DE39" s="242"/>
      <c r="DF39" s="239"/>
      <c r="DG39" s="240"/>
      <c r="DH39" s="241"/>
      <c r="DI39" s="241"/>
      <c r="DJ39" s="241"/>
      <c r="DK39" s="241"/>
      <c r="DL39" s="241"/>
      <c r="DM39" s="241"/>
      <c r="DN39" s="241"/>
      <c r="DO39" s="242"/>
      <c r="DP39" s="239"/>
      <c r="DQ39" s="240"/>
      <c r="DR39" s="241"/>
      <c r="DS39" s="241"/>
      <c r="DT39" s="241"/>
      <c r="DU39" s="241"/>
      <c r="DV39" s="241"/>
      <c r="DW39" s="241"/>
      <c r="DX39" s="241"/>
      <c r="DY39" s="242"/>
      <c r="DZ39" s="239"/>
      <c r="EA39" s="240"/>
      <c r="EB39" s="241"/>
      <c r="EC39" s="241"/>
      <c r="ED39" s="241"/>
      <c r="EE39" s="241"/>
      <c r="EF39" s="241"/>
      <c r="EG39" s="241"/>
      <c r="EH39" s="241"/>
      <c r="EI39" s="242"/>
      <c r="EJ39" s="239"/>
      <c r="EK39" s="240"/>
      <c r="EL39" s="241"/>
      <c r="EM39" s="241"/>
      <c r="EN39" s="241"/>
      <c r="EO39" s="241"/>
      <c r="EP39" s="241"/>
      <c r="EQ39" s="241"/>
      <c r="ER39" s="241"/>
      <c r="ES39" s="242"/>
      <c r="ET39" s="239"/>
      <c r="EU39" s="240"/>
      <c r="EV39" s="241"/>
      <c r="EW39" s="241"/>
      <c r="EX39" s="241"/>
      <c r="EY39" s="241"/>
      <c r="EZ39" s="241"/>
      <c r="FA39" s="241"/>
      <c r="FB39" s="241"/>
      <c r="FC39" s="242"/>
      <c r="FD39" s="239"/>
      <c r="FE39" s="240"/>
      <c r="FF39" s="241"/>
      <c r="FG39" s="241"/>
      <c r="FH39" s="241"/>
      <c r="FI39" s="241"/>
      <c r="FJ39" s="241"/>
      <c r="FK39" s="241"/>
      <c r="FL39" s="241"/>
      <c r="FM39" s="242"/>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43"/>
      <c r="IR39" s="244"/>
      <c r="IS39" s="244"/>
      <c r="IT39" s="244"/>
      <c r="IU39" s="244"/>
      <c r="IV39" s="244"/>
      <c r="IW39" s="244"/>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4"/>
      <c r="AU40" s="27">
        <f t="shared" si="121"/>
        <v>114</v>
      </c>
      <c r="AV40" s="28" t="str">
        <f t="shared" si="102"/>
        <v>(2900)</v>
      </c>
      <c r="AW40" s="19">
        <f t="shared" si="122"/>
        <v>25</v>
      </c>
      <c r="AX40" s="239"/>
      <c r="AY40" s="240"/>
      <c r="AZ40" s="241"/>
      <c r="BA40" s="241"/>
      <c r="BB40" s="241"/>
      <c r="BC40" s="241"/>
      <c r="BD40" s="241"/>
      <c r="BE40" s="241"/>
      <c r="BF40" s="241"/>
      <c r="BG40" s="242"/>
      <c r="BH40" s="239"/>
      <c r="BI40" s="240"/>
      <c r="BJ40" s="241"/>
      <c r="BK40" s="241"/>
      <c r="BL40" s="241"/>
      <c r="BM40" s="241"/>
      <c r="BN40" s="241"/>
      <c r="BO40" s="241"/>
      <c r="BP40" s="241"/>
      <c r="BQ40" s="242"/>
      <c r="BR40" s="239"/>
      <c r="BS40" s="240"/>
      <c r="BT40" s="241"/>
      <c r="BU40" s="241"/>
      <c r="BV40" s="241"/>
      <c r="BW40" s="241"/>
      <c r="BX40" s="241"/>
      <c r="BY40" s="241"/>
      <c r="BZ40" s="241"/>
      <c r="CA40" s="242"/>
      <c r="CB40" s="239"/>
      <c r="CC40" s="240"/>
      <c r="CD40" s="241"/>
      <c r="CE40" s="241"/>
      <c r="CF40" s="241"/>
      <c r="CG40" s="241"/>
      <c r="CH40" s="241"/>
      <c r="CI40" s="241"/>
      <c r="CJ40" s="241"/>
      <c r="CK40" s="242"/>
      <c r="CL40" s="239"/>
      <c r="CM40" s="240"/>
      <c r="CN40" s="241"/>
      <c r="CO40" s="241"/>
      <c r="CP40" s="241"/>
      <c r="CQ40" s="241"/>
      <c r="CR40" s="241"/>
      <c r="CS40" s="241"/>
      <c r="CT40" s="241"/>
      <c r="CU40" s="242"/>
      <c r="CV40" s="239"/>
      <c r="CW40" s="240"/>
      <c r="CX40" s="241"/>
      <c r="CY40" s="241"/>
      <c r="CZ40" s="241"/>
      <c r="DA40" s="241"/>
      <c r="DB40" s="241"/>
      <c r="DC40" s="241"/>
      <c r="DD40" s="241"/>
      <c r="DE40" s="242"/>
      <c r="DF40" s="239"/>
      <c r="DG40" s="240"/>
      <c r="DH40" s="241"/>
      <c r="DI40" s="241"/>
      <c r="DJ40" s="241"/>
      <c r="DK40" s="241"/>
      <c r="DL40" s="241"/>
      <c r="DM40" s="241"/>
      <c r="DN40" s="241"/>
      <c r="DO40" s="242"/>
      <c r="DP40" s="239"/>
      <c r="DQ40" s="240"/>
      <c r="DR40" s="241"/>
      <c r="DS40" s="241"/>
      <c r="DT40" s="241"/>
      <c r="DU40" s="241"/>
      <c r="DV40" s="241"/>
      <c r="DW40" s="241"/>
      <c r="DX40" s="241"/>
      <c r="DY40" s="242"/>
      <c r="DZ40" s="239"/>
      <c r="EA40" s="240"/>
      <c r="EB40" s="241"/>
      <c r="EC40" s="241"/>
      <c r="ED40" s="241"/>
      <c r="EE40" s="241"/>
      <c r="EF40" s="241"/>
      <c r="EG40" s="241"/>
      <c r="EH40" s="241"/>
      <c r="EI40" s="242"/>
      <c r="EJ40" s="239"/>
      <c r="EK40" s="240"/>
      <c r="EL40" s="241"/>
      <c r="EM40" s="241"/>
      <c r="EN40" s="241"/>
      <c r="EO40" s="241"/>
      <c r="EP40" s="241"/>
      <c r="EQ40" s="241"/>
      <c r="ER40" s="241"/>
      <c r="ES40" s="242"/>
      <c r="ET40" s="239"/>
      <c r="EU40" s="240"/>
      <c r="EV40" s="241"/>
      <c r="EW40" s="241"/>
      <c r="EX40" s="241"/>
      <c r="EY40" s="241"/>
      <c r="EZ40" s="241"/>
      <c r="FA40" s="241"/>
      <c r="FB40" s="241"/>
      <c r="FC40" s="242"/>
      <c r="FD40" s="239"/>
      <c r="FE40" s="240"/>
      <c r="FF40" s="241"/>
      <c r="FG40" s="241"/>
      <c r="FH40" s="241"/>
      <c r="FI40" s="241"/>
      <c r="FJ40" s="241"/>
      <c r="FK40" s="241"/>
      <c r="FL40" s="241"/>
      <c r="FM40" s="242"/>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43"/>
      <c r="IR40" s="244"/>
      <c r="IS40" s="244"/>
      <c r="IT40" s="244"/>
      <c r="IU40" s="244"/>
      <c r="IV40" s="244"/>
      <c r="IW40" s="244"/>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121"/>
        <v>120</v>
      </c>
      <c r="AV41" s="28" t="str">
        <f t="shared" si="102"/>
        <v>(3050)</v>
      </c>
      <c r="AW41" s="19">
        <f t="shared" si="122"/>
        <v>26</v>
      </c>
      <c r="AX41" s="239"/>
      <c r="AY41" s="240"/>
      <c r="AZ41" s="241"/>
      <c r="BA41" s="241"/>
      <c r="BB41" s="241"/>
      <c r="BC41" s="241"/>
      <c r="BD41" s="241"/>
      <c r="BE41" s="241"/>
      <c r="BF41" s="241"/>
      <c r="BG41" s="242"/>
      <c r="BH41" s="239"/>
      <c r="BI41" s="240"/>
      <c r="BJ41" s="241"/>
      <c r="BK41" s="241"/>
      <c r="BL41" s="241"/>
      <c r="BM41" s="241"/>
      <c r="BN41" s="241"/>
      <c r="BO41" s="241"/>
      <c r="BP41" s="241"/>
      <c r="BQ41" s="242"/>
      <c r="BR41" s="239"/>
      <c r="BS41" s="240"/>
      <c r="BT41" s="241"/>
      <c r="BU41" s="241"/>
      <c r="BV41" s="241"/>
      <c r="BW41" s="241"/>
      <c r="BX41" s="241"/>
      <c r="BY41" s="241"/>
      <c r="BZ41" s="241"/>
      <c r="CA41" s="242"/>
      <c r="CB41" s="239"/>
      <c r="CC41" s="240"/>
      <c r="CD41" s="241"/>
      <c r="CE41" s="241"/>
      <c r="CF41" s="241"/>
      <c r="CG41" s="241"/>
      <c r="CH41" s="241"/>
      <c r="CI41" s="241"/>
      <c r="CJ41" s="241"/>
      <c r="CK41" s="242"/>
      <c r="CL41" s="239"/>
      <c r="CM41" s="240"/>
      <c r="CN41" s="241"/>
      <c r="CO41" s="241"/>
      <c r="CP41" s="241"/>
      <c r="CQ41" s="241"/>
      <c r="CR41" s="241"/>
      <c r="CS41" s="241"/>
      <c r="CT41" s="241"/>
      <c r="CU41" s="242"/>
      <c r="CV41" s="239"/>
      <c r="CW41" s="240"/>
      <c r="CX41" s="241"/>
      <c r="CY41" s="241"/>
      <c r="CZ41" s="241"/>
      <c r="DA41" s="241"/>
      <c r="DB41" s="241"/>
      <c r="DC41" s="241"/>
      <c r="DD41" s="241"/>
      <c r="DE41" s="242"/>
      <c r="DF41" s="239"/>
      <c r="DG41" s="240"/>
      <c r="DH41" s="241"/>
      <c r="DI41" s="241"/>
      <c r="DJ41" s="241"/>
      <c r="DK41" s="241"/>
      <c r="DL41" s="241"/>
      <c r="DM41" s="241"/>
      <c r="DN41" s="241"/>
      <c r="DO41" s="242"/>
      <c r="DP41" s="239"/>
      <c r="DQ41" s="240"/>
      <c r="DR41" s="241"/>
      <c r="DS41" s="241"/>
      <c r="DT41" s="241"/>
      <c r="DU41" s="241"/>
      <c r="DV41" s="241"/>
      <c r="DW41" s="241"/>
      <c r="DX41" s="241"/>
      <c r="DY41" s="242"/>
      <c r="DZ41" s="239"/>
      <c r="EA41" s="240"/>
      <c r="EB41" s="241"/>
      <c r="EC41" s="241"/>
      <c r="ED41" s="241"/>
      <c r="EE41" s="241"/>
      <c r="EF41" s="241"/>
      <c r="EG41" s="241"/>
      <c r="EH41" s="241"/>
      <c r="EI41" s="242"/>
      <c r="EJ41" s="239"/>
      <c r="EK41" s="240"/>
      <c r="EL41" s="241"/>
      <c r="EM41" s="241"/>
      <c r="EN41" s="241"/>
      <c r="EO41" s="241"/>
      <c r="EP41" s="241"/>
      <c r="EQ41" s="241"/>
      <c r="ER41" s="241"/>
      <c r="ES41" s="242"/>
      <c r="ET41" s="239"/>
      <c r="EU41" s="240"/>
      <c r="EV41" s="241"/>
      <c r="EW41" s="241"/>
      <c r="EX41" s="241"/>
      <c r="EY41" s="241"/>
      <c r="EZ41" s="241"/>
      <c r="FA41" s="241"/>
      <c r="FB41" s="241"/>
      <c r="FC41" s="242"/>
      <c r="FD41" s="239"/>
      <c r="FE41" s="240"/>
      <c r="FF41" s="241"/>
      <c r="FG41" s="241"/>
      <c r="FH41" s="241"/>
      <c r="FI41" s="241"/>
      <c r="FJ41" s="241"/>
      <c r="FK41" s="241"/>
      <c r="FL41" s="241"/>
      <c r="FM41" s="242"/>
      <c r="FN41" s="31"/>
      <c r="FO41" s="31"/>
      <c r="FP41" s="32"/>
      <c r="FQ41" s="32"/>
      <c r="FR41" s="34"/>
      <c r="FS41" s="32"/>
      <c r="FT41" s="34"/>
      <c r="FU41" s="32"/>
      <c r="FV41" s="31"/>
      <c r="FW41" s="31"/>
      <c r="FX41" s="31"/>
      <c r="FY41" s="31"/>
      <c r="FZ41" s="31"/>
      <c r="GA41" s="31"/>
      <c r="GB41" s="31"/>
      <c r="GC41" s="31"/>
      <c r="GD41" s="31"/>
      <c r="GE41" s="31"/>
      <c r="GF41" s="31"/>
      <c r="GG41" s="31"/>
      <c r="GH41" s="31"/>
      <c r="GI41" s="31"/>
      <c r="GJ41" s="32"/>
      <c r="GK41" s="32"/>
      <c r="GL41" s="34"/>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4"/>
      <c r="HQ41" s="32"/>
      <c r="HR41" s="32"/>
      <c r="HS41" s="32"/>
      <c r="HT41" s="32"/>
      <c r="HU41" s="32"/>
      <c r="HV41" s="32"/>
      <c r="HW41" s="32"/>
      <c r="HX41" s="32"/>
      <c r="HY41" s="32"/>
      <c r="HZ41" s="32"/>
      <c r="IA41" s="32"/>
      <c r="IB41" s="32"/>
      <c r="IC41" s="32"/>
      <c r="ID41" s="32"/>
      <c r="IE41" s="32"/>
      <c r="IF41" s="31"/>
      <c r="IG41" s="31"/>
      <c r="IH41" s="32"/>
      <c r="II41" s="32"/>
      <c r="IJ41" s="34"/>
      <c r="IK41" s="32"/>
      <c r="IL41" s="32"/>
      <c r="IM41" s="32"/>
      <c r="IN41" s="33"/>
      <c r="IO41" s="33"/>
      <c r="IP41" s="33"/>
      <c r="IQ41" s="243"/>
      <c r="IR41" s="244"/>
      <c r="IS41" s="244"/>
      <c r="IT41" s="244"/>
      <c r="IU41" s="244"/>
      <c r="IV41" s="244"/>
      <c r="IW41" s="244"/>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40"/>
      <c r="BN42" s="340"/>
      <c r="BO42" s="340"/>
      <c r="BP42" s="340"/>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c r="BF44" s="7"/>
      <c r="BG44" s="7"/>
      <c r="BH44" s="7"/>
      <c r="BI44" s="7"/>
      <c r="BJ44" s="7"/>
      <c r="BK44" s="7"/>
      <c r="BL44" s="7"/>
      <c r="BM44" s="7"/>
      <c r="BN44" s="6"/>
      <c r="BO44" s="7"/>
      <c r="BP44" s="7"/>
      <c r="BQ44" s="7"/>
      <c r="BR44" s="7"/>
      <c r="BS44" s="7"/>
      <c r="BT44" s="7"/>
      <c r="BU44" s="7"/>
      <c r="BV44" s="7"/>
      <c r="BW44" s="7"/>
      <c r="BX44" s="6"/>
      <c r="BY44" s="7"/>
      <c r="BZ44" s="7"/>
      <c r="CA44" s="7"/>
      <c r="CB44" s="7"/>
      <c r="CC44" s="7"/>
      <c r="CD44" s="7"/>
      <c r="CE44" s="7"/>
      <c r="CF44" s="7"/>
      <c r="CG44" s="7"/>
      <c r="CH44" s="6"/>
      <c r="CI44" s="7"/>
      <c r="CJ44" s="7"/>
      <c r="CK44" s="7"/>
      <c r="CL44" s="7"/>
      <c r="CM44" s="7"/>
      <c r="CN44" s="7"/>
      <c r="CO44" s="7"/>
      <c r="CP44" s="7"/>
      <c r="CQ44" s="7"/>
      <c r="CR44" s="6"/>
      <c r="CS44" s="7"/>
      <c r="CT44" s="7"/>
      <c r="CU44" s="7"/>
      <c r="CV44" s="7"/>
      <c r="CW44" s="7"/>
      <c r="CX44" s="7"/>
      <c r="CY44" s="7"/>
      <c r="CZ44" s="7"/>
      <c r="DA44" s="7"/>
      <c r="DB44" s="6"/>
      <c r="DC44" s="7"/>
      <c r="DD44" s="7"/>
      <c r="DE44" s="7"/>
      <c r="DF44" s="7"/>
      <c r="DG44" s="7"/>
      <c r="DH44" s="7"/>
      <c r="DI44" s="7"/>
      <c r="DJ44" s="7"/>
      <c r="DK44" s="7"/>
      <c r="DL44" s="6"/>
      <c r="DM44" s="7"/>
      <c r="DN44" s="7"/>
      <c r="DO44" s="7"/>
      <c r="DP44" s="7"/>
      <c r="DQ44" s="7"/>
      <c r="DR44" s="7"/>
      <c r="DS44" s="7"/>
      <c r="DT44" s="7"/>
      <c r="DU44" s="7"/>
      <c r="DV44" s="6"/>
      <c r="DW44" s="7"/>
      <c r="DX44" s="7"/>
      <c r="DY44" s="7"/>
      <c r="DZ44" s="7"/>
      <c r="EA44" s="7"/>
      <c r="EB44" s="7"/>
      <c r="EC44" s="7"/>
      <c r="ED44" s="7"/>
      <c r="EE44" s="7"/>
      <c r="EF44" s="6"/>
      <c r="EG44" s="7"/>
      <c r="EH44" s="7"/>
      <c r="EI44" s="7"/>
      <c r="EJ44" s="7"/>
      <c r="EK44" s="7"/>
      <c r="EL44" s="7"/>
      <c r="EM44" s="7"/>
      <c r="EN44" s="7"/>
      <c r="EO44" s="7"/>
      <c r="EP44" s="6"/>
      <c r="EQ44" s="7"/>
      <c r="ER44" s="7"/>
      <c r="ES44" s="7"/>
      <c r="ET44" s="7"/>
      <c r="EU44" s="7"/>
      <c r="EV44" s="7"/>
      <c r="EW44" s="7"/>
      <c r="EX44" s="7"/>
      <c r="EY44" s="7"/>
      <c r="EZ44" s="6"/>
      <c r="FA44" s="7"/>
      <c r="FB44" s="7"/>
      <c r="FC44" s="7"/>
      <c r="FD44" s="7"/>
      <c r="FE44" s="7"/>
      <c r="FF44" s="7"/>
      <c r="FG44" s="7"/>
      <c r="FH44" s="7"/>
      <c r="FI44" s="7"/>
      <c r="FJ44" s="6"/>
      <c r="FK44" s="7"/>
      <c r="FL44" s="7"/>
      <c r="FM44" s="7"/>
      <c r="FN44" s="7"/>
      <c r="FO44" s="7"/>
      <c r="FP44" s="7"/>
      <c r="FQ44" s="7"/>
      <c r="FR44" s="7"/>
      <c r="FS44" s="7"/>
      <c r="FT44" s="6"/>
      <c r="FU44" s="7"/>
      <c r="FV44" s="7"/>
      <c r="FW44" s="7"/>
      <c r="FX44" s="7"/>
      <c r="FY44" s="7"/>
      <c r="FZ44" s="7"/>
      <c r="GA44" s="7"/>
      <c r="GB44" s="7"/>
      <c r="GC44" s="7"/>
      <c r="GD44" s="6"/>
      <c r="GE44" s="7"/>
      <c r="GF44" s="7"/>
      <c r="GG44" s="7"/>
      <c r="GH44" s="7"/>
      <c r="GI44" s="7"/>
      <c r="GJ44" s="7"/>
      <c r="GK44" s="7"/>
      <c r="GL44" s="7"/>
      <c r="GM44" s="7"/>
      <c r="GN44" s="6"/>
      <c r="GO44" s="7"/>
      <c r="GP44" s="7"/>
      <c r="GQ44" s="7"/>
      <c r="GR44" s="7"/>
      <c r="GS44" s="7"/>
      <c r="GT44" s="7"/>
      <c r="GU44" s="7"/>
      <c r="GV44" s="5"/>
      <c r="GW44" s="5"/>
      <c r="GX44" s="5"/>
      <c r="GY44" s="5"/>
      <c r="GZ44" s="5"/>
      <c r="HA44" s="5"/>
      <c r="HB44" s="5"/>
      <c r="HC44" s="5"/>
      <c r="HD44" s="5"/>
      <c r="HE44" s="5"/>
      <c r="HF44" s="5"/>
    </row>
    <row r="45" spans="2:258" ht="19.5" thickBot="1" x14ac:dyDescent="0.35">
      <c r="B45" s="272" t="s">
        <v>41</v>
      </c>
      <c r="C45" s="147" t="e">
        <f>C9</f>
        <v>#VALUE!</v>
      </c>
      <c r="D45" s="73"/>
      <c r="E45" s="73"/>
      <c r="F45" s="73"/>
      <c r="G45" s="73"/>
      <c r="H45" s="73"/>
      <c r="I45" s="73"/>
      <c r="J45" s="73"/>
      <c r="K45" s="73"/>
      <c r="L45" s="273"/>
      <c r="N45" s="296" t="s">
        <v>191</v>
      </c>
      <c r="O45" s="151"/>
      <c r="P45" s="95"/>
      <c r="Q45" s="251">
        <v>6</v>
      </c>
      <c r="R45" s="157">
        <v>12</v>
      </c>
      <c r="S45" s="157">
        <f t="shared" ref="S45:AJ45" si="126">R45+6</f>
        <v>18</v>
      </c>
      <c r="T45" s="157">
        <f t="shared" si="126"/>
        <v>24</v>
      </c>
      <c r="U45" s="157">
        <f t="shared" si="126"/>
        <v>30</v>
      </c>
      <c r="V45" s="157">
        <f t="shared" si="126"/>
        <v>36</v>
      </c>
      <c r="W45" s="157">
        <f t="shared" si="126"/>
        <v>42</v>
      </c>
      <c r="X45" s="157">
        <f t="shared" si="126"/>
        <v>48</v>
      </c>
      <c r="Y45" s="157">
        <f t="shared" si="126"/>
        <v>54</v>
      </c>
      <c r="Z45" s="157">
        <f t="shared" si="126"/>
        <v>60</v>
      </c>
      <c r="AA45" s="157">
        <f t="shared" si="126"/>
        <v>66</v>
      </c>
      <c r="AB45" s="157">
        <f t="shared" si="126"/>
        <v>72</v>
      </c>
      <c r="AC45" s="157">
        <f t="shared" si="126"/>
        <v>78</v>
      </c>
      <c r="AD45" s="157">
        <f t="shared" si="126"/>
        <v>84</v>
      </c>
      <c r="AE45" s="157">
        <f t="shared" si="126"/>
        <v>90</v>
      </c>
      <c r="AF45" s="157">
        <f t="shared" si="126"/>
        <v>96</v>
      </c>
      <c r="AG45" s="157">
        <f t="shared" si="126"/>
        <v>102</v>
      </c>
      <c r="AH45" s="157">
        <f t="shared" si="126"/>
        <v>108</v>
      </c>
      <c r="AI45" s="157">
        <f t="shared" si="126"/>
        <v>114</v>
      </c>
      <c r="AJ45" s="157">
        <f t="shared" si="126"/>
        <v>120</v>
      </c>
      <c r="AK45" s="150"/>
      <c r="AL45" s="150"/>
      <c r="AM45" s="150"/>
      <c r="AN45" s="150"/>
      <c r="AO45" s="150"/>
      <c r="AP45" s="150"/>
      <c r="AQ45" s="158"/>
    </row>
    <row r="46" spans="2:258" ht="18.75" customHeight="1" thickBot="1" x14ac:dyDescent="0.35">
      <c r="B46" s="228" t="s">
        <v>42</v>
      </c>
      <c r="C46" s="148" t="e">
        <f>F9</f>
        <v>#VALUE!</v>
      </c>
      <c r="E46" s="71"/>
      <c r="F46" s="71"/>
      <c r="G46" s="71"/>
      <c r="H46" s="71"/>
      <c r="I46" s="71"/>
      <c r="J46" s="71"/>
      <c r="K46" s="71"/>
      <c r="L46" s="75"/>
      <c r="N46" s="250"/>
      <c r="O46" s="67"/>
      <c r="P46" s="69">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15.75" customHeight="1" thickBot="1" x14ac:dyDescent="0.4">
      <c r="B47" s="234" t="s">
        <v>77</v>
      </c>
      <c r="C47" s="71"/>
      <c r="D47" s="71"/>
      <c r="E47" s="71"/>
      <c r="F47" s="71"/>
      <c r="G47" s="71"/>
      <c r="H47" s="71"/>
      <c r="I47" s="71"/>
      <c r="J47" s="71"/>
      <c r="K47" s="71"/>
      <c r="L47" s="75"/>
      <c r="N47" s="250"/>
      <c r="O47" s="251">
        <f>F12</f>
        <v>5.8125</v>
      </c>
      <c r="P47" s="158">
        <v>2</v>
      </c>
      <c r="Q47" s="299">
        <v>0.83</v>
      </c>
      <c r="R47" s="255">
        <v>1.63</v>
      </c>
      <c r="S47" s="255">
        <v>2.4300000000000002</v>
      </c>
      <c r="T47" s="255">
        <v>3.23</v>
      </c>
      <c r="U47" s="255">
        <v>4.03</v>
      </c>
      <c r="V47" s="255">
        <v>4.83</v>
      </c>
      <c r="W47" s="255">
        <v>5.63</v>
      </c>
      <c r="X47" s="255">
        <v>6.43</v>
      </c>
      <c r="Y47" s="255">
        <v>7.23</v>
      </c>
      <c r="Z47" s="255">
        <v>8.0299999999999994</v>
      </c>
      <c r="AA47" s="255">
        <v>8.83</v>
      </c>
      <c r="AB47" s="255">
        <v>9.6300000000000008</v>
      </c>
      <c r="AC47" s="338"/>
      <c r="AD47" s="338"/>
      <c r="AE47" s="338"/>
      <c r="AF47" s="338"/>
      <c r="AG47" s="338"/>
      <c r="AH47" s="338"/>
      <c r="AI47" s="338"/>
      <c r="AJ47" s="338"/>
      <c r="AK47" s="150"/>
      <c r="AL47" s="150"/>
      <c r="AM47" s="150"/>
      <c r="AN47" s="150"/>
      <c r="AO47" s="150"/>
      <c r="AP47" s="150"/>
      <c r="AQ47" s="158"/>
    </row>
    <row r="48" spans="2:258" ht="15" customHeight="1" thickBot="1" x14ac:dyDescent="0.3">
      <c r="B48" s="78"/>
      <c r="D48" s="71"/>
      <c r="E48" s="71"/>
      <c r="F48" s="71"/>
      <c r="G48" s="71"/>
      <c r="H48" s="71"/>
      <c r="I48" s="71"/>
      <c r="J48" s="71"/>
      <c r="K48" s="71"/>
      <c r="L48" s="75"/>
      <c r="N48" s="297">
        <v>1.67</v>
      </c>
      <c r="O48" s="162">
        <v>12</v>
      </c>
      <c r="P48" s="65">
        <v>3</v>
      </c>
      <c r="Q48" s="336">
        <v>1.75</v>
      </c>
      <c r="R48" s="153">
        <v>3.42</v>
      </c>
      <c r="S48" s="153">
        <v>5.09</v>
      </c>
      <c r="T48" s="153">
        <v>6.76</v>
      </c>
      <c r="U48" s="153">
        <f t="shared" ref="U48:AB49" si="127">T48+$N48</f>
        <v>8.43</v>
      </c>
      <c r="V48" s="153">
        <f t="shared" si="127"/>
        <v>10.1</v>
      </c>
      <c r="W48" s="153">
        <f t="shared" si="127"/>
        <v>11.77</v>
      </c>
      <c r="X48" s="153">
        <f t="shared" si="127"/>
        <v>13.44</v>
      </c>
      <c r="Y48" s="153">
        <f t="shared" si="127"/>
        <v>15.11</v>
      </c>
      <c r="Z48" s="153">
        <f t="shared" si="127"/>
        <v>16.78</v>
      </c>
      <c r="AA48" s="153">
        <f t="shared" si="127"/>
        <v>18.450000000000003</v>
      </c>
      <c r="AB48" s="153">
        <f t="shared" si="127"/>
        <v>20.120000000000005</v>
      </c>
      <c r="AC48" s="206"/>
      <c r="AD48" s="206"/>
      <c r="AE48" s="206"/>
      <c r="AF48" s="206"/>
      <c r="AG48" s="206"/>
      <c r="AH48" s="206"/>
      <c r="AI48" s="206"/>
      <c r="AJ48" s="206"/>
      <c r="AK48" s="64"/>
      <c r="AL48" s="154"/>
      <c r="AM48" s="154" t="e">
        <f>D51</f>
        <v>#VALUE!</v>
      </c>
      <c r="AN48" s="155" t="e">
        <f>C45</f>
        <v>#VALUE!</v>
      </c>
      <c r="AO48" s="154" t="e">
        <f>E51</f>
        <v>#VALUE!</v>
      </c>
      <c r="AP48" s="64"/>
      <c r="AQ48" s="65"/>
      <c r="CL48" s="83"/>
      <c r="CM48" s="83"/>
      <c r="CN48" s="83"/>
      <c r="CO48" s="83"/>
      <c r="CP48" s="83"/>
      <c r="CQ48" s="83"/>
      <c r="CR48" s="83"/>
      <c r="CS48" s="83"/>
    </row>
    <row r="49" spans="2:98" ht="15" customHeight="1" thickBot="1" x14ac:dyDescent="0.3">
      <c r="B49" s="78"/>
      <c r="C49" s="124"/>
      <c r="D49" s="125" t="s">
        <v>35</v>
      </c>
      <c r="E49" s="126"/>
      <c r="F49" s="126"/>
      <c r="G49" s="128"/>
      <c r="H49" s="125" t="s">
        <v>36</v>
      </c>
      <c r="I49" s="127"/>
      <c r="J49" s="71"/>
      <c r="K49" s="71"/>
      <c r="L49" s="75"/>
      <c r="N49" s="103">
        <v>2.42</v>
      </c>
      <c r="O49" s="162">
        <f t="shared" ref="O49:O66" si="128">O48+6</f>
        <v>18</v>
      </c>
      <c r="P49" s="65">
        <v>4</v>
      </c>
      <c r="Q49" s="336">
        <v>2.57</v>
      </c>
      <c r="R49" s="153">
        <v>4.99</v>
      </c>
      <c r="S49" s="153">
        <v>7.4</v>
      </c>
      <c r="T49" s="153">
        <v>9.82</v>
      </c>
      <c r="U49" s="153">
        <f t="shared" si="127"/>
        <v>12.24</v>
      </c>
      <c r="V49" s="153">
        <f t="shared" si="127"/>
        <v>14.66</v>
      </c>
      <c r="W49" s="153">
        <f t="shared" si="127"/>
        <v>17.079999999999998</v>
      </c>
      <c r="X49" s="153">
        <f t="shared" si="127"/>
        <v>19.5</v>
      </c>
      <c r="Y49" s="153">
        <f t="shared" si="127"/>
        <v>21.92</v>
      </c>
      <c r="Z49" s="153">
        <f t="shared" si="127"/>
        <v>24.340000000000003</v>
      </c>
      <c r="AA49" s="153">
        <f t="shared" si="127"/>
        <v>26.760000000000005</v>
      </c>
      <c r="AB49" s="153">
        <f t="shared" si="127"/>
        <v>29.180000000000007</v>
      </c>
      <c r="AC49" s="206"/>
      <c r="AD49" s="206"/>
      <c r="AE49" s="206"/>
      <c r="AF49" s="206"/>
      <c r="AG49" s="206"/>
      <c r="AH49" s="206"/>
      <c r="AI49" s="206"/>
      <c r="AJ49" s="206"/>
      <c r="AK49" s="96"/>
      <c r="AL49" s="154" t="e">
        <f>H51</f>
        <v>#VALUE!</v>
      </c>
      <c r="AM49" s="155" t="e">
        <f>INDEX(P46:AJ66,$H$52,$D$52)</f>
        <v>#VALUE!</v>
      </c>
      <c r="AN49" s="155" t="e">
        <f>(((AN48-AM48)/(AO48-AM48))*(AO49-AM49))+AM49</f>
        <v>#VALUE!</v>
      </c>
      <c r="AO49" s="155" t="e">
        <f>INDEX(P46:AJ66,$H$52,$E$52)</f>
        <v>#VALUE!</v>
      </c>
      <c r="AP49" s="64"/>
      <c r="AQ49" s="65"/>
      <c r="CL49" s="83"/>
      <c r="CM49" s="83"/>
      <c r="CN49" s="83"/>
      <c r="CO49" s="83"/>
      <c r="CP49" s="83"/>
      <c r="CQ49" s="83"/>
      <c r="CR49" s="83"/>
      <c r="CS49" s="83"/>
    </row>
    <row r="50" spans="2:98" ht="16.5" thickBot="1" x14ac:dyDescent="0.3">
      <c r="B50" s="78"/>
      <c r="C50" s="120"/>
      <c r="D50" s="121" t="s">
        <v>78</v>
      </c>
      <c r="E50" s="122" t="s">
        <v>79</v>
      </c>
      <c r="F50" s="122"/>
      <c r="G50" s="129"/>
      <c r="H50" s="121" t="s">
        <v>78</v>
      </c>
      <c r="I50" s="123" t="s">
        <v>79</v>
      </c>
      <c r="J50" s="71"/>
      <c r="K50" s="71"/>
      <c r="L50" s="75"/>
      <c r="N50" s="103">
        <v>3.14</v>
      </c>
      <c r="O50" s="162">
        <f t="shared" si="128"/>
        <v>24</v>
      </c>
      <c r="P50" s="65">
        <v>5</v>
      </c>
      <c r="Q50" s="336">
        <v>3.39</v>
      </c>
      <c r="R50" s="153">
        <v>6.55</v>
      </c>
      <c r="S50" s="153">
        <v>9.7100000000000009</v>
      </c>
      <c r="T50" s="153">
        <v>12.87</v>
      </c>
      <c r="U50" s="153">
        <f t="shared" ref="U50:X58" si="129">T50+$N50</f>
        <v>16.009999999999998</v>
      </c>
      <c r="V50" s="153">
        <f t="shared" si="129"/>
        <v>19.149999999999999</v>
      </c>
      <c r="W50" s="153">
        <f t="shared" si="129"/>
        <v>22.29</v>
      </c>
      <c r="X50" s="153">
        <f t="shared" si="129"/>
        <v>25.43</v>
      </c>
      <c r="Y50" s="153">
        <v>28.68</v>
      </c>
      <c r="Z50" s="153">
        <f t="shared" ref="Z50:AB58" si="130">Y50+$N50</f>
        <v>31.82</v>
      </c>
      <c r="AA50" s="153">
        <f t="shared" si="130"/>
        <v>34.96</v>
      </c>
      <c r="AB50" s="153">
        <f t="shared" si="130"/>
        <v>38.1</v>
      </c>
      <c r="AC50" s="206"/>
      <c r="AD50" s="206"/>
      <c r="AE50" s="206"/>
      <c r="AF50" s="206"/>
      <c r="AG50" s="206"/>
      <c r="AH50" s="206"/>
      <c r="AI50" s="206"/>
      <c r="AJ50" s="206"/>
      <c r="AK50" s="64"/>
      <c r="AL50" s="154" t="e">
        <f>C46</f>
        <v>#VALUE!</v>
      </c>
      <c r="AM50" s="155" t="e">
        <f>(((AL50-AL49)/(AL51-AL49))*(AM51-AM49))+AM49</f>
        <v>#VALUE!</v>
      </c>
      <c r="AN50" s="156" t="e">
        <f>IF(AND(AN48&gt;72,AL50&gt;72),5/0,IF(AN48=120,AM50,(((AN49-AM49)/(AO49-AM49))*(AO50-AM50))+AM50))</f>
        <v>#VALUE!</v>
      </c>
      <c r="AO50" s="155" t="e">
        <f>(((AL50-AL49)/(AL51-AL49))*(AO51-AO49))+AO49</f>
        <v>#VALUE!</v>
      </c>
      <c r="AP50" s="64"/>
      <c r="AQ50" s="65"/>
      <c r="CL50" s="83"/>
      <c r="CM50" s="83"/>
      <c r="CN50" s="83"/>
      <c r="CO50" s="83"/>
      <c r="CP50" s="83"/>
      <c r="CQ50" s="83"/>
      <c r="CR50" s="83"/>
      <c r="CS50" s="83"/>
    </row>
    <row r="51" spans="2:98" ht="16.5" thickBot="1" x14ac:dyDescent="0.3">
      <c r="B51" s="78"/>
      <c r="C51" s="118"/>
      <c r="D51" s="116" t="e">
        <f>IF(AND(C45&lt;12,C45&gt;=6),6,FLOOR(C45/6,1)*6)</f>
        <v>#VALUE!</v>
      </c>
      <c r="E51" s="112" t="e">
        <f>IF(D51&lt;12,12,D51+6)</f>
        <v>#VALUE!</v>
      </c>
      <c r="F51" s="112"/>
      <c r="G51" s="130"/>
      <c r="H51" s="116" t="e">
        <f>IF(AND(C46&lt;12,C46&gt;=F12),F12,FLOOR(C46/6,1)*6)</f>
        <v>#VALUE!</v>
      </c>
      <c r="I51" s="113" t="e">
        <f>IF(H51&lt;12,12,H51+6)</f>
        <v>#VALUE!</v>
      </c>
      <c r="J51" s="71"/>
      <c r="K51" s="71"/>
      <c r="L51" s="75"/>
      <c r="N51" s="103">
        <v>3.91</v>
      </c>
      <c r="O51" s="162">
        <f t="shared" si="128"/>
        <v>30</v>
      </c>
      <c r="P51" s="65">
        <v>6</v>
      </c>
      <c r="Q51" s="336">
        <v>4.2</v>
      </c>
      <c r="R51" s="153">
        <v>8.11</v>
      </c>
      <c r="S51" s="153">
        <v>12.02</v>
      </c>
      <c r="T51" s="153">
        <v>15.92</v>
      </c>
      <c r="U51" s="153">
        <f t="shared" si="129"/>
        <v>19.829999999999998</v>
      </c>
      <c r="V51" s="153">
        <f t="shared" si="129"/>
        <v>23.74</v>
      </c>
      <c r="W51" s="153">
        <f t="shared" si="129"/>
        <v>27.65</v>
      </c>
      <c r="X51" s="153">
        <f t="shared" si="129"/>
        <v>31.56</v>
      </c>
      <c r="Y51" s="153">
        <f>X51+$N51</f>
        <v>35.47</v>
      </c>
      <c r="Z51" s="153">
        <f t="shared" si="130"/>
        <v>39.379999999999995</v>
      </c>
      <c r="AA51" s="153">
        <f t="shared" si="130"/>
        <v>43.289999999999992</v>
      </c>
      <c r="AB51" s="153">
        <f t="shared" si="130"/>
        <v>47.199999999999989</v>
      </c>
      <c r="AC51" s="206"/>
      <c r="AD51" s="206"/>
      <c r="AE51" s="206"/>
      <c r="AF51" s="206"/>
      <c r="AG51" s="206"/>
      <c r="AH51" s="206"/>
      <c r="AI51" s="206"/>
      <c r="AJ51" s="206"/>
      <c r="AK51" s="64"/>
      <c r="AL51" s="154" t="e">
        <f>I51</f>
        <v>#VALUE!</v>
      </c>
      <c r="AM51" s="155" t="e">
        <f>INDEX(P46:AJ66,$I$52,$D$52)</f>
        <v>#VALUE!</v>
      </c>
      <c r="AN51" s="155" t="e">
        <f>(((AN48-AM48)/(AO48-AM48))*(AO51-AM51))+AM51</f>
        <v>#VALUE!</v>
      </c>
      <c r="AO51" s="155" t="e">
        <f>INDEX(P46:AJ66,$I$52,$E$52)</f>
        <v>#VALUE!</v>
      </c>
      <c r="AP51" s="64"/>
      <c r="AQ51" s="65"/>
      <c r="CL51" s="83"/>
      <c r="CM51" s="83"/>
      <c r="CN51" s="83"/>
      <c r="CO51" s="83"/>
      <c r="CP51" s="83"/>
      <c r="CQ51" s="83"/>
      <c r="CR51" s="83"/>
      <c r="CS51" s="83"/>
    </row>
    <row r="52" spans="2:98"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4.6500000000000004</v>
      </c>
      <c r="O52" s="162">
        <f t="shared" si="128"/>
        <v>36</v>
      </c>
      <c r="P52" s="65">
        <v>7</v>
      </c>
      <c r="Q52" s="336">
        <v>5.0199999999999996</v>
      </c>
      <c r="R52" s="153">
        <v>9.67</v>
      </c>
      <c r="S52" s="153">
        <v>14.33</v>
      </c>
      <c r="T52" s="153">
        <v>18.98</v>
      </c>
      <c r="U52" s="153">
        <f t="shared" si="129"/>
        <v>23.630000000000003</v>
      </c>
      <c r="V52" s="153">
        <f t="shared" si="129"/>
        <v>28.28</v>
      </c>
      <c r="W52" s="153">
        <f t="shared" si="129"/>
        <v>32.93</v>
      </c>
      <c r="X52" s="153">
        <f t="shared" si="129"/>
        <v>37.58</v>
      </c>
      <c r="Y52" s="153">
        <f>X52+$N52</f>
        <v>42.23</v>
      </c>
      <c r="Z52" s="153">
        <f t="shared" si="130"/>
        <v>46.879999999999995</v>
      </c>
      <c r="AA52" s="153">
        <f t="shared" si="130"/>
        <v>51.529999999999994</v>
      </c>
      <c r="AB52" s="153">
        <f t="shared" si="130"/>
        <v>56.179999999999993</v>
      </c>
      <c r="AC52" s="206"/>
      <c r="AD52" s="206"/>
      <c r="AE52" s="206"/>
      <c r="AF52" s="206"/>
      <c r="AG52" s="206"/>
      <c r="AH52" s="206"/>
      <c r="AI52" s="206"/>
      <c r="AJ52" s="206"/>
      <c r="AK52" s="64"/>
      <c r="AL52" s="64"/>
      <c r="AM52" s="64"/>
      <c r="AN52" s="64"/>
      <c r="AO52" s="64"/>
      <c r="AP52" s="64"/>
      <c r="AQ52" s="65"/>
      <c r="CL52" s="83"/>
      <c r="CM52" s="83"/>
      <c r="CN52" s="83"/>
      <c r="CO52" s="83"/>
      <c r="CP52" s="83"/>
      <c r="CQ52" s="83"/>
      <c r="CR52" s="83"/>
      <c r="CS52" s="83"/>
    </row>
    <row r="53" spans="2:98" ht="24" thickBot="1" x14ac:dyDescent="0.4">
      <c r="B53" s="78"/>
      <c r="C53" s="119"/>
      <c r="D53" s="117"/>
      <c r="E53" s="114"/>
      <c r="F53" s="114"/>
      <c r="G53" s="131"/>
      <c r="H53" s="117"/>
      <c r="I53" s="115"/>
      <c r="J53" s="71"/>
      <c r="K53" s="71"/>
      <c r="L53" s="75"/>
      <c r="N53" s="103">
        <v>5.39</v>
      </c>
      <c r="O53" s="162">
        <f t="shared" si="128"/>
        <v>42</v>
      </c>
      <c r="P53" s="65">
        <v>8</v>
      </c>
      <c r="Q53" s="336">
        <v>5.84</v>
      </c>
      <c r="R53" s="153">
        <v>11.24</v>
      </c>
      <c r="S53" s="153">
        <v>16.63</v>
      </c>
      <c r="T53" s="153">
        <v>22.03</v>
      </c>
      <c r="U53" s="153">
        <f t="shared" si="129"/>
        <v>27.42</v>
      </c>
      <c r="V53" s="153">
        <f t="shared" si="129"/>
        <v>32.81</v>
      </c>
      <c r="W53" s="153">
        <f t="shared" si="129"/>
        <v>38.200000000000003</v>
      </c>
      <c r="X53" s="153">
        <f t="shared" si="129"/>
        <v>43.59</v>
      </c>
      <c r="Y53" s="153">
        <v>49.03</v>
      </c>
      <c r="Z53" s="153">
        <f t="shared" si="130"/>
        <v>54.42</v>
      </c>
      <c r="AA53" s="153">
        <f t="shared" si="130"/>
        <v>59.81</v>
      </c>
      <c r="AB53" s="153">
        <f t="shared" si="130"/>
        <v>65.2</v>
      </c>
      <c r="AC53" s="206"/>
      <c r="AD53" s="206"/>
      <c r="AE53" s="206"/>
      <c r="AF53" s="206"/>
      <c r="AG53" s="206"/>
      <c r="AH53" s="206"/>
      <c r="AI53" s="206"/>
      <c r="AJ53" s="206"/>
      <c r="AK53" s="64"/>
      <c r="AL53" s="64"/>
      <c r="AM53" s="64"/>
      <c r="AN53" s="64"/>
      <c r="AO53" s="64"/>
      <c r="AP53" s="64"/>
      <c r="AQ53" s="65"/>
      <c r="AS53" s="495"/>
      <c r="AT53" s="496"/>
      <c r="CL53" s="83"/>
      <c r="CM53" s="83"/>
      <c r="CN53" s="83"/>
      <c r="CO53" s="83"/>
      <c r="CP53" s="83"/>
      <c r="CQ53" s="83"/>
      <c r="CR53" s="83"/>
      <c r="CS53" s="83"/>
    </row>
    <row r="54" spans="2:98" ht="15.75" thickBot="1" x14ac:dyDescent="0.3">
      <c r="B54" s="78"/>
      <c r="C54" s="71"/>
      <c r="D54" s="71"/>
      <c r="E54" s="71"/>
      <c r="F54" s="71"/>
      <c r="G54" s="71"/>
      <c r="H54" s="71"/>
      <c r="I54" s="71"/>
      <c r="J54" s="71"/>
      <c r="K54" s="71"/>
      <c r="L54" s="75"/>
      <c r="N54" s="103">
        <v>6.15</v>
      </c>
      <c r="O54" s="162">
        <f t="shared" si="128"/>
        <v>48</v>
      </c>
      <c r="P54" s="65">
        <v>9</v>
      </c>
      <c r="Q54" s="336">
        <v>6.65</v>
      </c>
      <c r="R54" s="153">
        <v>12.8</v>
      </c>
      <c r="S54" s="153">
        <v>18.940000000000001</v>
      </c>
      <c r="T54" s="153">
        <v>25.09</v>
      </c>
      <c r="U54" s="153">
        <f t="shared" si="129"/>
        <v>31.240000000000002</v>
      </c>
      <c r="V54" s="153">
        <f t="shared" si="129"/>
        <v>37.39</v>
      </c>
      <c r="W54" s="153">
        <f t="shared" si="129"/>
        <v>43.54</v>
      </c>
      <c r="X54" s="153">
        <f t="shared" si="129"/>
        <v>49.69</v>
      </c>
      <c r="Y54" s="153">
        <f>X54+$N54</f>
        <v>55.839999999999996</v>
      </c>
      <c r="Z54" s="153">
        <f t="shared" si="130"/>
        <v>61.989999999999995</v>
      </c>
      <c r="AA54" s="153">
        <f t="shared" si="130"/>
        <v>68.14</v>
      </c>
      <c r="AB54" s="153">
        <f t="shared" si="130"/>
        <v>74.290000000000006</v>
      </c>
      <c r="AC54" s="206"/>
      <c r="AD54" s="206"/>
      <c r="AE54" s="206"/>
      <c r="AF54" s="206"/>
      <c r="AG54" s="206"/>
      <c r="AH54" s="206"/>
      <c r="AI54" s="206"/>
      <c r="AJ54" s="206"/>
      <c r="AK54" s="64"/>
      <c r="AL54" s="64"/>
      <c r="AM54" s="64"/>
      <c r="AN54" s="64"/>
      <c r="AO54" s="64"/>
      <c r="AP54" s="64"/>
      <c r="AQ54" s="65"/>
      <c r="CL54" s="83"/>
      <c r="CM54" s="83"/>
      <c r="CN54" s="83"/>
      <c r="CO54" s="83"/>
      <c r="CP54" s="83"/>
      <c r="CQ54" s="83"/>
      <c r="CR54" s="83"/>
      <c r="CS54" s="83"/>
    </row>
    <row r="55" spans="2:98" ht="21.75" thickBot="1" x14ac:dyDescent="0.4">
      <c r="B55" s="229" t="s">
        <v>71</v>
      </c>
      <c r="C55" s="71"/>
      <c r="E55" s="71"/>
      <c r="F55" s="71"/>
      <c r="G55" s="71"/>
      <c r="H55" s="71"/>
      <c r="I55" s="71"/>
      <c r="J55" s="71"/>
      <c r="K55" s="71"/>
      <c r="L55" s="75"/>
      <c r="N55" s="103">
        <v>6.89</v>
      </c>
      <c r="O55" s="162">
        <f t="shared" si="128"/>
        <v>54</v>
      </c>
      <c r="P55" s="65">
        <v>10</v>
      </c>
      <c r="Q55" s="336">
        <v>7.47</v>
      </c>
      <c r="R55" s="153">
        <v>14.36</v>
      </c>
      <c r="S55" s="153">
        <v>21.25</v>
      </c>
      <c r="T55" s="153">
        <v>28.14</v>
      </c>
      <c r="U55" s="153">
        <f t="shared" si="129"/>
        <v>35.03</v>
      </c>
      <c r="V55" s="153">
        <f t="shared" si="129"/>
        <v>41.92</v>
      </c>
      <c r="W55" s="153">
        <f t="shared" si="129"/>
        <v>48.81</v>
      </c>
      <c r="X55" s="153">
        <f t="shared" si="129"/>
        <v>55.7</v>
      </c>
      <c r="Y55" s="153">
        <f>X55+$N55</f>
        <v>62.59</v>
      </c>
      <c r="Z55" s="153">
        <f t="shared" si="130"/>
        <v>69.48</v>
      </c>
      <c r="AA55" s="153">
        <f t="shared" si="130"/>
        <v>76.37</v>
      </c>
      <c r="AB55" s="153">
        <f t="shared" si="130"/>
        <v>83.26</v>
      </c>
      <c r="AC55" s="206"/>
      <c r="AD55" s="206"/>
      <c r="AE55" s="206"/>
      <c r="AF55" s="206"/>
      <c r="AG55" s="206"/>
      <c r="AH55" s="206"/>
      <c r="AI55" s="206"/>
      <c r="AJ55" s="206"/>
      <c r="AK55" s="64"/>
      <c r="AL55" s="64"/>
      <c r="AM55" s="64"/>
      <c r="AN55" s="64"/>
      <c r="AO55" s="64"/>
      <c r="AP55" s="64"/>
      <c r="AQ55" s="65"/>
      <c r="CL55" s="83"/>
      <c r="CM55" s="83"/>
      <c r="CN55" s="83"/>
      <c r="CO55" s="83"/>
      <c r="CP55" s="83"/>
      <c r="CQ55" s="83"/>
      <c r="CR55" s="83"/>
      <c r="CS55" s="83"/>
    </row>
    <row r="56" spans="2:98" ht="16.5" thickBot="1" x14ac:dyDescent="0.3">
      <c r="B56" s="78"/>
      <c r="C56" s="71"/>
      <c r="D56" s="109"/>
      <c r="E56" s="109" t="e">
        <f>D51</f>
        <v>#VALUE!</v>
      </c>
      <c r="F56" s="132" t="e">
        <f>C45</f>
        <v>#VALUE!</v>
      </c>
      <c r="G56" s="109" t="e">
        <f>E51</f>
        <v>#VALUE!</v>
      </c>
      <c r="H56" s="71"/>
      <c r="I56" s="71"/>
      <c r="J56" s="71"/>
      <c r="K56" s="71"/>
      <c r="L56" s="75"/>
      <c r="N56" s="103">
        <v>7.64</v>
      </c>
      <c r="O56" s="162">
        <f t="shared" si="128"/>
        <v>60</v>
      </c>
      <c r="P56" s="65">
        <v>11</v>
      </c>
      <c r="Q56" s="336">
        <v>8.2899999999999991</v>
      </c>
      <c r="R56" s="153">
        <v>15.92</v>
      </c>
      <c r="S56" s="153">
        <v>23.56</v>
      </c>
      <c r="T56" s="153">
        <v>31.2</v>
      </c>
      <c r="U56" s="153">
        <f t="shared" si="129"/>
        <v>38.839999999999996</v>
      </c>
      <c r="V56" s="153">
        <f t="shared" si="129"/>
        <v>46.48</v>
      </c>
      <c r="W56" s="153">
        <f t="shared" si="129"/>
        <v>54.12</v>
      </c>
      <c r="X56" s="153">
        <f t="shared" si="129"/>
        <v>61.76</v>
      </c>
      <c r="Y56" s="153">
        <f>X56+$N56</f>
        <v>69.399999999999991</v>
      </c>
      <c r="Z56" s="153">
        <f t="shared" si="130"/>
        <v>77.039999999999992</v>
      </c>
      <c r="AA56" s="153">
        <f t="shared" si="130"/>
        <v>84.679999999999993</v>
      </c>
      <c r="AB56" s="153">
        <f t="shared" si="130"/>
        <v>92.32</v>
      </c>
      <c r="AC56" s="206"/>
      <c r="AD56" s="206"/>
      <c r="AE56" s="206"/>
      <c r="AF56" s="206"/>
      <c r="AG56" s="206"/>
      <c r="AH56" s="206"/>
      <c r="AI56" s="206"/>
      <c r="AJ56" s="206"/>
      <c r="AK56" s="64"/>
      <c r="AL56" s="64"/>
      <c r="AM56" s="64"/>
      <c r="AN56" s="64"/>
      <c r="AO56" s="64"/>
      <c r="AP56" s="64"/>
      <c r="AQ56" s="65"/>
      <c r="CL56" s="83"/>
      <c r="CM56" s="83"/>
      <c r="CN56" s="83"/>
      <c r="CO56" s="83"/>
      <c r="CP56" s="83"/>
      <c r="CQ56" s="83"/>
      <c r="CR56" s="83"/>
      <c r="CS56" s="83"/>
    </row>
    <row r="57" spans="2:98"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03">
        <v>8.3800000000000008</v>
      </c>
      <c r="O57" s="162">
        <f t="shared" si="128"/>
        <v>66</v>
      </c>
      <c r="P57" s="65">
        <v>12</v>
      </c>
      <c r="Q57" s="336">
        <v>9.1</v>
      </c>
      <c r="R57" s="153">
        <v>17.489999999999998</v>
      </c>
      <c r="S57" s="153">
        <v>25.87</v>
      </c>
      <c r="T57" s="153">
        <v>34.25</v>
      </c>
      <c r="U57" s="153">
        <f t="shared" si="129"/>
        <v>42.63</v>
      </c>
      <c r="V57" s="153">
        <f t="shared" si="129"/>
        <v>51.010000000000005</v>
      </c>
      <c r="W57" s="153">
        <f t="shared" si="129"/>
        <v>59.390000000000008</v>
      </c>
      <c r="X57" s="153">
        <f t="shared" si="129"/>
        <v>67.77000000000001</v>
      </c>
      <c r="Y57" s="153">
        <f>X57+$N57</f>
        <v>76.150000000000006</v>
      </c>
      <c r="Z57" s="153">
        <f t="shared" si="130"/>
        <v>84.53</v>
      </c>
      <c r="AA57" s="153">
        <f t="shared" si="130"/>
        <v>92.91</v>
      </c>
      <c r="AB57" s="153">
        <f t="shared" si="130"/>
        <v>101.28999999999999</v>
      </c>
      <c r="AC57" s="206"/>
      <c r="AD57" s="206"/>
      <c r="AE57" s="206"/>
      <c r="AF57" s="206"/>
      <c r="AG57" s="206"/>
      <c r="AH57" s="206"/>
      <c r="AI57" s="206"/>
      <c r="AJ57" s="206"/>
      <c r="AK57" s="64"/>
      <c r="AL57" s="64"/>
      <c r="AM57" s="270" t="s">
        <v>212</v>
      </c>
      <c r="AN57" s="64"/>
      <c r="AO57" s="153" t="e">
        <f>AN50</f>
        <v>#VALUE!</v>
      </c>
      <c r="AP57" s="64" t="s">
        <v>86</v>
      </c>
      <c r="AQ57" s="65"/>
      <c r="CL57" s="83"/>
      <c r="CM57" s="83"/>
      <c r="CN57" s="83"/>
      <c r="CO57" s="83"/>
      <c r="CP57" s="83"/>
      <c r="CQ57" s="83"/>
      <c r="CR57" s="83"/>
      <c r="CS57" s="83"/>
    </row>
    <row r="58" spans="2:98"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9.1300000000000008</v>
      </c>
      <c r="O58" s="162">
        <f t="shared" si="128"/>
        <v>72</v>
      </c>
      <c r="P58" s="65">
        <v>13</v>
      </c>
      <c r="Q58" s="336">
        <v>9.92</v>
      </c>
      <c r="R58" s="153">
        <v>19.05</v>
      </c>
      <c r="S58" s="153">
        <v>28.18</v>
      </c>
      <c r="T58" s="153">
        <v>37.299999999999997</v>
      </c>
      <c r="U58" s="153">
        <f t="shared" si="129"/>
        <v>46.43</v>
      </c>
      <c r="V58" s="153">
        <f t="shared" si="129"/>
        <v>55.56</v>
      </c>
      <c r="W58" s="153">
        <f t="shared" si="129"/>
        <v>64.69</v>
      </c>
      <c r="X58" s="153">
        <f t="shared" si="129"/>
        <v>73.819999999999993</v>
      </c>
      <c r="Y58" s="153">
        <f>X58+$N58</f>
        <v>82.949999999999989</v>
      </c>
      <c r="Z58" s="153">
        <f t="shared" si="130"/>
        <v>92.079999999999984</v>
      </c>
      <c r="AA58" s="153">
        <f t="shared" si="130"/>
        <v>101.20999999999998</v>
      </c>
      <c r="AB58" s="153">
        <f t="shared" si="130"/>
        <v>110.33999999999997</v>
      </c>
      <c r="AC58" s="206"/>
      <c r="AD58" s="206"/>
      <c r="AE58" s="206"/>
      <c r="AF58" s="206"/>
      <c r="AG58" s="206"/>
      <c r="AH58" s="206"/>
      <c r="AI58" s="206"/>
      <c r="AJ58" s="206"/>
      <c r="AK58" s="64"/>
      <c r="AL58" s="64"/>
      <c r="AM58" s="270" t="s">
        <v>213</v>
      </c>
      <c r="AN58" s="64"/>
      <c r="AO58" s="64" t="e">
        <f>AO57*C11</f>
        <v>#VALUE!</v>
      </c>
      <c r="AP58" s="64" t="s">
        <v>86</v>
      </c>
      <c r="AQ58" s="65"/>
      <c r="CL58" s="83"/>
      <c r="CM58" s="83"/>
      <c r="CN58" s="83"/>
      <c r="CO58" s="83"/>
      <c r="CP58" s="83"/>
      <c r="CQ58" s="83"/>
      <c r="CR58" s="83"/>
      <c r="CS58" s="83"/>
    </row>
    <row r="59" spans="2:98"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03"/>
      <c r="O59" s="162">
        <f t="shared" si="128"/>
        <v>78</v>
      </c>
      <c r="P59" s="65">
        <v>14</v>
      </c>
      <c r="Q59" s="339"/>
      <c r="R59" s="206"/>
      <c r="S59" s="206"/>
      <c r="T59" s="206"/>
      <c r="U59" s="206"/>
      <c r="V59" s="206"/>
      <c r="W59" s="206"/>
      <c r="X59" s="206"/>
      <c r="Y59" s="206"/>
      <c r="Z59" s="206"/>
      <c r="AA59" s="206"/>
      <c r="AB59" s="206"/>
      <c r="AC59" s="206"/>
      <c r="AD59" s="206"/>
      <c r="AE59" s="206"/>
      <c r="AF59" s="206"/>
      <c r="AG59" s="206"/>
      <c r="AH59" s="206"/>
      <c r="AI59" s="206"/>
      <c r="AJ59" s="206"/>
      <c r="AK59" s="64"/>
      <c r="AL59" s="64"/>
      <c r="AM59" s="64"/>
      <c r="AN59" s="64"/>
      <c r="AO59" s="64"/>
      <c r="AP59" s="64"/>
      <c r="AQ59" s="65"/>
      <c r="CL59" s="83"/>
      <c r="CM59" s="83"/>
      <c r="CN59" s="83"/>
      <c r="CO59" s="83"/>
      <c r="CP59" s="83"/>
      <c r="CQ59" s="83"/>
      <c r="CR59" s="83"/>
      <c r="CS59" s="83"/>
      <c r="CT59" s="83"/>
    </row>
    <row r="60" spans="2:98" ht="15.75" thickBot="1" x14ac:dyDescent="0.3">
      <c r="B60" s="78"/>
      <c r="C60" s="71"/>
      <c r="D60" s="71"/>
      <c r="E60" s="71"/>
      <c r="F60" s="71"/>
      <c r="G60" s="71"/>
      <c r="H60" s="71"/>
      <c r="I60" s="71"/>
      <c r="J60" s="71"/>
      <c r="K60" s="71"/>
      <c r="L60" s="75"/>
      <c r="N60" s="103"/>
      <c r="O60" s="162">
        <f t="shared" si="128"/>
        <v>84</v>
      </c>
      <c r="P60" s="65">
        <v>15</v>
      </c>
      <c r="Q60" s="339"/>
      <c r="R60" s="206"/>
      <c r="S60" s="206"/>
      <c r="T60" s="206"/>
      <c r="U60" s="206"/>
      <c r="V60" s="206"/>
      <c r="W60" s="206"/>
      <c r="X60" s="206"/>
      <c r="Y60" s="206"/>
      <c r="Z60" s="206"/>
      <c r="AA60" s="206"/>
      <c r="AB60" s="206"/>
      <c r="AC60" s="206"/>
      <c r="AD60" s="206"/>
      <c r="AE60" s="206"/>
      <c r="AF60" s="206"/>
      <c r="AG60" s="206"/>
      <c r="AH60" s="206"/>
      <c r="AI60" s="206"/>
      <c r="AJ60" s="206"/>
      <c r="AK60" s="64"/>
      <c r="AL60" s="64"/>
      <c r="AM60" s="64"/>
      <c r="AN60" s="64"/>
      <c r="AO60" s="64"/>
      <c r="AP60" s="64"/>
      <c r="AQ60" s="97"/>
      <c r="BZ60" s="83"/>
      <c r="CA60" s="83"/>
      <c r="CJ60" s="83"/>
      <c r="CK60" s="83"/>
      <c r="CL60" s="83"/>
      <c r="CM60" s="83"/>
      <c r="CN60" s="83"/>
      <c r="CO60" s="83"/>
      <c r="CP60" s="83"/>
      <c r="CQ60" s="83"/>
      <c r="CR60" s="83"/>
      <c r="CS60" s="83"/>
      <c r="CT60" s="83"/>
    </row>
    <row r="61" spans="2:98" ht="15.75" thickBot="1" x14ac:dyDescent="0.3">
      <c r="B61" s="78"/>
      <c r="C61" s="71"/>
      <c r="D61" s="71"/>
      <c r="E61" s="71"/>
      <c r="F61" s="71"/>
      <c r="G61" s="71"/>
      <c r="H61" s="71"/>
      <c r="I61" s="71"/>
      <c r="J61" s="71"/>
      <c r="K61" s="71"/>
      <c r="L61" s="75"/>
      <c r="N61" s="103"/>
      <c r="O61" s="162">
        <f t="shared" si="128"/>
        <v>90</v>
      </c>
      <c r="P61" s="65">
        <v>16</v>
      </c>
      <c r="Q61" s="339"/>
      <c r="R61" s="206"/>
      <c r="S61" s="206"/>
      <c r="T61" s="206"/>
      <c r="U61" s="206"/>
      <c r="V61" s="206"/>
      <c r="W61" s="206"/>
      <c r="X61" s="206"/>
      <c r="Y61" s="206"/>
      <c r="Z61" s="206"/>
      <c r="AA61" s="206"/>
      <c r="AB61" s="206"/>
      <c r="AC61" s="206"/>
      <c r="AD61" s="206"/>
      <c r="AE61" s="206"/>
      <c r="AF61" s="206"/>
      <c r="AG61" s="206"/>
      <c r="AH61" s="206"/>
      <c r="AI61" s="206"/>
      <c r="AJ61" s="206"/>
      <c r="AK61" s="64"/>
      <c r="AL61" s="64"/>
      <c r="AM61" s="64"/>
      <c r="AN61" s="64"/>
      <c r="AO61" s="64"/>
      <c r="AP61" s="64"/>
      <c r="AQ61" s="97"/>
      <c r="BG61" s="83"/>
      <c r="BZ61" s="83"/>
      <c r="CA61" s="83"/>
      <c r="CJ61" s="83"/>
      <c r="CK61" s="83"/>
      <c r="CL61" s="83"/>
      <c r="CM61" s="83"/>
      <c r="CN61" s="83"/>
      <c r="CO61" s="83"/>
      <c r="CP61" s="83"/>
      <c r="CQ61" s="83"/>
      <c r="CR61" s="83"/>
      <c r="CS61" s="83"/>
      <c r="CT61" s="83"/>
    </row>
    <row r="62" spans="2:98" ht="15.75" thickBot="1" x14ac:dyDescent="0.3">
      <c r="B62" s="78"/>
      <c r="C62" s="71"/>
      <c r="D62" s="71"/>
      <c r="E62" s="71"/>
      <c r="F62" s="71"/>
      <c r="G62" s="71"/>
      <c r="H62" s="71"/>
      <c r="I62" s="71"/>
      <c r="J62" s="71"/>
      <c r="K62" s="71"/>
      <c r="L62" s="75"/>
      <c r="N62" s="103"/>
      <c r="O62" s="162">
        <f t="shared" si="128"/>
        <v>96</v>
      </c>
      <c r="P62" s="65">
        <v>17</v>
      </c>
      <c r="Q62" s="339"/>
      <c r="R62" s="206"/>
      <c r="S62" s="206"/>
      <c r="T62" s="206"/>
      <c r="U62" s="206"/>
      <c r="V62" s="206"/>
      <c r="W62" s="206"/>
      <c r="X62" s="206"/>
      <c r="Y62" s="206"/>
      <c r="Z62" s="206"/>
      <c r="AA62" s="206"/>
      <c r="AB62" s="206"/>
      <c r="AC62" s="206"/>
      <c r="AD62" s="206"/>
      <c r="AE62" s="206"/>
      <c r="AF62" s="206"/>
      <c r="AG62" s="206"/>
      <c r="AH62" s="206"/>
      <c r="AI62" s="206"/>
      <c r="AJ62" s="206"/>
      <c r="AK62" s="64"/>
      <c r="AL62" s="64"/>
      <c r="AM62" s="64"/>
      <c r="AN62" s="64"/>
      <c r="AO62" s="64"/>
      <c r="AP62" s="64"/>
      <c r="AQ62" s="97"/>
      <c r="BG62" s="83"/>
      <c r="BZ62" s="83"/>
      <c r="CA62" s="83"/>
      <c r="CJ62" s="83"/>
      <c r="CK62" s="83"/>
      <c r="CL62" s="83"/>
      <c r="CM62" s="83"/>
      <c r="CN62" s="83"/>
      <c r="CO62" s="83"/>
      <c r="CP62" s="83"/>
      <c r="CQ62" s="83"/>
      <c r="CR62" s="83"/>
      <c r="CS62" s="83"/>
      <c r="CT62" s="83"/>
    </row>
    <row r="63" spans="2:98" ht="21.75" thickBot="1" x14ac:dyDescent="0.4">
      <c r="B63" s="229" t="s">
        <v>80</v>
      </c>
      <c r="C63" s="71"/>
      <c r="D63" s="71"/>
      <c r="E63" s="71"/>
      <c r="F63" s="71"/>
      <c r="G63" s="71"/>
      <c r="H63" s="71"/>
      <c r="I63" s="71"/>
      <c r="J63" s="71"/>
      <c r="K63" s="71"/>
      <c r="L63" s="75"/>
      <c r="N63" s="103"/>
      <c r="O63" s="162">
        <f t="shared" si="128"/>
        <v>102</v>
      </c>
      <c r="P63" s="65">
        <v>18</v>
      </c>
      <c r="Q63" s="339"/>
      <c r="R63" s="206"/>
      <c r="S63" s="206"/>
      <c r="T63" s="206"/>
      <c r="U63" s="206"/>
      <c r="V63" s="206"/>
      <c r="W63" s="206"/>
      <c r="X63" s="206"/>
      <c r="Y63" s="206"/>
      <c r="Z63" s="206"/>
      <c r="AA63" s="206"/>
      <c r="AB63" s="206"/>
      <c r="AC63" s="206"/>
      <c r="AD63" s="206"/>
      <c r="AE63" s="206"/>
      <c r="AF63" s="206"/>
      <c r="AG63" s="206"/>
      <c r="AH63" s="206"/>
      <c r="AI63" s="206"/>
      <c r="AJ63" s="206"/>
      <c r="AK63" s="64"/>
      <c r="AL63" s="64"/>
      <c r="AM63" s="64"/>
      <c r="AN63" s="64"/>
      <c r="AO63" s="64"/>
      <c r="AP63" s="64"/>
      <c r="AQ63" s="97"/>
      <c r="BG63" s="83"/>
      <c r="BZ63" s="83"/>
      <c r="CA63" s="83"/>
      <c r="CJ63" s="83"/>
      <c r="CK63" s="83"/>
      <c r="CL63" s="83"/>
      <c r="CM63" s="83"/>
      <c r="CN63" s="83"/>
      <c r="CO63" s="83"/>
      <c r="CP63" s="83"/>
      <c r="CQ63" s="83"/>
      <c r="CR63" s="83"/>
      <c r="CS63" s="83"/>
      <c r="CT63" s="83"/>
    </row>
    <row r="64" spans="2:98" ht="19.5" thickBot="1" x14ac:dyDescent="0.35">
      <c r="B64" s="230" t="s">
        <v>46</v>
      </c>
      <c r="C64" s="71"/>
      <c r="D64" s="141" t="e">
        <f>F58*(D3*D4)/144</f>
        <v>#VALUE!</v>
      </c>
      <c r="E64" s="256" t="s">
        <v>45</v>
      </c>
      <c r="F64" s="71"/>
      <c r="G64" s="71"/>
      <c r="H64" s="71"/>
      <c r="I64" s="71"/>
      <c r="J64" s="71"/>
      <c r="K64" s="71"/>
      <c r="L64" s="75"/>
      <c r="N64" s="103"/>
      <c r="O64" s="162">
        <f t="shared" si="128"/>
        <v>108</v>
      </c>
      <c r="P64" s="65">
        <v>19</v>
      </c>
      <c r="Q64" s="339"/>
      <c r="R64" s="206"/>
      <c r="S64" s="206"/>
      <c r="T64" s="206"/>
      <c r="U64" s="206"/>
      <c r="V64" s="206"/>
      <c r="W64" s="206"/>
      <c r="X64" s="206"/>
      <c r="Y64" s="206"/>
      <c r="Z64" s="206"/>
      <c r="AA64" s="206"/>
      <c r="AB64" s="206"/>
      <c r="AC64" s="206"/>
      <c r="AD64" s="206"/>
      <c r="AE64" s="206"/>
      <c r="AF64" s="206"/>
      <c r="AG64" s="206"/>
      <c r="AH64" s="206"/>
      <c r="AI64" s="206"/>
      <c r="AJ64" s="206"/>
      <c r="AK64" s="64"/>
      <c r="AL64" s="64"/>
      <c r="AM64" s="64"/>
      <c r="AN64" s="64"/>
      <c r="AO64" s="64"/>
      <c r="AP64" s="64"/>
      <c r="AQ64" s="97"/>
      <c r="BG64" s="83"/>
      <c r="BZ64" s="83"/>
      <c r="CA64" s="83"/>
      <c r="CJ64" s="83"/>
      <c r="CK64" s="83"/>
      <c r="CL64" s="83"/>
      <c r="CM64" s="83"/>
      <c r="CN64" s="83"/>
      <c r="CO64" s="83"/>
      <c r="CP64" s="83"/>
      <c r="CQ64" s="83"/>
      <c r="CR64" s="83"/>
      <c r="CS64" s="83"/>
      <c r="CT64" s="83"/>
    </row>
    <row r="65" spans="2:98" ht="19.5" thickBot="1" x14ac:dyDescent="0.35">
      <c r="B65" s="230" t="s">
        <v>47</v>
      </c>
      <c r="C65" s="71"/>
      <c r="D65" s="142" t="e">
        <f>(D3*D4)/144</f>
        <v>#VALUE!</v>
      </c>
      <c r="E65" s="256" t="s">
        <v>45</v>
      </c>
      <c r="F65" s="71"/>
      <c r="G65" s="71"/>
      <c r="H65" s="71"/>
      <c r="I65" s="71"/>
      <c r="J65" s="71"/>
      <c r="K65" s="71"/>
      <c r="L65" s="75"/>
      <c r="N65" s="103"/>
      <c r="O65" s="162">
        <f t="shared" si="128"/>
        <v>114</v>
      </c>
      <c r="P65" s="65">
        <v>20</v>
      </c>
      <c r="Q65" s="339"/>
      <c r="R65" s="206"/>
      <c r="S65" s="206"/>
      <c r="T65" s="206"/>
      <c r="U65" s="206"/>
      <c r="V65" s="206"/>
      <c r="W65" s="206"/>
      <c r="X65" s="206"/>
      <c r="Y65" s="206"/>
      <c r="Z65" s="206"/>
      <c r="AA65" s="206"/>
      <c r="AB65" s="206"/>
      <c r="AC65" s="206"/>
      <c r="AD65" s="206"/>
      <c r="AE65" s="206"/>
      <c r="AF65" s="206"/>
      <c r="AG65" s="206"/>
      <c r="AH65" s="206"/>
      <c r="AI65" s="206"/>
      <c r="AJ65" s="206"/>
      <c r="AK65" s="64"/>
      <c r="AL65" s="64"/>
      <c r="AM65" s="64"/>
      <c r="AN65" s="64"/>
      <c r="AO65" s="64"/>
      <c r="AP65" s="64"/>
      <c r="AQ65" s="97"/>
      <c r="BG65" s="83"/>
      <c r="BZ65" s="83"/>
      <c r="CA65" s="83"/>
      <c r="CJ65" s="83"/>
      <c r="CK65" s="83"/>
      <c r="CL65" s="83"/>
      <c r="CM65" s="83"/>
      <c r="CN65" s="83"/>
      <c r="CO65" s="83"/>
      <c r="CP65" s="83"/>
      <c r="CQ65" s="83"/>
      <c r="CR65" s="83"/>
      <c r="CS65" s="83"/>
      <c r="CT65" s="83"/>
    </row>
    <row r="66" spans="2:98" ht="19.5" thickBot="1" x14ac:dyDescent="0.35">
      <c r="B66" s="230" t="s">
        <v>81</v>
      </c>
      <c r="C66" s="71"/>
      <c r="D66" s="138" t="e">
        <f>F58*100</f>
        <v>#VALUE!</v>
      </c>
      <c r="E66" s="256" t="s">
        <v>16</v>
      </c>
      <c r="F66" s="71"/>
      <c r="G66" s="71"/>
      <c r="H66" s="71"/>
      <c r="I66" s="71"/>
      <c r="J66" s="71"/>
      <c r="K66" s="71"/>
      <c r="L66" s="75"/>
      <c r="N66" s="103"/>
      <c r="O66" s="162">
        <f t="shared" si="128"/>
        <v>120</v>
      </c>
      <c r="P66" s="65">
        <v>21</v>
      </c>
      <c r="Q66" s="339"/>
      <c r="R66" s="206"/>
      <c r="S66" s="206"/>
      <c r="T66" s="206"/>
      <c r="U66" s="206"/>
      <c r="V66" s="206"/>
      <c r="W66" s="206"/>
      <c r="X66" s="206"/>
      <c r="Y66" s="206"/>
      <c r="Z66" s="206"/>
      <c r="AA66" s="206"/>
      <c r="AB66" s="206"/>
      <c r="AC66" s="206"/>
      <c r="AD66" s="206"/>
      <c r="AE66" s="206"/>
      <c r="AF66" s="206"/>
      <c r="AG66" s="206"/>
      <c r="AH66" s="206"/>
      <c r="AI66" s="206"/>
      <c r="AJ66" s="206"/>
      <c r="AK66" s="64"/>
      <c r="AL66" s="64"/>
      <c r="AM66" s="64"/>
      <c r="AN66" s="64"/>
      <c r="AO66" s="64"/>
      <c r="AP66" s="64"/>
      <c r="AQ66" s="97"/>
      <c r="BG66" s="83"/>
      <c r="BZ66" s="83"/>
      <c r="CA66" s="83"/>
      <c r="CJ66" s="83"/>
      <c r="CK66" s="83"/>
      <c r="CL66" s="83"/>
      <c r="CM66" s="83"/>
      <c r="CN66" s="83"/>
      <c r="CO66" s="83"/>
      <c r="CP66" s="83"/>
      <c r="CQ66" s="83"/>
      <c r="CR66" s="83"/>
      <c r="CS66" s="83"/>
      <c r="CT66" s="83"/>
    </row>
    <row r="67" spans="2:98" ht="19.5" thickBot="1" x14ac:dyDescent="0.35">
      <c r="B67" s="78"/>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2:98" ht="19.5" thickBot="1" x14ac:dyDescent="0.35">
      <c r="B68" s="231" t="s">
        <v>82</v>
      </c>
      <c r="D68" s="138"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2:98" ht="19.5" thickBot="1" x14ac:dyDescent="0.35">
      <c r="B69" s="232" t="s">
        <v>83</v>
      </c>
      <c r="C69" s="136" t="s">
        <v>9</v>
      </c>
      <c r="D69" s="143" t="e">
        <f>1.42222222222223E-07*D68^2 - 2.968003447179E-18*D68 + 9.78384040450919E-16</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98" ht="18.75" x14ac:dyDescent="0.3">
      <c r="B70" s="233"/>
      <c r="C70" s="136" t="s">
        <v>10</v>
      </c>
      <c r="D70" s="143" t="e">
        <f>1.30417777777779E-07*D68^2 - 2.927345865711E-18*D68 + 1.53696499971545E-15</f>
        <v>#VALUE!</v>
      </c>
      <c r="E70" s="256" t="s">
        <v>99</v>
      </c>
      <c r="F70" s="72"/>
      <c r="G70" s="72"/>
      <c r="H70" s="72"/>
      <c r="I70" s="72"/>
      <c r="J70" s="72"/>
      <c r="K70" s="72"/>
      <c r="L70" s="81"/>
    </row>
    <row r="71" spans="2:98" ht="15.75" thickBot="1" x14ac:dyDescent="0.3">
      <c r="B71" s="79"/>
      <c r="C71" s="76"/>
      <c r="D71" s="76"/>
      <c r="E71" s="76"/>
      <c r="F71" s="76"/>
      <c r="G71" s="76"/>
      <c r="H71" s="76"/>
      <c r="I71" s="76"/>
      <c r="J71" s="76"/>
      <c r="K71" s="76"/>
      <c r="L71" s="77"/>
    </row>
    <row r="72" spans="2:98"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2:98"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2:98" ht="15.75" thickBot="1" x14ac:dyDescent="0.3">
      <c r="N74" s="477"/>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row>
    <row r="75" spans="2:98" ht="15.75" thickBot="1" x14ac:dyDescent="0.3">
      <c r="N75" s="476"/>
      <c r="O75" s="47" t="s">
        <v>185</v>
      </c>
      <c r="P75" s="64">
        <v>2.81E-2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row>
    <row r="76" spans="2:98" ht="16.5" thickBot="1" x14ac:dyDescent="0.3">
      <c r="N76" s="477"/>
      <c r="O76" s="47" t="s">
        <v>195</v>
      </c>
      <c r="P76" s="64"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c r="AL76" s="313"/>
      <c r="AM76" s="313"/>
      <c r="AN76" s="485"/>
      <c r="AO76" s="313"/>
    </row>
    <row r="77" spans="2:98" ht="16.5" thickBot="1" x14ac:dyDescent="0.3">
      <c r="N77" s="48"/>
      <c r="O77" s="47"/>
      <c r="P77" s="47"/>
      <c r="Q77" s="47"/>
      <c r="R77" s="47"/>
      <c r="S77" s="47"/>
      <c r="T77" s="47"/>
      <c r="U77" s="47"/>
      <c r="V77" s="47"/>
      <c r="W77" s="278"/>
      <c r="Y77" s="48"/>
      <c r="Z77" s="47"/>
      <c r="AA77" s="47"/>
      <c r="AB77" s="47"/>
      <c r="AC77" s="47"/>
      <c r="AD77" s="47"/>
      <c r="AE77" s="47"/>
      <c r="AF77" s="47"/>
      <c r="AG77" s="47"/>
      <c r="AH77" s="47"/>
      <c r="AI77" s="47"/>
      <c r="AJ77" s="278"/>
      <c r="AK77" s="83"/>
      <c r="AL77" s="313"/>
      <c r="AM77" s="485"/>
      <c r="AN77" s="485"/>
      <c r="AO77" s="485"/>
    </row>
    <row r="78" spans="2:98" ht="16.5" thickBot="1" x14ac:dyDescent="0.3">
      <c r="N78" s="48"/>
      <c r="O78" s="492" t="s">
        <v>183</v>
      </c>
      <c r="P78" s="153" t="e">
        <f>P76*P75</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c r="AL78" s="486"/>
      <c r="AM78" s="485"/>
      <c r="AN78" s="487"/>
      <c r="AO78" s="485"/>
    </row>
    <row r="79" spans="2:98" ht="15.75"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c r="AL79" s="313"/>
      <c r="AM79" s="485"/>
      <c r="AN79" s="485"/>
      <c r="AO79" s="485"/>
    </row>
    <row r="80" spans="2:98" x14ac:dyDescent="0.25">
      <c r="N80" s="48"/>
      <c r="O80" s="480"/>
      <c r="P80" s="47"/>
      <c r="Q80" s="47"/>
      <c r="R80" s="47"/>
      <c r="S80" s="47"/>
      <c r="T80" s="47"/>
      <c r="U80" s="47"/>
      <c r="V80" s="47"/>
      <c r="W80" s="278"/>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Y82" s="48"/>
      <c r="Z82" s="47"/>
      <c r="AA82" s="47"/>
      <c r="AB82" s="47"/>
      <c r="AC82" s="47"/>
      <c r="AD82" s="47"/>
      <c r="AE82" s="47"/>
      <c r="AF82" s="47"/>
      <c r="AG82" s="47"/>
      <c r="AH82" s="47"/>
      <c r="AI82" s="47"/>
      <c r="AJ82" s="278"/>
    </row>
    <row r="83" spans="14:43" ht="15.75" thickBot="1" x14ac:dyDescent="0.3">
      <c r="N83" s="48"/>
      <c r="O83" s="47" t="s">
        <v>197</v>
      </c>
      <c r="P83" s="64" t="e">
        <f>(D3*D4)</f>
        <v>#VALUE!</v>
      </c>
      <c r="Q83" s="47" t="s">
        <v>198</v>
      </c>
      <c r="R83" s="64"/>
      <c r="S83" s="47"/>
      <c r="T83" s="47"/>
      <c r="U83" s="47"/>
      <c r="V83" s="47"/>
      <c r="W83" s="278"/>
      <c r="Y83" s="48"/>
      <c r="Z83" s="47"/>
      <c r="AA83" s="47"/>
      <c r="AB83" s="47"/>
      <c r="AC83" s="47"/>
      <c r="AD83" s="47"/>
      <c r="AE83" s="47"/>
      <c r="AF83" s="47"/>
      <c r="AG83" s="47"/>
      <c r="AH83" s="47"/>
      <c r="AI83" s="47"/>
      <c r="AJ83" s="278"/>
    </row>
    <row r="84" spans="14:43"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c r="AQ88" s="83"/>
    </row>
    <row r="89" spans="14:43" x14ac:dyDescent="0.25">
      <c r="O89" s="481"/>
      <c r="P89" s="482"/>
      <c r="AC89" s="175"/>
      <c r="AD89" s="175"/>
      <c r="AE89" s="175"/>
      <c r="AF89" s="175"/>
      <c r="AG89" s="175"/>
      <c r="AH89" s="175"/>
      <c r="AI89" s="175"/>
      <c r="AJ89" s="175"/>
      <c r="AK89" s="175"/>
      <c r="AQ89" s="83"/>
    </row>
    <row r="90" spans="14:43" x14ac:dyDescent="0.25">
      <c r="O90" s="481"/>
      <c r="P90" s="482"/>
      <c r="AC90" s="175"/>
      <c r="AD90" s="175"/>
      <c r="AE90" s="175"/>
      <c r="AF90" s="175"/>
      <c r="AG90" s="175"/>
      <c r="AH90" s="175"/>
      <c r="AI90" s="175"/>
      <c r="AJ90" s="175"/>
      <c r="AK90" s="175"/>
      <c r="AQ90" s="83"/>
    </row>
    <row r="91" spans="14:43" x14ac:dyDescent="0.25">
      <c r="O91" s="481"/>
      <c r="P91" s="482"/>
      <c r="AC91" s="175"/>
      <c r="AD91" s="175"/>
      <c r="AE91" s="175"/>
      <c r="AF91" s="175"/>
      <c r="AG91" s="175"/>
      <c r="AH91" s="175"/>
      <c r="AI91" s="175"/>
      <c r="AJ91" s="175"/>
      <c r="AK91" s="175"/>
      <c r="AQ91" s="83"/>
    </row>
    <row r="92" spans="14:43" x14ac:dyDescent="0.25">
      <c r="O92" s="481"/>
      <c r="P92" s="482"/>
      <c r="AC92" s="175"/>
      <c r="AD92" s="175"/>
      <c r="AE92" s="175"/>
      <c r="AF92" s="175"/>
      <c r="AG92" s="175"/>
      <c r="AH92" s="175"/>
      <c r="AI92" s="175"/>
      <c r="AJ92" s="175"/>
      <c r="AK92" s="175"/>
      <c r="AQ92" s="83"/>
    </row>
    <row r="93" spans="14:43" ht="18.75" customHeight="1" x14ac:dyDescent="0.25">
      <c r="O93" s="481"/>
      <c r="P93" s="482"/>
      <c r="AC93" s="175"/>
      <c r="AD93" s="175"/>
      <c r="AE93" s="175"/>
      <c r="AF93" s="175"/>
      <c r="AG93" s="175"/>
      <c r="AH93" s="175"/>
      <c r="AI93" s="175"/>
      <c r="AJ93" s="175"/>
      <c r="AK93" s="175"/>
      <c r="AQ93" s="83"/>
    </row>
    <row r="94" spans="14:43" ht="18.75" customHeight="1" x14ac:dyDescent="0.25">
      <c r="O94" s="481"/>
      <c r="P94" s="482"/>
      <c r="AC94" s="175"/>
      <c r="AD94" s="175"/>
      <c r="AE94" s="175"/>
      <c r="AF94" s="175"/>
      <c r="AG94" s="175"/>
      <c r="AH94" s="175"/>
      <c r="AI94" s="175"/>
      <c r="AJ94" s="175"/>
      <c r="AK94" s="175"/>
      <c r="AQ94" s="83"/>
    </row>
    <row r="95" spans="14:43" x14ac:dyDescent="0.25">
      <c r="P95" s="482"/>
    </row>
    <row r="100" spans="14:41" ht="21" x14ac:dyDescent="0.35">
      <c r="N100" s="74"/>
    </row>
    <row r="101" spans="14:41" x14ac:dyDescent="0.25">
      <c r="N101" s="902"/>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902"/>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3" x14ac:dyDescent="0.25">
      <c r="C146" s="179"/>
    </row>
    <row r="147" spans="3:3" x14ac:dyDescent="0.25">
      <c r="C147" s="179"/>
    </row>
    <row r="278" spans="24:25" x14ac:dyDescent="0.25">
      <c r="X278" s="146"/>
      <c r="Y278" s="145"/>
    </row>
  </sheetData>
  <sheetProtection selectLockedCells="1" selectUnlockedCells="1"/>
  <mergeCells count="6">
    <mergeCell ref="N101:N102"/>
    <mergeCell ref="D16:W16"/>
    <mergeCell ref="AT16:IX16"/>
    <mergeCell ref="AU18:AV20"/>
    <mergeCell ref="BH18:IG19"/>
    <mergeCell ref="IQ19:IW19"/>
  </mergeCells>
  <conditionalFormatting sqref="Q47:AB58">
    <cfRule type="colorScale" priority="4">
      <colorScale>
        <cfvo type="min"/>
        <cfvo type="percentile" val="50"/>
        <cfvo type="max"/>
        <color rgb="FF63BE7B"/>
        <color rgb="FFFFEB84"/>
        <color rgb="FFF8696B"/>
      </colorScale>
    </cfRule>
  </conditionalFormatting>
  <conditionalFormatting sqref="Q89:AJ94 X75:X88">
    <cfRule type="colorScale" priority="3">
      <colorScale>
        <cfvo type="min"/>
        <cfvo type="percentile" val="50"/>
        <cfvo type="max"/>
        <color rgb="FF63BE7B"/>
        <color rgb="FFFFEB84"/>
        <color rgb="FFF8696B"/>
      </colorScale>
    </cfRule>
  </conditionalFormatting>
  <conditionalFormatting sqref="Q103:AJ122">
    <cfRule type="colorScale" priority="2">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X278"/>
  <sheetViews>
    <sheetView zoomScale="60" zoomScaleNormal="60" workbookViewId="0">
      <selection activeCell="D28" sqref="D28"/>
    </sheetView>
  </sheetViews>
  <sheetFormatPr defaultRowHeight="15" x14ac:dyDescent="0.25"/>
  <cols>
    <col min="1" max="1" width="12.85546875" customWidth="1"/>
    <col min="2" max="2" width="20.5703125" customWidth="1"/>
    <col min="3" max="3" width="19.7109375" customWidth="1"/>
    <col min="4" max="4" width="14.5703125" customWidth="1"/>
    <col min="5" max="5" width="19.28515625" customWidth="1"/>
    <col min="6" max="13" width="15" customWidth="1"/>
    <col min="14" max="14" width="18" customWidth="1"/>
    <col min="15" max="15" width="15" customWidth="1"/>
    <col min="16" max="16" width="13.42578125" customWidth="1"/>
    <col min="17" max="17" width="9.85546875" customWidth="1"/>
    <col min="18" max="18" width="10" customWidth="1"/>
    <col min="19" max="19" width="13.42578125" customWidth="1"/>
    <col min="20" max="20" width="10.28515625" customWidth="1"/>
    <col min="21" max="21" width="15.140625" customWidth="1"/>
    <col min="22" max="22" width="9.140625" customWidth="1"/>
    <col min="23" max="23" width="12.42578125" customWidth="1"/>
    <col min="24" max="24" width="17.28515625" customWidth="1"/>
    <col min="25" max="25" width="16.42578125" customWidth="1"/>
    <col min="26" max="26" width="11.7109375" customWidth="1"/>
    <col min="28" max="31" width="9.140625" customWidth="1"/>
    <col min="32" max="32" width="9.85546875" customWidth="1"/>
    <col min="33" max="35" width="9.140625" customWidth="1"/>
    <col min="38" max="38" width="9.140625" customWidth="1"/>
    <col min="39" max="39" width="14.28515625" customWidth="1"/>
    <col min="40"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7" width="0" hidden="1" customWidth="1"/>
    <col min="108" max="109" width="9.140625" hidden="1" customWidth="1"/>
    <col min="110" max="111" width="9.140625" customWidth="1"/>
    <col min="112" max="115" width="9.140625" hidden="1" customWidth="1"/>
    <col min="116" max="116" width="0" hidden="1" customWidth="1"/>
    <col min="117" max="117" width="12.140625"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59" width="9.140625" hidden="1" customWidth="1"/>
    <col min="160" max="161" width="9.140625" customWidth="1"/>
    <col min="162"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5" width="9.140625" hidden="1" customWidth="1"/>
    <col min="196" max="197" width="0" hidden="1" customWidth="1"/>
    <col min="198"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35.42578125" hidden="1" customWidth="1"/>
    <col min="211" max="211" width="26.140625" hidden="1" customWidth="1"/>
    <col min="212" max="212" width="22.5703125" hidden="1" customWidth="1"/>
    <col min="213" max="213" width="28" hidden="1" customWidth="1"/>
    <col min="214" max="216" width="0" hidden="1" customWidth="1"/>
    <col min="217" max="217" width="20.28515625" hidden="1" customWidth="1"/>
    <col min="218" max="218" width="36" hidden="1" customWidth="1"/>
    <col min="219" max="219" width="35.42578125" hidden="1" customWidth="1"/>
    <col min="220" max="220" width="33.42578125" hidden="1" customWidth="1"/>
    <col min="221" max="221" width="30.85546875" hidden="1" customWidth="1"/>
    <col min="222" max="224" width="0" hidden="1" customWidth="1"/>
    <col min="225" max="225" width="18.28515625" hidden="1" customWidth="1"/>
    <col min="226" max="249" width="0" hidden="1" customWidth="1"/>
  </cols>
  <sheetData>
    <row r="1" spans="2:258" ht="21.75" thickBot="1" x14ac:dyDescent="0.4">
      <c r="B1" s="315" t="s">
        <v>39</v>
      </c>
      <c r="C1" s="381" t="s">
        <v>60</v>
      </c>
      <c r="D1" s="387"/>
      <c r="E1" s="387"/>
      <c r="F1" s="388"/>
    </row>
    <row r="2" spans="2:258" ht="21" x14ac:dyDescent="0.35">
      <c r="B2" s="382" t="s">
        <v>40</v>
      </c>
      <c r="C2" s="314"/>
      <c r="D2" s="314" t="s">
        <v>73</v>
      </c>
      <c r="E2" s="314"/>
      <c r="F2" s="331"/>
      <c r="H2" s="403" t="s">
        <v>277</v>
      </c>
      <c r="I2" s="387"/>
      <c r="J2" s="388"/>
      <c r="N2" s="315" t="s">
        <v>64</v>
      </c>
      <c r="O2" s="316"/>
      <c r="P2" s="316"/>
      <c r="Q2" s="316"/>
      <c r="R2" s="316"/>
      <c r="S2" s="316"/>
      <c r="T2" s="316"/>
      <c r="U2" s="316"/>
      <c r="V2" s="316"/>
      <c r="W2" s="324"/>
    </row>
    <row r="3" spans="2:258" ht="18.75" x14ac:dyDescent="0.3">
      <c r="B3" s="382" t="s">
        <v>41</v>
      </c>
      <c r="C3" s="314" t="str">
        <f>IF('DATA ENTRY'!B9="mm",'DATA ENTRY'!B10/25.4,'DATA ENTRY'!B10)</f>
        <v>ENTER WIDTH</v>
      </c>
      <c r="D3" s="287" t="e">
        <f>IF('DATA ENTRY'!B12="ACTUAL",'RSE5'!C3,'RSE5'!C3-0.5)</f>
        <v>#VALUE!</v>
      </c>
      <c r="E3" s="314"/>
      <c r="F3" s="331"/>
      <c r="H3" s="330" t="s">
        <v>278</v>
      </c>
      <c r="J3" s="331" t="e">
        <f>D3*D4/144</f>
        <v>#VALUE!</v>
      </c>
      <c r="N3" s="48"/>
      <c r="O3" s="47"/>
      <c r="P3" s="47"/>
      <c r="Q3" s="47"/>
      <c r="R3" s="47"/>
      <c r="S3" s="47"/>
      <c r="T3" s="47"/>
      <c r="U3" s="47"/>
      <c r="V3" s="47"/>
      <c r="W3" s="278"/>
    </row>
    <row r="4" spans="2:258" ht="18.75" x14ac:dyDescent="0.3">
      <c r="B4" s="382" t="s">
        <v>42</v>
      </c>
      <c r="C4" s="314" t="str">
        <f>IF('DATA ENTRY'!B9="mm",'DATA ENTRY'!B11/25.4,'DATA ENTRY'!B11)</f>
        <v>ENTER HEIGHT</v>
      </c>
      <c r="D4" s="287" t="e">
        <f>IF('DATA ENTRY'!B12="ACTUAL",'RSE5'!C4,'RSE5'!C4-0.5)</f>
        <v>#VALUE!</v>
      </c>
      <c r="E4" s="314"/>
      <c r="F4" s="331"/>
      <c r="H4" s="330" t="s">
        <v>279</v>
      </c>
      <c r="I4" s="314"/>
      <c r="J4" s="331" t="e">
        <f>C5/J3</f>
        <v>#VALUE!</v>
      </c>
      <c r="N4" s="48"/>
      <c r="O4" s="47" t="str">
        <f>C1&amp;"_MODEL"</f>
        <v>RSE5_MODEL</v>
      </c>
      <c r="P4" s="47" t="s">
        <v>136</v>
      </c>
      <c r="Q4" s="47"/>
      <c r="R4" s="47"/>
      <c r="S4" s="47"/>
      <c r="T4" s="47"/>
      <c r="U4" s="47"/>
      <c r="V4" s="287" t="s">
        <v>116</v>
      </c>
      <c r="W4" s="278"/>
    </row>
    <row r="5" spans="2:258" ht="18.75" x14ac:dyDescent="0.3">
      <c r="B5" s="382" t="s">
        <v>43</v>
      </c>
      <c r="C5" s="509" t="str">
        <f>IF('DATA ENTRY'!B9="mm",'DATA ENTRY'!B13*2.1188799727597,'DATA ENTRY'!B13)</f>
        <v>ENTER AIR VOLUME</v>
      </c>
      <c r="D5" s="314"/>
      <c r="E5" s="314"/>
      <c r="F5" s="331"/>
      <c r="H5" s="330"/>
      <c r="I5" s="314"/>
      <c r="J5" s="331"/>
      <c r="N5" s="48" t="s">
        <v>93</v>
      </c>
      <c r="O5" s="47" t="str">
        <f>C1&amp;"_FA"</f>
        <v>RSE5_FA</v>
      </c>
      <c r="P5" s="325" t="e">
        <f>D64</f>
        <v>#VALUE!</v>
      </c>
      <c r="Q5" s="47" t="s">
        <v>45</v>
      </c>
      <c r="R5" s="47"/>
      <c r="S5" s="47"/>
      <c r="T5" s="47"/>
      <c r="U5" s="47"/>
      <c r="V5" s="47" t="str">
        <f>C1&amp;"_W"</f>
        <v>RSE5_W</v>
      </c>
      <c r="W5" s="341" t="e">
        <f>D3</f>
        <v>#VALUE!</v>
      </c>
    </row>
    <row r="6" spans="2:258" ht="18.75" x14ac:dyDescent="0.3">
      <c r="B6" s="382" t="s">
        <v>44</v>
      </c>
      <c r="C6" s="383" t="str">
        <f>'DATA ENTRY'!B14</f>
        <v>SELECT AIR DIRECTION</v>
      </c>
      <c r="D6" s="314"/>
      <c r="E6" s="314"/>
      <c r="F6" s="331"/>
      <c r="H6" s="330"/>
      <c r="I6" s="314"/>
      <c r="J6" s="331"/>
      <c r="N6" s="48" t="s">
        <v>70</v>
      </c>
      <c r="O6" s="47" t="str">
        <f>C1&amp;"_FA%"</f>
        <v>RSE5_FA%</v>
      </c>
      <c r="P6" s="326" t="e">
        <f>D66</f>
        <v>#VALUE!</v>
      </c>
      <c r="Q6" s="47" t="s">
        <v>16</v>
      </c>
      <c r="R6" s="47"/>
      <c r="S6" s="47"/>
      <c r="T6" s="47"/>
      <c r="U6" s="47"/>
      <c r="V6" s="47" t="str">
        <f>C1&amp;"_H"</f>
        <v>RSE5_H</v>
      </c>
      <c r="W6" s="341" t="e">
        <f>D4</f>
        <v>#VALUE!</v>
      </c>
    </row>
    <row r="7" spans="2:258" ht="19.5" thickBot="1" x14ac:dyDescent="0.35">
      <c r="B7" s="330"/>
      <c r="C7" s="314"/>
      <c r="D7" s="314"/>
      <c r="E7" s="314"/>
      <c r="F7" s="331"/>
      <c r="H7" s="543"/>
      <c r="I7" s="544"/>
      <c r="J7" s="545"/>
      <c r="N7" s="48" t="s">
        <v>96</v>
      </c>
      <c r="O7" s="47" t="str">
        <f>C1&amp;"_VEL"</f>
        <v>RSE5_VEL</v>
      </c>
      <c r="P7" s="326" t="e">
        <f>D68</f>
        <v>#VALUE!</v>
      </c>
      <c r="Q7" s="47" t="s">
        <v>0</v>
      </c>
      <c r="R7" s="47"/>
      <c r="S7" s="47"/>
      <c r="T7" s="47"/>
      <c r="U7" s="47"/>
      <c r="V7" s="47" t="str">
        <f>C1&amp;"_SW"</f>
        <v>RSE5_SW</v>
      </c>
      <c r="W7" s="341" t="e">
        <f>C8</f>
        <v>#VALUE!</v>
      </c>
    </row>
    <row r="8" spans="2:258" ht="18.75" x14ac:dyDescent="0.3">
      <c r="B8" s="382" t="s">
        <v>74</v>
      </c>
      <c r="C8" s="314" t="e">
        <f>CEILING(D3/72,1)</f>
        <v>#VALUE!</v>
      </c>
      <c r="D8" s="314"/>
      <c r="E8" s="314" t="s">
        <v>75</v>
      </c>
      <c r="F8" s="331" t="e">
        <f>CEILING(D4/120,1)</f>
        <v>#VALUE!</v>
      </c>
      <c r="N8" s="48" t="s">
        <v>94</v>
      </c>
      <c r="O8" s="47" t="str">
        <f>C1&amp;"_Intake"</f>
        <v>RSE5_Intake</v>
      </c>
      <c r="P8" s="327" t="e">
        <f>D69</f>
        <v>#VALUE!</v>
      </c>
      <c r="Q8" s="47" t="s">
        <v>99</v>
      </c>
      <c r="R8" s="47"/>
      <c r="S8" s="47"/>
      <c r="T8" s="47"/>
      <c r="U8" s="47"/>
      <c r="V8" s="47" t="str">
        <f>C1&amp;"_SH"</f>
        <v>RSE5_SH</v>
      </c>
      <c r="W8" s="341" t="e">
        <f>F8</f>
        <v>#VALUE!</v>
      </c>
    </row>
    <row r="9" spans="2:258" ht="18.75" x14ac:dyDescent="0.3">
      <c r="B9" s="382" t="s">
        <v>72</v>
      </c>
      <c r="C9" s="314" t="e">
        <f>D3/C8</f>
        <v>#VALUE!</v>
      </c>
      <c r="D9" s="314"/>
      <c r="E9" s="314" t="s">
        <v>63</v>
      </c>
      <c r="F9" s="331" t="e">
        <f>D4/F8</f>
        <v>#VALUE!</v>
      </c>
      <c r="N9" s="48" t="s">
        <v>95</v>
      </c>
      <c r="O9" s="47" t="str">
        <f>C1&amp;"_Exhaust"</f>
        <v>RSE5_Exhaust</v>
      </c>
      <c r="P9" s="327" t="e">
        <f>D70</f>
        <v>#VALUE!</v>
      </c>
      <c r="Q9" s="47" t="s">
        <v>99</v>
      </c>
      <c r="R9" s="47"/>
      <c r="S9" s="47"/>
      <c r="T9" s="47"/>
      <c r="U9" s="47"/>
      <c r="V9" s="47"/>
      <c r="W9" s="278"/>
    </row>
    <row r="10" spans="2:258" ht="18.75" x14ac:dyDescent="0.3">
      <c r="B10" s="330"/>
      <c r="C10" s="314"/>
      <c r="D10" s="314"/>
      <c r="E10" s="314"/>
      <c r="F10" s="331"/>
      <c r="N10" s="48" t="s">
        <v>100</v>
      </c>
      <c r="O10" s="47" t="str">
        <f>C1&amp;"_SEC"</f>
        <v>RSE5_SEC</v>
      </c>
      <c r="P10" s="47" t="e">
        <f>C11</f>
        <v>#VALUE!</v>
      </c>
      <c r="Q10" s="47"/>
      <c r="R10" s="47"/>
      <c r="S10" s="47"/>
      <c r="T10" s="47"/>
      <c r="U10" s="47"/>
      <c r="V10" s="47"/>
      <c r="W10" s="278"/>
    </row>
    <row r="11" spans="2:258" ht="18.75" x14ac:dyDescent="0.3">
      <c r="B11" s="382" t="s">
        <v>76</v>
      </c>
      <c r="C11" s="314" t="e">
        <f>C8*F8</f>
        <v>#VALUE!</v>
      </c>
      <c r="D11" s="314"/>
      <c r="E11" s="383" t="s">
        <v>164</v>
      </c>
      <c r="F11" s="384">
        <v>8</v>
      </c>
      <c r="N11" s="48" t="s">
        <v>97</v>
      </c>
      <c r="O11" s="47" t="str">
        <f>C1&amp;"_SECW"</f>
        <v>RSE5_SECW</v>
      </c>
      <c r="P11" s="471" t="e">
        <f>AB79</f>
        <v>#VALUE!</v>
      </c>
      <c r="Q11" s="47" t="s">
        <v>86</v>
      </c>
      <c r="R11" s="47"/>
      <c r="S11" s="47"/>
      <c r="T11" s="47"/>
      <c r="U11" s="47"/>
      <c r="V11" s="47"/>
      <c r="W11" s="278"/>
    </row>
    <row r="12" spans="2:258" ht="18.75" x14ac:dyDescent="0.3">
      <c r="B12" s="330"/>
      <c r="C12" s="314"/>
      <c r="D12" s="314"/>
      <c r="E12" s="383" t="s">
        <v>165</v>
      </c>
      <c r="F12" s="384">
        <v>14</v>
      </c>
      <c r="N12" s="280" t="s">
        <v>98</v>
      </c>
      <c r="O12" s="282" t="str">
        <f>C1&amp;"_TW"</f>
        <v>RSE5_TW</v>
      </c>
      <c r="P12" s="364" t="e">
        <f>AB78</f>
        <v>#VALUE!</v>
      </c>
      <c r="Q12" s="282" t="s">
        <v>86</v>
      </c>
      <c r="R12" s="47"/>
      <c r="S12" s="47"/>
      <c r="T12" s="47"/>
      <c r="U12" s="47"/>
      <c r="V12" s="47"/>
      <c r="W12" s="278"/>
    </row>
    <row r="13" spans="2:258" ht="18.75" x14ac:dyDescent="0.3">
      <c r="B13" s="330"/>
      <c r="C13" s="314"/>
      <c r="D13" s="314"/>
      <c r="E13" s="383"/>
      <c r="F13" s="384"/>
      <c r="N13" s="280" t="s">
        <v>280</v>
      </c>
      <c r="O13" s="282" t="str">
        <f>$C$1&amp;"_FACEAREA"</f>
        <v>RSE5_FACEAREA</v>
      </c>
      <c r="P13" s="364" t="e">
        <f>J3</f>
        <v>#VALUE!</v>
      </c>
      <c r="Q13" s="282" t="s">
        <v>45</v>
      </c>
      <c r="R13" s="47"/>
      <c r="S13" s="47"/>
      <c r="T13" s="47"/>
      <c r="U13" s="47"/>
      <c r="V13" s="47"/>
      <c r="W13" s="278"/>
    </row>
    <row r="14" spans="2:258" ht="19.5" thickBot="1" x14ac:dyDescent="0.35">
      <c r="B14" s="330"/>
      <c r="C14" s="314"/>
      <c r="D14" s="314"/>
      <c r="E14" s="383"/>
      <c r="F14" s="384"/>
      <c r="N14" s="281" t="s">
        <v>277</v>
      </c>
      <c r="O14" s="395" t="str">
        <f>$C$1&amp;"_FACEVEL"</f>
        <v>RSE5_FACEVEL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4"/>
      <c r="W16" s="885"/>
      <c r="X16" s="94"/>
      <c r="Y16" s="95"/>
      <c r="AT16" s="886" t="s">
        <v>125</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thickBot="1" x14ac:dyDescent="0.3">
      <c r="B17" s="66"/>
      <c r="C17" s="68"/>
      <c r="D17" s="68">
        <f>F11</f>
        <v>8</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307">
        <v>1</v>
      </c>
      <c r="D18" s="347">
        <v>2</v>
      </c>
      <c r="E18" s="347">
        <v>3</v>
      </c>
      <c r="F18" s="347">
        <v>4</v>
      </c>
      <c r="G18" s="347">
        <v>5</v>
      </c>
      <c r="H18" s="347">
        <v>6</v>
      </c>
      <c r="I18" s="347">
        <v>7</v>
      </c>
      <c r="J18" s="347">
        <v>8</v>
      </c>
      <c r="K18" s="347">
        <v>9</v>
      </c>
      <c r="L18" s="347">
        <v>10</v>
      </c>
      <c r="M18" s="347">
        <v>11</v>
      </c>
      <c r="N18" s="347">
        <v>12</v>
      </c>
      <c r="O18" s="347">
        <v>13</v>
      </c>
      <c r="P18" s="345">
        <v>14</v>
      </c>
      <c r="Q18" s="345">
        <v>15</v>
      </c>
      <c r="R18" s="345">
        <v>16</v>
      </c>
      <c r="S18" s="345">
        <v>17</v>
      </c>
      <c r="T18" s="345">
        <v>18</v>
      </c>
      <c r="U18" s="345">
        <v>19</v>
      </c>
      <c r="V18" s="345">
        <v>20</v>
      </c>
      <c r="W18" s="346">
        <v>21</v>
      </c>
      <c r="X18" s="64"/>
      <c r="Y18" s="65"/>
      <c r="AT18" s="4"/>
      <c r="AU18" s="889" t="s">
        <v>17</v>
      </c>
      <c r="AV18" s="890"/>
      <c r="AW18" s="209"/>
      <c r="AX18" s="209"/>
      <c r="AY18" s="209"/>
      <c r="AZ18" s="209"/>
      <c r="BA18" s="209"/>
      <c r="BB18" s="209"/>
      <c r="BC18" s="209"/>
      <c r="BD18" s="209"/>
      <c r="BE18" s="209"/>
      <c r="BF18" s="209"/>
      <c r="BG18" s="209"/>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c r="C19" s="348">
        <v>2</v>
      </c>
      <c r="D19" s="237"/>
      <c r="E19" s="237"/>
      <c r="F19" s="237"/>
      <c r="G19" s="237"/>
      <c r="H19" s="237"/>
      <c r="I19" s="237"/>
      <c r="J19" s="237"/>
      <c r="K19" s="237"/>
      <c r="L19" s="237"/>
      <c r="M19" s="237"/>
      <c r="N19" s="237"/>
      <c r="O19" s="237"/>
      <c r="P19" s="237"/>
      <c r="Q19" s="237"/>
      <c r="R19" s="237"/>
      <c r="S19" s="237"/>
      <c r="T19" s="237"/>
      <c r="U19" s="237"/>
      <c r="V19" s="237"/>
      <c r="W19" s="237"/>
      <c r="X19" s="96"/>
      <c r="Y19" s="97"/>
      <c r="Z19" s="83"/>
      <c r="AA19" s="83"/>
      <c r="AT19" s="4"/>
      <c r="AU19" s="891"/>
      <c r="AV19" s="892"/>
      <c r="AW19" s="210"/>
      <c r="AX19" s="210"/>
      <c r="AY19" s="210"/>
      <c r="AZ19" s="210"/>
      <c r="BA19" s="210"/>
      <c r="BB19" s="210"/>
      <c r="BC19" s="210"/>
      <c r="BD19" s="210"/>
      <c r="BE19" s="210"/>
      <c r="BF19" s="210"/>
      <c r="BG19" s="210"/>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f>F12</f>
        <v>14</v>
      </c>
      <c r="C20" s="227">
        <v>3</v>
      </c>
      <c r="D20" s="99">
        <f t="shared" ref="D20:D38" si="1">AX23/((D$17*B20)/144)</f>
        <v>0.22366071428571427</v>
      </c>
      <c r="E20" s="100">
        <f t="shared" ref="E20:E38" si="2">BH23/((E$17*B20)/144)</f>
        <v>0.2683928571428571</v>
      </c>
      <c r="F20" s="100">
        <f t="shared" ref="F20:F38" si="3">BR23/((F$17*$B20)/144)</f>
        <v>0.29821428571428571</v>
      </c>
      <c r="G20" s="100">
        <f t="shared" ref="G20:G38" si="4">CB23/((G$17*$B20)/144)</f>
        <v>0.31312499999999999</v>
      </c>
      <c r="H20" s="100">
        <f t="shared" ref="H20:H38" si="5">CL23/((H$17*$B20)/144)</f>
        <v>0.32207142857142851</v>
      </c>
      <c r="I20" s="100">
        <f t="shared" ref="I20:I38" si="6">CV23/((I$17*$B20)/144)</f>
        <v>0.32803571428571426</v>
      </c>
      <c r="J20" s="100">
        <f t="shared" ref="J20:J38" si="7">DF23/((J$17*$B20)/144)</f>
        <v>0.3322959183673469</v>
      </c>
      <c r="K20" s="100">
        <f t="shared" ref="K20:K38" si="8">DP23/((K$17*$B20)/144)</f>
        <v>0.33549107142857137</v>
      </c>
      <c r="L20" s="100">
        <f t="shared" ref="L20:L38" si="9">DZ23/((L$17*$B20)/144)</f>
        <v>0.33134920634920634</v>
      </c>
      <c r="M20" s="100">
        <f t="shared" ref="M20:M38" si="10">EJ23/((M$17*$B20)/144)</f>
        <v>0.33400000000000002</v>
      </c>
      <c r="N20" s="100">
        <f t="shared" ref="N20:N38" si="11">ET23/((N$17*$B20)/144)</f>
        <v>0.33616883116883117</v>
      </c>
      <c r="O20" s="100">
        <f t="shared" ref="O20:O38" si="12">FD23/((O$17*$B20)/144)</f>
        <v>0.33735491071428569</v>
      </c>
      <c r="P20" s="237"/>
      <c r="Q20" s="237"/>
      <c r="R20" s="237"/>
      <c r="S20" s="237"/>
      <c r="T20" s="237"/>
      <c r="U20" s="237"/>
      <c r="V20" s="237"/>
      <c r="W20" s="237"/>
      <c r="X20" s="96"/>
      <c r="Y20" s="65"/>
      <c r="AA20" s="83"/>
      <c r="AT20" s="4"/>
      <c r="AU20" s="893"/>
      <c r="AV20" s="894"/>
      <c r="AW20" s="10"/>
      <c r="AX20" s="10">
        <v>8</v>
      </c>
      <c r="AY20" s="12" t="str">
        <f>"("&amp;ROUND(AX20*25.4/50,0)*50&amp;")"</f>
        <v>(200)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v>18</v>
      </c>
      <c r="C21" s="221">
        <v>4</v>
      </c>
      <c r="D21" s="98">
        <f t="shared" si="1"/>
        <v>0.2306597222222222</v>
      </c>
      <c r="E21" s="96">
        <f t="shared" si="2"/>
        <v>0.2767916666666666</v>
      </c>
      <c r="F21" s="96">
        <f t="shared" si="3"/>
        <v>0.30754629629629626</v>
      </c>
      <c r="G21" s="96">
        <f t="shared" si="4"/>
        <v>0.32292361111111106</v>
      </c>
      <c r="H21" s="96">
        <f t="shared" si="5"/>
        <v>0.33214999999999989</v>
      </c>
      <c r="I21" s="96">
        <f t="shared" si="6"/>
        <v>0.33830092592592587</v>
      </c>
      <c r="J21" s="96">
        <f t="shared" si="7"/>
        <v>0.34269444444444436</v>
      </c>
      <c r="K21" s="96">
        <f t="shared" si="8"/>
        <v>0.34598958333333329</v>
      </c>
      <c r="L21" s="96">
        <f t="shared" si="9"/>
        <v>0.34171810699588467</v>
      </c>
      <c r="M21" s="96">
        <f t="shared" si="10"/>
        <v>0.34445185185185179</v>
      </c>
      <c r="N21" s="96">
        <f t="shared" si="11"/>
        <v>0.3466885521885521</v>
      </c>
      <c r="O21" s="96">
        <f t="shared" si="12"/>
        <v>0.34791174768518512</v>
      </c>
      <c r="P21" s="238"/>
      <c r="Q21" s="238"/>
      <c r="R21" s="238"/>
      <c r="S21" s="238"/>
      <c r="T21" s="238"/>
      <c r="U21" s="238"/>
      <c r="V21" s="238"/>
      <c r="W21" s="238"/>
      <c r="X21" s="96"/>
      <c r="Y21" s="65"/>
      <c r="AA21" s="83"/>
      <c r="AT21" s="4"/>
      <c r="AU21" s="10"/>
      <c r="AV21" s="17"/>
      <c r="AW21" s="18"/>
      <c r="AX21" s="18"/>
      <c r="AY21" s="18">
        <v>0</v>
      </c>
      <c r="AZ21" s="12">
        <f t="shared" ref="AZ21:BG21" si="13">AY21+1</f>
        <v>1</v>
      </c>
      <c r="BA21" s="12">
        <f t="shared" si="13"/>
        <v>2</v>
      </c>
      <c r="BB21" s="12">
        <f t="shared" si="13"/>
        <v>3</v>
      </c>
      <c r="BC21" s="12">
        <f t="shared" si="13"/>
        <v>4</v>
      </c>
      <c r="BD21" s="12">
        <f t="shared" si="13"/>
        <v>5</v>
      </c>
      <c r="BE21" s="12">
        <f t="shared" si="13"/>
        <v>6</v>
      </c>
      <c r="BF21" s="12">
        <f t="shared" si="13"/>
        <v>7</v>
      </c>
      <c r="BG21" s="12">
        <f t="shared" si="13"/>
        <v>8</v>
      </c>
      <c r="BH21" s="11">
        <v>6</v>
      </c>
      <c r="BI21" s="12">
        <f>BH21+1</f>
        <v>7</v>
      </c>
      <c r="BJ21" s="12">
        <f t="shared" ref="BJ21:DU21" si="14">BI21+1</f>
        <v>8</v>
      </c>
      <c r="BK21" s="12">
        <f t="shared" si="14"/>
        <v>9</v>
      </c>
      <c r="BL21" s="12">
        <f t="shared" si="14"/>
        <v>10</v>
      </c>
      <c r="BM21" s="12">
        <f t="shared" si="14"/>
        <v>11</v>
      </c>
      <c r="BN21" s="12">
        <f t="shared" si="14"/>
        <v>12</v>
      </c>
      <c r="BO21" s="12">
        <f t="shared" si="14"/>
        <v>13</v>
      </c>
      <c r="BP21" s="12">
        <f t="shared" si="14"/>
        <v>14</v>
      </c>
      <c r="BQ21" s="12">
        <f t="shared" si="14"/>
        <v>15</v>
      </c>
      <c r="BR21" s="12">
        <f>BQ21+1</f>
        <v>16</v>
      </c>
      <c r="BS21" s="12">
        <f t="shared" si="14"/>
        <v>17</v>
      </c>
      <c r="BT21" s="12">
        <f t="shared" si="14"/>
        <v>18</v>
      </c>
      <c r="BU21" s="12">
        <f t="shared" si="14"/>
        <v>19</v>
      </c>
      <c r="BV21" s="12">
        <f t="shared" si="14"/>
        <v>20</v>
      </c>
      <c r="BW21" s="12">
        <f t="shared" si="14"/>
        <v>21</v>
      </c>
      <c r="BX21" s="12">
        <f t="shared" si="14"/>
        <v>22</v>
      </c>
      <c r="BY21" s="12">
        <f t="shared" si="14"/>
        <v>23</v>
      </c>
      <c r="BZ21" s="12">
        <f t="shared" si="14"/>
        <v>24</v>
      </c>
      <c r="CA21" s="12">
        <f t="shared" si="14"/>
        <v>25</v>
      </c>
      <c r="CB21" s="12">
        <f t="shared" si="14"/>
        <v>26</v>
      </c>
      <c r="CC21" s="12">
        <f t="shared" si="14"/>
        <v>27</v>
      </c>
      <c r="CD21" s="12">
        <f t="shared" si="14"/>
        <v>28</v>
      </c>
      <c r="CE21" s="12">
        <f t="shared" si="14"/>
        <v>29</v>
      </c>
      <c r="CF21" s="12">
        <f t="shared" si="14"/>
        <v>30</v>
      </c>
      <c r="CG21" s="12">
        <f t="shared" si="14"/>
        <v>31</v>
      </c>
      <c r="CH21" s="12">
        <f t="shared" si="14"/>
        <v>32</v>
      </c>
      <c r="CI21" s="12">
        <f t="shared" si="14"/>
        <v>33</v>
      </c>
      <c r="CJ21" s="12">
        <f t="shared" si="14"/>
        <v>34</v>
      </c>
      <c r="CK21" s="12">
        <f t="shared" si="14"/>
        <v>35</v>
      </c>
      <c r="CL21" s="12">
        <f t="shared" si="14"/>
        <v>36</v>
      </c>
      <c r="CM21" s="12">
        <f t="shared" si="14"/>
        <v>37</v>
      </c>
      <c r="CN21" s="12">
        <f t="shared" si="14"/>
        <v>38</v>
      </c>
      <c r="CO21" s="12">
        <f t="shared" si="14"/>
        <v>39</v>
      </c>
      <c r="CP21" s="12">
        <f t="shared" si="14"/>
        <v>40</v>
      </c>
      <c r="CQ21" s="12">
        <f t="shared" si="14"/>
        <v>41</v>
      </c>
      <c r="CR21" s="12">
        <f t="shared" si="14"/>
        <v>42</v>
      </c>
      <c r="CS21" s="12">
        <f t="shared" si="14"/>
        <v>43</v>
      </c>
      <c r="CT21" s="12">
        <f t="shared" si="14"/>
        <v>44</v>
      </c>
      <c r="CU21" s="12">
        <f t="shared" si="14"/>
        <v>45</v>
      </c>
      <c r="CV21" s="12">
        <f t="shared" si="14"/>
        <v>46</v>
      </c>
      <c r="CW21" s="12">
        <f t="shared" si="14"/>
        <v>47</v>
      </c>
      <c r="CX21" s="12">
        <f t="shared" si="14"/>
        <v>48</v>
      </c>
      <c r="CY21" s="12">
        <f t="shared" si="14"/>
        <v>49</v>
      </c>
      <c r="CZ21" s="12">
        <f t="shared" si="14"/>
        <v>50</v>
      </c>
      <c r="DA21" s="12">
        <f t="shared" si="14"/>
        <v>51</v>
      </c>
      <c r="DB21" s="12">
        <f t="shared" si="14"/>
        <v>52</v>
      </c>
      <c r="DC21" s="12">
        <f t="shared" si="14"/>
        <v>53</v>
      </c>
      <c r="DD21" s="12">
        <f t="shared" si="14"/>
        <v>54</v>
      </c>
      <c r="DE21" s="12">
        <f t="shared" si="14"/>
        <v>55</v>
      </c>
      <c r="DF21" s="12">
        <f t="shared" si="14"/>
        <v>56</v>
      </c>
      <c r="DG21" s="12">
        <f t="shared" si="14"/>
        <v>57</v>
      </c>
      <c r="DH21" s="12">
        <f t="shared" si="14"/>
        <v>58</v>
      </c>
      <c r="DI21" s="12">
        <f t="shared" si="14"/>
        <v>59</v>
      </c>
      <c r="DJ21" s="12">
        <f t="shared" si="14"/>
        <v>60</v>
      </c>
      <c r="DK21" s="12">
        <f t="shared" si="14"/>
        <v>61</v>
      </c>
      <c r="DL21" s="12">
        <f t="shared" si="14"/>
        <v>62</v>
      </c>
      <c r="DM21" s="12">
        <f t="shared" si="14"/>
        <v>63</v>
      </c>
      <c r="DN21" s="12">
        <f t="shared" si="14"/>
        <v>64</v>
      </c>
      <c r="DO21" s="12">
        <f t="shared" si="14"/>
        <v>65</v>
      </c>
      <c r="DP21" s="12">
        <f t="shared" si="14"/>
        <v>66</v>
      </c>
      <c r="DQ21" s="12">
        <f t="shared" si="14"/>
        <v>67</v>
      </c>
      <c r="DR21" s="12">
        <f t="shared" si="14"/>
        <v>68</v>
      </c>
      <c r="DS21" s="12">
        <f t="shared" si="14"/>
        <v>69</v>
      </c>
      <c r="DT21" s="12">
        <f t="shared" si="14"/>
        <v>70</v>
      </c>
      <c r="DU21" s="12">
        <f t="shared" si="14"/>
        <v>71</v>
      </c>
      <c r="DV21" s="12">
        <f t="shared" ref="DV21:GG21" si="15">DU21+1</f>
        <v>72</v>
      </c>
      <c r="DW21" s="12">
        <f t="shared" si="15"/>
        <v>73</v>
      </c>
      <c r="DX21" s="12">
        <f t="shared" si="15"/>
        <v>74</v>
      </c>
      <c r="DY21" s="12">
        <f t="shared" si="15"/>
        <v>75</v>
      </c>
      <c r="DZ21" s="12">
        <f t="shared" si="15"/>
        <v>76</v>
      </c>
      <c r="EA21" s="12">
        <f t="shared" si="15"/>
        <v>77</v>
      </c>
      <c r="EB21" s="12">
        <f t="shared" si="15"/>
        <v>78</v>
      </c>
      <c r="EC21" s="12">
        <f t="shared" si="15"/>
        <v>79</v>
      </c>
      <c r="ED21" s="12">
        <f t="shared" si="15"/>
        <v>80</v>
      </c>
      <c r="EE21" s="12">
        <f t="shared" si="15"/>
        <v>81</v>
      </c>
      <c r="EF21" s="12">
        <f t="shared" si="15"/>
        <v>82</v>
      </c>
      <c r="EG21" s="12">
        <f t="shared" si="15"/>
        <v>83</v>
      </c>
      <c r="EH21" s="12">
        <f t="shared" si="15"/>
        <v>84</v>
      </c>
      <c r="EI21" s="12">
        <f t="shared" si="15"/>
        <v>85</v>
      </c>
      <c r="EJ21" s="12">
        <f t="shared" si="15"/>
        <v>86</v>
      </c>
      <c r="EK21" s="12">
        <f t="shared" si="15"/>
        <v>87</v>
      </c>
      <c r="EL21" s="12">
        <f t="shared" si="15"/>
        <v>88</v>
      </c>
      <c r="EM21" s="12">
        <f t="shared" si="15"/>
        <v>89</v>
      </c>
      <c r="EN21" s="12">
        <f t="shared" si="15"/>
        <v>90</v>
      </c>
      <c r="EO21" s="12">
        <f t="shared" si="15"/>
        <v>91</v>
      </c>
      <c r="EP21" s="12">
        <f t="shared" si="15"/>
        <v>92</v>
      </c>
      <c r="EQ21" s="12">
        <f t="shared" si="15"/>
        <v>93</v>
      </c>
      <c r="ER21" s="12">
        <f t="shared" si="15"/>
        <v>94</v>
      </c>
      <c r="ES21" s="12">
        <f t="shared" si="15"/>
        <v>95</v>
      </c>
      <c r="ET21" s="12">
        <f t="shared" si="15"/>
        <v>96</v>
      </c>
      <c r="EU21" s="12">
        <f t="shared" si="15"/>
        <v>97</v>
      </c>
      <c r="EV21" s="12">
        <f t="shared" si="15"/>
        <v>98</v>
      </c>
      <c r="EW21" s="12">
        <f t="shared" si="15"/>
        <v>99</v>
      </c>
      <c r="EX21" s="12">
        <f t="shared" si="15"/>
        <v>100</v>
      </c>
      <c r="EY21" s="12">
        <f t="shared" si="15"/>
        <v>101</v>
      </c>
      <c r="EZ21" s="12">
        <f t="shared" si="15"/>
        <v>102</v>
      </c>
      <c r="FA21" s="12">
        <f t="shared" si="15"/>
        <v>103</v>
      </c>
      <c r="FB21" s="12">
        <f t="shared" si="15"/>
        <v>104</v>
      </c>
      <c r="FC21" s="12">
        <f t="shared" si="15"/>
        <v>105</v>
      </c>
      <c r="FD21" s="12">
        <f t="shared" si="15"/>
        <v>106</v>
      </c>
      <c r="FE21" s="12">
        <f t="shared" si="15"/>
        <v>107</v>
      </c>
      <c r="FF21" s="12">
        <f t="shared" si="15"/>
        <v>108</v>
      </c>
      <c r="FG21" s="12">
        <f t="shared" si="15"/>
        <v>109</v>
      </c>
      <c r="FH21" s="12">
        <f t="shared" si="15"/>
        <v>110</v>
      </c>
      <c r="FI21" s="12">
        <f t="shared" si="15"/>
        <v>111</v>
      </c>
      <c r="FJ21" s="12">
        <f t="shared" si="15"/>
        <v>112</v>
      </c>
      <c r="FK21" s="12">
        <f t="shared" si="15"/>
        <v>113</v>
      </c>
      <c r="FL21" s="12">
        <f t="shared" si="15"/>
        <v>114</v>
      </c>
      <c r="FM21" s="12">
        <f t="shared" si="15"/>
        <v>115</v>
      </c>
      <c r="FN21" s="12">
        <f t="shared" si="15"/>
        <v>116</v>
      </c>
      <c r="FO21" s="12">
        <f t="shared" si="15"/>
        <v>117</v>
      </c>
      <c r="FP21" s="12">
        <f t="shared" si="15"/>
        <v>118</v>
      </c>
      <c r="FQ21" s="12">
        <f t="shared" si="15"/>
        <v>119</v>
      </c>
      <c r="FR21" s="12">
        <f t="shared" si="15"/>
        <v>120</v>
      </c>
      <c r="FS21" s="12">
        <f t="shared" si="15"/>
        <v>121</v>
      </c>
      <c r="FT21" s="12">
        <f t="shared" si="15"/>
        <v>122</v>
      </c>
      <c r="FU21" s="12">
        <f t="shared" si="15"/>
        <v>123</v>
      </c>
      <c r="FV21" s="12">
        <f t="shared" si="15"/>
        <v>124</v>
      </c>
      <c r="FW21" s="12">
        <f t="shared" si="15"/>
        <v>125</v>
      </c>
      <c r="FX21" s="12">
        <f t="shared" si="15"/>
        <v>126</v>
      </c>
      <c r="FY21" s="12">
        <f t="shared" si="15"/>
        <v>127</v>
      </c>
      <c r="FZ21" s="12">
        <f t="shared" si="15"/>
        <v>128</v>
      </c>
      <c r="GA21" s="12">
        <f t="shared" si="15"/>
        <v>129</v>
      </c>
      <c r="GB21" s="12">
        <f t="shared" si="15"/>
        <v>130</v>
      </c>
      <c r="GC21" s="12">
        <f t="shared" si="15"/>
        <v>131</v>
      </c>
      <c r="GD21" s="12">
        <f t="shared" si="15"/>
        <v>132</v>
      </c>
      <c r="GE21" s="12">
        <f t="shared" si="15"/>
        <v>133</v>
      </c>
      <c r="GF21" s="12">
        <f t="shared" si="15"/>
        <v>134</v>
      </c>
      <c r="GG21" s="12">
        <f t="shared" si="15"/>
        <v>135</v>
      </c>
      <c r="GH21" s="12">
        <f t="shared" ref="GH21:IO21" si="16">GG21+1</f>
        <v>136</v>
      </c>
      <c r="GI21" s="12">
        <f t="shared" si="16"/>
        <v>137</v>
      </c>
      <c r="GJ21" s="12">
        <f t="shared" si="16"/>
        <v>138</v>
      </c>
      <c r="GK21" s="12">
        <f t="shared" si="16"/>
        <v>139</v>
      </c>
      <c r="GL21" s="12">
        <f t="shared" si="16"/>
        <v>140</v>
      </c>
      <c r="GM21" s="12">
        <f t="shared" si="16"/>
        <v>141</v>
      </c>
      <c r="GN21" s="12">
        <f t="shared" si="16"/>
        <v>142</v>
      </c>
      <c r="GO21" s="12">
        <f t="shared" si="16"/>
        <v>143</v>
      </c>
      <c r="GP21" s="12">
        <f t="shared" si="16"/>
        <v>144</v>
      </c>
      <c r="GQ21" s="12">
        <f t="shared" si="16"/>
        <v>145</v>
      </c>
      <c r="GR21" s="12">
        <f t="shared" si="16"/>
        <v>146</v>
      </c>
      <c r="GS21" s="12">
        <f t="shared" si="16"/>
        <v>147</v>
      </c>
      <c r="GT21" s="12">
        <f t="shared" si="16"/>
        <v>148</v>
      </c>
      <c r="GU21" s="12">
        <f t="shared" si="16"/>
        <v>149</v>
      </c>
      <c r="GV21" s="12">
        <f t="shared" si="16"/>
        <v>150</v>
      </c>
      <c r="GW21" s="12">
        <f t="shared" si="16"/>
        <v>151</v>
      </c>
      <c r="GX21" s="12">
        <f t="shared" si="16"/>
        <v>152</v>
      </c>
      <c r="GY21" s="12">
        <f t="shared" si="16"/>
        <v>153</v>
      </c>
      <c r="GZ21" s="12">
        <f t="shared" si="16"/>
        <v>154</v>
      </c>
      <c r="HA21" s="12">
        <f t="shared" si="16"/>
        <v>155</v>
      </c>
      <c r="HB21" s="12">
        <f t="shared" si="16"/>
        <v>156</v>
      </c>
      <c r="HC21" s="12">
        <f t="shared" si="16"/>
        <v>157</v>
      </c>
      <c r="HD21" s="12">
        <f t="shared" si="16"/>
        <v>158</v>
      </c>
      <c r="HE21" s="12">
        <f t="shared" si="16"/>
        <v>159</v>
      </c>
      <c r="HF21" s="12">
        <f t="shared" si="16"/>
        <v>160</v>
      </c>
      <c r="HG21" s="12">
        <f t="shared" si="16"/>
        <v>161</v>
      </c>
      <c r="HH21" s="12">
        <f t="shared" si="16"/>
        <v>162</v>
      </c>
      <c r="HI21" s="12">
        <f t="shared" si="16"/>
        <v>163</v>
      </c>
      <c r="HJ21" s="12">
        <f t="shared" si="16"/>
        <v>164</v>
      </c>
      <c r="HK21" s="12">
        <f t="shared" si="16"/>
        <v>165</v>
      </c>
      <c r="HL21" s="12">
        <f t="shared" si="16"/>
        <v>166</v>
      </c>
      <c r="HM21" s="12">
        <f t="shared" si="16"/>
        <v>167</v>
      </c>
      <c r="HN21" s="12">
        <f t="shared" si="16"/>
        <v>168</v>
      </c>
      <c r="HO21" s="12">
        <f t="shared" si="16"/>
        <v>169</v>
      </c>
      <c r="HP21" s="12">
        <f t="shared" si="16"/>
        <v>170</v>
      </c>
      <c r="HQ21" s="12">
        <f t="shared" si="16"/>
        <v>171</v>
      </c>
      <c r="HR21" s="12">
        <f t="shared" si="16"/>
        <v>172</v>
      </c>
      <c r="HS21" s="12">
        <f t="shared" si="16"/>
        <v>173</v>
      </c>
      <c r="HT21" s="12">
        <f t="shared" si="16"/>
        <v>174</v>
      </c>
      <c r="HU21" s="12">
        <f t="shared" si="16"/>
        <v>175</v>
      </c>
      <c r="HV21" s="12">
        <f t="shared" si="16"/>
        <v>176</v>
      </c>
      <c r="HW21" s="12">
        <f t="shared" si="16"/>
        <v>177</v>
      </c>
      <c r="HX21" s="12">
        <f t="shared" si="16"/>
        <v>178</v>
      </c>
      <c r="HY21" s="12">
        <f t="shared" si="16"/>
        <v>179</v>
      </c>
      <c r="HZ21" s="12">
        <f t="shared" si="16"/>
        <v>180</v>
      </c>
      <c r="IA21" s="12">
        <f t="shared" si="16"/>
        <v>181</v>
      </c>
      <c r="IB21" s="12">
        <f t="shared" si="16"/>
        <v>182</v>
      </c>
      <c r="IC21" s="12">
        <f t="shared" si="16"/>
        <v>183</v>
      </c>
      <c r="ID21" s="12">
        <f t="shared" si="16"/>
        <v>184</v>
      </c>
      <c r="IE21" s="12">
        <f t="shared" si="16"/>
        <v>185</v>
      </c>
      <c r="IF21" s="12">
        <f t="shared" si="16"/>
        <v>186</v>
      </c>
      <c r="IG21" s="12">
        <f t="shared" si="16"/>
        <v>187</v>
      </c>
      <c r="IH21" s="12">
        <f t="shared" si="16"/>
        <v>188</v>
      </c>
      <c r="II21" s="12">
        <f t="shared" si="16"/>
        <v>189</v>
      </c>
      <c r="IJ21" s="12">
        <f t="shared" si="16"/>
        <v>190</v>
      </c>
      <c r="IK21" s="12">
        <f t="shared" si="16"/>
        <v>191</v>
      </c>
      <c r="IL21" s="12">
        <f t="shared" si="16"/>
        <v>192</v>
      </c>
      <c r="IM21" s="12">
        <f t="shared" si="16"/>
        <v>193</v>
      </c>
      <c r="IN21" s="12">
        <f t="shared" si="16"/>
        <v>194</v>
      </c>
      <c r="IO21" s="12">
        <f t="shared" si="16"/>
        <v>195</v>
      </c>
      <c r="IP21" s="15"/>
      <c r="IQ21" s="16"/>
      <c r="IR21" s="16"/>
      <c r="IS21" s="16"/>
      <c r="IT21" s="16"/>
      <c r="IU21" s="16"/>
      <c r="IV21" s="16"/>
      <c r="IW21" s="16"/>
      <c r="IX21" s="8"/>
    </row>
    <row r="22" spans="2:258" ht="15.75" thickBot="1" x14ac:dyDescent="0.3">
      <c r="B22" s="103">
        <f t="shared" ref="B22:B38" si="17">B21+6</f>
        <v>24</v>
      </c>
      <c r="C22" s="226">
        <v>5</v>
      </c>
      <c r="D22" s="98">
        <f t="shared" si="1"/>
        <v>0.24244791666666665</v>
      </c>
      <c r="E22" s="96">
        <f t="shared" si="2"/>
        <v>0.29093749999999996</v>
      </c>
      <c r="F22" s="96">
        <f t="shared" si="3"/>
        <v>0.32326388888888885</v>
      </c>
      <c r="G22" s="96">
        <f t="shared" si="4"/>
        <v>0.33942708333333327</v>
      </c>
      <c r="H22" s="96">
        <f t="shared" si="5"/>
        <v>0.34912499999999996</v>
      </c>
      <c r="I22" s="96">
        <f t="shared" si="6"/>
        <v>0.35559027777777774</v>
      </c>
      <c r="J22" s="96">
        <f t="shared" si="7"/>
        <v>0.36020833333333335</v>
      </c>
      <c r="K22" s="96">
        <f t="shared" si="8"/>
        <v>0.36367187499999992</v>
      </c>
      <c r="L22" s="96">
        <f t="shared" si="9"/>
        <v>0.35918209876543206</v>
      </c>
      <c r="M22" s="96">
        <f t="shared" si="10"/>
        <v>0.36205555555555546</v>
      </c>
      <c r="N22" s="96">
        <f t="shared" si="11"/>
        <v>0.3644065656565656</v>
      </c>
      <c r="O22" s="96">
        <f t="shared" si="12"/>
        <v>0.36569227430555551</v>
      </c>
      <c r="P22" s="238"/>
      <c r="Q22" s="238"/>
      <c r="R22" s="238"/>
      <c r="S22" s="238"/>
      <c r="T22" s="238"/>
      <c r="U22" s="238"/>
      <c r="V22" s="238"/>
      <c r="W22" s="238"/>
      <c r="X22" s="96"/>
      <c r="Y22" s="65"/>
      <c r="AA22" s="83"/>
      <c r="AT22" s="4"/>
      <c r="AU22" s="245"/>
      <c r="AV22" s="246"/>
      <c r="AW22" s="247"/>
      <c r="AX22" s="239"/>
      <c r="AY22" s="240"/>
      <c r="AZ22" s="241"/>
      <c r="BA22" s="241"/>
      <c r="BB22" s="241"/>
      <c r="BC22" s="241"/>
      <c r="BD22" s="241"/>
      <c r="BE22" s="241"/>
      <c r="BF22" s="241"/>
      <c r="BG22" s="242"/>
      <c r="BH22" s="239"/>
      <c r="BI22" s="240"/>
      <c r="BJ22" s="241"/>
      <c r="BK22" s="241"/>
      <c r="BL22" s="241"/>
      <c r="BM22" s="241"/>
      <c r="BN22" s="241"/>
      <c r="BO22" s="241"/>
      <c r="BP22" s="241"/>
      <c r="BQ22" s="242"/>
      <c r="BR22" s="239"/>
      <c r="BS22" s="240"/>
      <c r="BT22" s="241"/>
      <c r="BU22" s="241"/>
      <c r="BV22" s="241"/>
      <c r="BW22" s="241"/>
      <c r="BX22" s="241"/>
      <c r="BY22" s="241"/>
      <c r="BZ22" s="241"/>
      <c r="CA22" s="242"/>
      <c r="CB22" s="239"/>
      <c r="CC22" s="240"/>
      <c r="CD22" s="241"/>
      <c r="CE22" s="241"/>
      <c r="CF22" s="241"/>
      <c r="CG22" s="241"/>
      <c r="CH22" s="241"/>
      <c r="CI22" s="241"/>
      <c r="CJ22" s="241"/>
      <c r="CK22" s="242"/>
      <c r="CL22" s="239"/>
      <c r="CM22" s="240"/>
      <c r="CN22" s="241"/>
      <c r="CO22" s="241"/>
      <c r="CP22" s="241"/>
      <c r="CQ22" s="241"/>
      <c r="CR22" s="241"/>
      <c r="CS22" s="241"/>
      <c r="CT22" s="241"/>
      <c r="CU22" s="242"/>
      <c r="CV22" s="239"/>
      <c r="CW22" s="240"/>
      <c r="CX22" s="241"/>
      <c r="CY22" s="241"/>
      <c r="CZ22" s="241"/>
      <c r="DA22" s="241"/>
      <c r="DB22" s="241"/>
      <c r="DC22" s="241"/>
      <c r="DD22" s="241"/>
      <c r="DE22" s="242"/>
      <c r="DF22" s="239"/>
      <c r="DG22" s="240"/>
      <c r="DH22" s="241"/>
      <c r="DI22" s="241"/>
      <c r="DJ22" s="241"/>
      <c r="DK22" s="241"/>
      <c r="DL22" s="241"/>
      <c r="DM22" s="241"/>
      <c r="DN22" s="241"/>
      <c r="DO22" s="242"/>
      <c r="DP22" s="239"/>
      <c r="DQ22" s="240"/>
      <c r="DR22" s="241"/>
      <c r="DS22" s="241"/>
      <c r="DT22" s="241"/>
      <c r="DU22" s="241"/>
      <c r="DV22" s="241"/>
      <c r="DW22" s="241"/>
      <c r="DX22" s="241"/>
      <c r="DY22" s="242"/>
      <c r="DZ22" s="239"/>
      <c r="EA22" s="240"/>
      <c r="EB22" s="241"/>
      <c r="EC22" s="241"/>
      <c r="ED22" s="241"/>
      <c r="EE22" s="241"/>
      <c r="EF22" s="241"/>
      <c r="EG22" s="241"/>
      <c r="EH22" s="241"/>
      <c r="EI22" s="242"/>
      <c r="EJ22" s="239"/>
      <c r="EK22" s="240"/>
      <c r="EL22" s="241"/>
      <c r="EM22" s="241"/>
      <c r="EN22" s="241"/>
      <c r="EO22" s="241"/>
      <c r="EP22" s="241"/>
      <c r="EQ22" s="241"/>
      <c r="ER22" s="241"/>
      <c r="ES22" s="242"/>
      <c r="ET22" s="239"/>
      <c r="EU22" s="240"/>
      <c r="EV22" s="241"/>
      <c r="EW22" s="241"/>
      <c r="EX22" s="241"/>
      <c r="EY22" s="241"/>
      <c r="EZ22" s="241"/>
      <c r="FA22" s="241"/>
      <c r="FB22" s="241"/>
      <c r="FC22" s="242"/>
      <c r="FD22" s="239"/>
      <c r="FE22" s="240"/>
      <c r="FF22" s="241"/>
      <c r="FG22" s="241"/>
      <c r="FH22" s="241"/>
      <c r="FI22" s="241"/>
      <c r="FJ22" s="241"/>
      <c r="FK22" s="241"/>
      <c r="FL22" s="241"/>
      <c r="FM22" s="242"/>
      <c r="FN22" s="239"/>
      <c r="FO22" s="240"/>
      <c r="FP22" s="241"/>
      <c r="FQ22" s="241"/>
      <c r="FR22" s="241"/>
      <c r="FS22" s="241"/>
      <c r="FT22" s="241"/>
      <c r="FU22" s="241"/>
      <c r="FV22" s="241"/>
      <c r="FW22" s="242"/>
      <c r="FX22" s="239"/>
      <c r="FY22" s="240"/>
      <c r="FZ22" s="241"/>
      <c r="GA22" s="241"/>
      <c r="GB22" s="241"/>
      <c r="GC22" s="241"/>
      <c r="GD22" s="241"/>
      <c r="GE22" s="241"/>
      <c r="GF22" s="241"/>
      <c r="GG22" s="242"/>
      <c r="GH22" s="239"/>
      <c r="GI22" s="240"/>
      <c r="GJ22" s="241"/>
      <c r="GK22" s="241"/>
      <c r="GL22" s="241"/>
      <c r="GM22" s="241"/>
      <c r="GN22" s="241"/>
      <c r="GO22" s="241"/>
      <c r="GP22" s="241"/>
      <c r="GQ22" s="242"/>
      <c r="GR22" s="239"/>
      <c r="GS22" s="240"/>
      <c r="GT22" s="241"/>
      <c r="GU22" s="241"/>
      <c r="GV22" s="241"/>
      <c r="GW22" s="241"/>
      <c r="GX22" s="241"/>
      <c r="GY22" s="241"/>
      <c r="GZ22" s="241"/>
      <c r="HA22" s="242"/>
      <c r="HB22" s="239"/>
      <c r="HC22" s="240"/>
      <c r="HD22" s="241"/>
      <c r="HE22" s="241"/>
      <c r="HF22" s="241"/>
      <c r="HG22" s="241"/>
      <c r="HH22" s="241"/>
      <c r="HI22" s="241"/>
      <c r="HJ22" s="241"/>
      <c r="HK22" s="242"/>
      <c r="HL22" s="239"/>
      <c r="HM22" s="240"/>
      <c r="HN22" s="241"/>
      <c r="HO22" s="241"/>
      <c r="HP22" s="241"/>
      <c r="HQ22" s="241"/>
      <c r="HR22" s="241"/>
      <c r="HS22" s="241"/>
      <c r="HT22" s="241"/>
      <c r="HU22" s="242"/>
      <c r="HV22" s="239"/>
      <c r="HW22" s="240"/>
      <c r="HX22" s="241"/>
      <c r="HY22" s="241"/>
      <c r="HZ22" s="241"/>
      <c r="IA22" s="241"/>
      <c r="IB22" s="241"/>
      <c r="IC22" s="241"/>
      <c r="ID22" s="241"/>
      <c r="IE22" s="242"/>
      <c r="IF22" s="239"/>
      <c r="IG22" s="240"/>
      <c r="IH22" s="241"/>
      <c r="II22" s="241"/>
      <c r="IJ22" s="241"/>
      <c r="IK22" s="241"/>
      <c r="IL22" s="241"/>
      <c r="IM22" s="241"/>
      <c r="IN22" s="241"/>
      <c r="IO22" s="242"/>
      <c r="IP22" s="15"/>
      <c r="IQ22" s="25">
        <v>0</v>
      </c>
      <c r="IR22" s="26">
        <v>0.88200000000000001</v>
      </c>
      <c r="IS22" s="26">
        <v>0.88900000000000001</v>
      </c>
      <c r="IT22" s="26">
        <v>0.42699999999999999</v>
      </c>
      <c r="IU22" s="26">
        <v>1.5</v>
      </c>
      <c r="IV22" s="26">
        <v>1</v>
      </c>
      <c r="IW22" s="26">
        <v>1.125</v>
      </c>
      <c r="IX22" s="8"/>
    </row>
    <row r="23" spans="2:258" ht="15.75" thickBot="1" x14ac:dyDescent="0.3">
      <c r="B23" s="103">
        <f t="shared" si="17"/>
        <v>30</v>
      </c>
      <c r="C23" s="221">
        <v>6</v>
      </c>
      <c r="D23" s="98">
        <f t="shared" si="1"/>
        <v>0.2495208333333333</v>
      </c>
      <c r="E23" s="96">
        <f t="shared" si="2"/>
        <v>0.29942499999999994</v>
      </c>
      <c r="F23" s="96">
        <f t="shared" si="3"/>
        <v>0.33269444444444435</v>
      </c>
      <c r="G23" s="96">
        <f t="shared" si="4"/>
        <v>0.34932916666666658</v>
      </c>
      <c r="H23" s="96">
        <f t="shared" si="5"/>
        <v>0.35930999999999996</v>
      </c>
      <c r="I23" s="96">
        <f t="shared" si="6"/>
        <v>0.36596388888888881</v>
      </c>
      <c r="J23" s="96">
        <f t="shared" si="7"/>
        <v>0.37071666666666664</v>
      </c>
      <c r="K23" s="96">
        <f t="shared" si="8"/>
        <v>0.37428124999999995</v>
      </c>
      <c r="L23" s="96">
        <f t="shared" si="9"/>
        <v>0.36966049382716043</v>
      </c>
      <c r="M23" s="96">
        <f t="shared" si="10"/>
        <v>0.37261777777777771</v>
      </c>
      <c r="N23" s="96">
        <f t="shared" si="11"/>
        <v>0.37503737373737372</v>
      </c>
      <c r="O23" s="96">
        <f t="shared" si="12"/>
        <v>0.37636059027777774</v>
      </c>
      <c r="P23" s="238"/>
      <c r="Q23" s="238"/>
      <c r="R23" s="238"/>
      <c r="S23" s="238"/>
      <c r="T23" s="238"/>
      <c r="U23" s="238"/>
      <c r="V23" s="238"/>
      <c r="W23" s="238"/>
      <c r="X23" s="96"/>
      <c r="Y23" s="65"/>
      <c r="AA23" s="83"/>
      <c r="AT23" s="4"/>
      <c r="AU23" s="14">
        <f>F12</f>
        <v>14</v>
      </c>
      <c r="AV23" s="12" t="str">
        <f>"("&amp;ROUND(AU23*25.4/50,0)*50&amp;")"</f>
        <v>(350)</v>
      </c>
      <c r="AW23" s="19">
        <v>8</v>
      </c>
      <c r="AX23" s="20">
        <f t="shared" ref="AX23:AX41" si="18">($IR23+(($IQ23-1)*$IS23)+$IT23)*BG23/144</f>
        <v>0.17395833333333333</v>
      </c>
      <c r="AY23" s="21" t="str">
        <f>"("&amp;FIXED(AX23*0.092903,2)&amp;")"</f>
        <v>(0.02)</v>
      </c>
      <c r="AZ23" s="22">
        <v>2</v>
      </c>
      <c r="BA23" s="22">
        <f t="shared" ref="BA23:BA41" si="19">$IU$23*AZ23</f>
        <v>3</v>
      </c>
      <c r="BB23" s="22">
        <v>0</v>
      </c>
      <c r="BC23" s="22">
        <f t="shared" ref="BC23:BC41" si="20">$IW$23*BB23</f>
        <v>0</v>
      </c>
      <c r="BD23" s="22">
        <v>0</v>
      </c>
      <c r="BE23" s="22">
        <f t="shared" ref="BE23:BE41" si="21">$IV$23*BD23</f>
        <v>0</v>
      </c>
      <c r="BF23" s="22">
        <f>BA23+BC23+BE23</f>
        <v>3</v>
      </c>
      <c r="BG23" s="23">
        <f t="shared" ref="BG23:BG41" si="22">AX$20-BA23-BC23-BE23</f>
        <v>5</v>
      </c>
      <c r="BH23" s="20">
        <f t="shared" ref="BH23:BH41" si="23">($IR23+(($IQ23-1)*$IS23)+$IT23)*BQ23/144</f>
        <v>0.31312499999999999</v>
      </c>
      <c r="BI23" s="21" t="str">
        <f>"("&amp;FIXED(BH23*0.092903,2)&amp;")"</f>
        <v>(0.03)</v>
      </c>
      <c r="BJ23" s="22">
        <v>2</v>
      </c>
      <c r="BK23" s="22">
        <f t="shared" ref="BK23:BK41" si="24">$IU$23*BJ23</f>
        <v>3</v>
      </c>
      <c r="BL23" s="22">
        <v>0</v>
      </c>
      <c r="BM23" s="22">
        <f t="shared" ref="BM23:BM41" si="25">$IW$23*BL23</f>
        <v>0</v>
      </c>
      <c r="BN23" s="22">
        <v>0</v>
      </c>
      <c r="BO23" s="22">
        <f t="shared" ref="BO23:BO41" si="26">$IV$23*BN23</f>
        <v>0</v>
      </c>
      <c r="BP23" s="22">
        <f>BK23+BM23+BO23</f>
        <v>3</v>
      </c>
      <c r="BQ23" s="23">
        <f t="shared" ref="BQ23:BQ41" si="27">BH$20-BK23-BM23-BO23</f>
        <v>9</v>
      </c>
      <c r="BR23" s="20">
        <f t="shared" ref="BR23:BR41" si="28">($IR23+(($IQ23-1)*$IS23)+$IT23)*CA23/144</f>
        <v>0.52187499999999998</v>
      </c>
      <c r="BS23" s="21" t="str">
        <f t="shared" ref="BS23:BS41" si="29">"("&amp;ROUND(BR23*0.092903,2)&amp;")"</f>
        <v>(0.05)</v>
      </c>
      <c r="BT23" s="22">
        <v>2</v>
      </c>
      <c r="BU23" s="22">
        <f t="shared" ref="BU23:BU41" si="30">$IU$23*BT23</f>
        <v>3</v>
      </c>
      <c r="BV23" s="22">
        <v>0</v>
      </c>
      <c r="BW23" s="22">
        <f t="shared" ref="BW23:BW41" si="31">$IW$23*BV23</f>
        <v>0</v>
      </c>
      <c r="BX23" s="22">
        <v>0</v>
      </c>
      <c r="BY23" s="22">
        <f t="shared" ref="BY23:BY41" si="32">$IV$23*BX23</f>
        <v>0</v>
      </c>
      <c r="BZ23" s="22">
        <f>BU23+BW23+BY23</f>
        <v>3</v>
      </c>
      <c r="CA23" s="23">
        <f t="shared" ref="CA23:CA41" si="33">BR$20-BU23-BW23-BY23</f>
        <v>15</v>
      </c>
      <c r="CB23" s="20">
        <f t="shared" ref="CB23:CB41" si="34">($IR23+(($IQ23-1)*$IS23)+$IT23)*CK23/144</f>
        <v>0.73062499999999997</v>
      </c>
      <c r="CC23" s="21" t="str">
        <f t="shared" ref="CC23:CC41" si="35">"("&amp;ROUND(CB23*0.092903,2)&amp;")"</f>
        <v>(0.07)</v>
      </c>
      <c r="CD23" s="22">
        <v>2</v>
      </c>
      <c r="CE23" s="22">
        <f t="shared" ref="CE23:CE41" si="36">$IU$23*CD23</f>
        <v>3</v>
      </c>
      <c r="CF23" s="22">
        <v>0</v>
      </c>
      <c r="CG23" s="22">
        <f t="shared" ref="CG23:CG41" si="37">$IW$23*CF23</f>
        <v>0</v>
      </c>
      <c r="CH23" s="22">
        <v>0</v>
      </c>
      <c r="CI23" s="22">
        <f t="shared" ref="CI23:CI41" si="38">$IV$23*CH23</f>
        <v>0</v>
      </c>
      <c r="CJ23" s="22">
        <f>CE23+CG23+CI23</f>
        <v>3</v>
      </c>
      <c r="CK23" s="23">
        <f t="shared" ref="CK23:CK41" si="39">CB$20-CE23-CG23-CI23</f>
        <v>21</v>
      </c>
      <c r="CL23" s="20">
        <f t="shared" ref="CL23:CL41" si="40">($IR23+(($IQ23-1)*$IS23)+$IT23)*CU23/144</f>
        <v>0.93937499999999985</v>
      </c>
      <c r="CM23" s="21" t="str">
        <f t="shared" ref="CM23:CM41" si="41">"("&amp;ROUND(CL23*0.092903,2)&amp;")"</f>
        <v>(0.09)</v>
      </c>
      <c r="CN23" s="22">
        <v>2</v>
      </c>
      <c r="CO23" s="22">
        <f t="shared" ref="CO23:CO41" si="42">$IU$23*CN23</f>
        <v>3</v>
      </c>
      <c r="CP23" s="22">
        <v>0</v>
      </c>
      <c r="CQ23" s="22">
        <f t="shared" ref="CQ23:CQ41" si="43">$IW$23*CP23</f>
        <v>0</v>
      </c>
      <c r="CR23" s="22">
        <v>0</v>
      </c>
      <c r="CS23" s="22">
        <f t="shared" ref="CS23:CS41" si="44">$IV$23*CR23</f>
        <v>0</v>
      </c>
      <c r="CT23" s="22">
        <f>CO23+CQ23+CS23</f>
        <v>3</v>
      </c>
      <c r="CU23" s="23">
        <f t="shared" ref="CU23:CU41" si="45">CL$20-CO23-CQ23-CS23</f>
        <v>27</v>
      </c>
      <c r="CV23" s="20">
        <f t="shared" ref="CV23:CV41" si="46">($IR23+(($IQ23-1)*$IS23)+$IT23)*DE23/144</f>
        <v>1.1481249999999998</v>
      </c>
      <c r="CW23" s="21" t="str">
        <f t="shared" ref="CW23:CW41" si="47">"("&amp;ROUND(CV23*0.092903,2)&amp;")"</f>
        <v>(0.11)</v>
      </c>
      <c r="CX23" s="22">
        <v>2</v>
      </c>
      <c r="CY23" s="22">
        <f t="shared" ref="CY23:CY41" si="48">$IU$23*CX23</f>
        <v>3</v>
      </c>
      <c r="CZ23" s="22">
        <v>0</v>
      </c>
      <c r="DA23" s="22">
        <f t="shared" ref="DA23:DA41" si="49">$IW$23*CZ23</f>
        <v>0</v>
      </c>
      <c r="DB23" s="22">
        <v>0</v>
      </c>
      <c r="DC23" s="22">
        <f t="shared" ref="DC23:DC41" si="50">$IV$23*DB23</f>
        <v>0</v>
      </c>
      <c r="DD23" s="22">
        <f>CY23+DA23+DC23</f>
        <v>3</v>
      </c>
      <c r="DE23" s="23">
        <f t="shared" ref="DE23:DE41" si="51">CV$20-CY23-DA23-DC23</f>
        <v>33</v>
      </c>
      <c r="DF23" s="20">
        <f t="shared" ref="DF23:DF41" si="52">($IR23+(($IQ23-1)*$IS23)+$IT23)*DO23/144</f>
        <v>1.3568749999999998</v>
      </c>
      <c r="DG23" s="21" t="str">
        <f t="shared" ref="DG23:DG41" si="53">"("&amp;ROUND(DF23*0.092903,2)&amp;")"</f>
        <v>(0.13)</v>
      </c>
      <c r="DH23" s="22">
        <v>2</v>
      </c>
      <c r="DI23" s="22">
        <f t="shared" ref="DI23:DI41" si="54">$IU$23*DH23</f>
        <v>3</v>
      </c>
      <c r="DJ23" s="22">
        <v>0</v>
      </c>
      <c r="DK23" s="22">
        <f t="shared" ref="DK23:DK41" si="55">$IW$23*DJ23</f>
        <v>0</v>
      </c>
      <c r="DL23" s="22">
        <v>0</v>
      </c>
      <c r="DM23" s="22">
        <f t="shared" ref="DM23:DM41" si="56">$IV$23*DL23</f>
        <v>0</v>
      </c>
      <c r="DN23" s="22">
        <f>DI23+DK23+DM23</f>
        <v>3</v>
      </c>
      <c r="DO23" s="23">
        <f t="shared" ref="DO23:DO41" si="57">DF$20-DI23-DK23-DM23</f>
        <v>39</v>
      </c>
      <c r="DP23" s="20">
        <f t="shared" ref="DP23:DP41" si="58">($IR23+(($IQ23-1)*$IS23)+$IT23)*DY23/144</f>
        <v>1.5656249999999998</v>
      </c>
      <c r="DQ23" s="21" t="str">
        <f t="shared" ref="DQ23:DQ41" si="59">"("&amp;ROUND(DP23*0.092903,2)&amp;")"</f>
        <v>(0.15)</v>
      </c>
      <c r="DR23" s="22">
        <v>2</v>
      </c>
      <c r="DS23" s="22">
        <f t="shared" ref="DS23:DS41" si="60">$IU$23*DR23</f>
        <v>3</v>
      </c>
      <c r="DT23" s="22">
        <v>0</v>
      </c>
      <c r="DU23" s="22">
        <f t="shared" ref="DU23:DU41" si="61">$IW$23*DT23</f>
        <v>0</v>
      </c>
      <c r="DV23" s="22">
        <v>0</v>
      </c>
      <c r="DW23" s="22">
        <f t="shared" ref="DW23:DW41" si="62">$IV$23*DV23</f>
        <v>0</v>
      </c>
      <c r="DX23" s="22">
        <f>DS23+DU23+DW23</f>
        <v>3</v>
      </c>
      <c r="DY23" s="23">
        <f t="shared" ref="DY23:DY41" si="63">DP$20-DS23-DU23-DW23</f>
        <v>45</v>
      </c>
      <c r="DZ23" s="20">
        <f t="shared" ref="DZ23:DZ41" si="64">($IR23+(($IQ23-1)*$IS23)+$IT23)*EI23/144</f>
        <v>1.7395833333333333</v>
      </c>
      <c r="EA23" s="21" t="str">
        <f>"("&amp;FIXED(DZ23*0.092903,2)&amp;")"</f>
        <v>(0.16)</v>
      </c>
      <c r="EB23" s="22">
        <v>2</v>
      </c>
      <c r="EC23" s="22">
        <f t="shared" ref="EC23:EC41" si="65">$IU$23*EB23</f>
        <v>3</v>
      </c>
      <c r="ED23" s="22">
        <v>0</v>
      </c>
      <c r="EE23" s="22">
        <f t="shared" ref="EE23:EE41" si="66">$IW$23*ED23</f>
        <v>0</v>
      </c>
      <c r="EF23" s="22">
        <v>1</v>
      </c>
      <c r="EG23" s="22">
        <f t="shared" ref="EG23:EG41" si="67">$IV$23*EF23</f>
        <v>1</v>
      </c>
      <c r="EH23" s="22">
        <f>EC23+EE23+EG23</f>
        <v>4</v>
      </c>
      <c r="EI23" s="23">
        <f t="shared" ref="EI23:EI41" si="68">DZ$20-EC23-EE23-EG23</f>
        <v>50</v>
      </c>
      <c r="EJ23" s="20">
        <f t="shared" ref="EJ23:EJ41" si="69">($IR23+(($IQ23-1)*$IS23)+$IT23)*ES23/144</f>
        <v>1.9483333333333333</v>
      </c>
      <c r="EK23" s="21" t="str">
        <f>"("&amp;FIXED(EJ23*0.092903,2)&amp;")"</f>
        <v>(0.18)</v>
      </c>
      <c r="EL23" s="22">
        <v>2</v>
      </c>
      <c r="EM23" s="22">
        <f t="shared" ref="EM23:EM41" si="70">$IU$23*EL23</f>
        <v>3</v>
      </c>
      <c r="EN23" s="22">
        <v>0</v>
      </c>
      <c r="EO23" s="22">
        <f t="shared" ref="EO23:EO41" si="71">$IW$23*EN23</f>
        <v>0</v>
      </c>
      <c r="EP23" s="22">
        <v>1</v>
      </c>
      <c r="EQ23" s="22">
        <f t="shared" ref="EQ23:EQ41" si="72">$IV$23*EP23</f>
        <v>1</v>
      </c>
      <c r="ER23" s="22">
        <f>EM23+EO23+EQ23</f>
        <v>4</v>
      </c>
      <c r="ES23" s="23">
        <f t="shared" ref="ES23:ES41" si="73">EJ$20-EM23-EO23-EQ23</f>
        <v>56</v>
      </c>
      <c r="ET23" s="20">
        <f t="shared" ref="ET23:ET41" si="74">($IR23+(($IQ23-1)*$IS23)+$IT23)*FC23/144</f>
        <v>2.1570833333333335</v>
      </c>
      <c r="EU23" s="21" t="str">
        <f>"("&amp;FIXED(ET23*0.092903,2)&amp;")"</f>
        <v>(0.20)</v>
      </c>
      <c r="EV23" s="22">
        <v>2</v>
      </c>
      <c r="EW23" s="22">
        <f t="shared" ref="EW23:EW41" si="75">$IU$23*EV23</f>
        <v>3</v>
      </c>
      <c r="EX23" s="22">
        <v>0</v>
      </c>
      <c r="EY23" s="22">
        <f t="shared" ref="EY23:EY41" si="76">$IW$23*EX23</f>
        <v>0</v>
      </c>
      <c r="EZ23" s="22">
        <v>1</v>
      </c>
      <c r="FA23" s="22">
        <f t="shared" ref="FA23:FA41" si="77">$IV$23*EZ23</f>
        <v>1</v>
      </c>
      <c r="FB23" s="22">
        <f>EW23+EY23+FA23</f>
        <v>4</v>
      </c>
      <c r="FC23" s="23">
        <f t="shared" ref="FC23:FC41" si="78">ET$20-EW23-EY23-FA23</f>
        <v>62</v>
      </c>
      <c r="FD23" s="20">
        <f t="shared" ref="FD23:FD41" si="79">($IR23+(($IQ23-1)*$IS23)+$IT23)*FM23/144</f>
        <v>2.3614843749999999</v>
      </c>
      <c r="FE23" s="21" t="str">
        <f>"("&amp;FIXED(FD23*0.092903,2)&amp;")"</f>
        <v>(0.22)</v>
      </c>
      <c r="FF23" s="22">
        <v>2</v>
      </c>
      <c r="FG23" s="22">
        <f t="shared" ref="FG23:FG41" si="80">$IU$23*FF23</f>
        <v>3</v>
      </c>
      <c r="FH23" s="22">
        <v>1</v>
      </c>
      <c r="FI23" s="22">
        <f t="shared" ref="FI23:FI41" si="81">$IW$23*FH23</f>
        <v>1.125</v>
      </c>
      <c r="FJ23" s="22">
        <v>0</v>
      </c>
      <c r="FK23" s="22">
        <f t="shared" ref="FK23:FK41" si="82">$IV$23*FJ23</f>
        <v>0</v>
      </c>
      <c r="FL23" s="22">
        <f>FG23+FI23+FK23</f>
        <v>4.125</v>
      </c>
      <c r="FM23" s="23">
        <f t="shared" ref="FM23:FM41" si="83">FD$20-FG23-FI23-FK23</f>
        <v>67.875</v>
      </c>
      <c r="FN23" s="239"/>
      <c r="FO23" s="240"/>
      <c r="FP23" s="241"/>
      <c r="FQ23" s="241"/>
      <c r="FR23" s="241"/>
      <c r="FS23" s="241"/>
      <c r="FT23" s="241"/>
      <c r="FU23" s="241"/>
      <c r="FV23" s="241"/>
      <c r="FW23" s="242"/>
      <c r="FX23" s="239"/>
      <c r="FY23" s="240"/>
      <c r="FZ23" s="241"/>
      <c r="GA23" s="241"/>
      <c r="GB23" s="241"/>
      <c r="GC23" s="241"/>
      <c r="GD23" s="241"/>
      <c r="GE23" s="241"/>
      <c r="GF23" s="241"/>
      <c r="GG23" s="242"/>
      <c r="GH23" s="239"/>
      <c r="GI23" s="240"/>
      <c r="GJ23" s="241"/>
      <c r="GK23" s="241"/>
      <c r="GL23" s="241"/>
      <c r="GM23" s="241"/>
      <c r="GN23" s="241"/>
      <c r="GO23" s="241"/>
      <c r="GP23" s="241"/>
      <c r="GQ23" s="242"/>
      <c r="GR23" s="239"/>
      <c r="GS23" s="240"/>
      <c r="GT23" s="241"/>
      <c r="GU23" s="241"/>
      <c r="GV23" s="241"/>
      <c r="GW23" s="241"/>
      <c r="GX23" s="241"/>
      <c r="GY23" s="241"/>
      <c r="GZ23" s="241"/>
      <c r="HA23" s="242"/>
      <c r="HB23" s="239"/>
      <c r="HC23" s="240"/>
      <c r="HD23" s="241"/>
      <c r="HE23" s="241"/>
      <c r="HF23" s="241"/>
      <c r="HG23" s="241"/>
      <c r="HH23" s="241"/>
      <c r="HI23" s="241"/>
      <c r="HJ23" s="241"/>
      <c r="HK23" s="242"/>
      <c r="HL23" s="239"/>
      <c r="HM23" s="240"/>
      <c r="HN23" s="241"/>
      <c r="HO23" s="241"/>
      <c r="HP23" s="241"/>
      <c r="HQ23" s="241"/>
      <c r="HR23" s="241"/>
      <c r="HS23" s="241"/>
      <c r="HT23" s="241"/>
      <c r="HU23" s="242"/>
      <c r="HV23" s="239"/>
      <c r="HW23" s="240"/>
      <c r="HX23" s="241"/>
      <c r="HY23" s="241"/>
      <c r="HZ23" s="241"/>
      <c r="IA23" s="241"/>
      <c r="IB23" s="241"/>
      <c r="IC23" s="241"/>
      <c r="ID23" s="241"/>
      <c r="IE23" s="242"/>
      <c r="IF23" s="239"/>
      <c r="IG23" s="240"/>
      <c r="IH23" s="241"/>
      <c r="II23" s="241"/>
      <c r="IJ23" s="241"/>
      <c r="IK23" s="241"/>
      <c r="IL23" s="241"/>
      <c r="IM23" s="241"/>
      <c r="IN23" s="241"/>
      <c r="IO23" s="242"/>
      <c r="IP23" s="24"/>
      <c r="IQ23" s="25">
        <v>5</v>
      </c>
      <c r="IR23" s="26">
        <v>0.88200000000000001</v>
      </c>
      <c r="IS23" s="26">
        <v>0.88900000000000001</v>
      </c>
      <c r="IT23" s="26">
        <v>0.57199999999999995</v>
      </c>
      <c r="IU23" s="26">
        <v>1.5</v>
      </c>
      <c r="IV23" s="26">
        <v>1</v>
      </c>
      <c r="IW23" s="26">
        <v>1.125</v>
      </c>
      <c r="IX23" s="8"/>
    </row>
    <row r="24" spans="2:258" ht="15.75" thickBot="1" x14ac:dyDescent="0.3">
      <c r="B24" s="103">
        <f t="shared" si="17"/>
        <v>36</v>
      </c>
      <c r="C24" s="226">
        <v>7</v>
      </c>
      <c r="D24" s="98">
        <f t="shared" si="1"/>
        <v>0.25423611111111111</v>
      </c>
      <c r="E24" s="96">
        <f t="shared" si="2"/>
        <v>0.30508333333333332</v>
      </c>
      <c r="F24" s="96">
        <f t="shared" si="3"/>
        <v>0.33898148148148149</v>
      </c>
      <c r="G24" s="96">
        <f t="shared" si="4"/>
        <v>0.35593055555555558</v>
      </c>
      <c r="H24" s="96">
        <f t="shared" si="5"/>
        <v>0.36609999999999998</v>
      </c>
      <c r="I24" s="96">
        <f t="shared" si="6"/>
        <v>0.37287962962962967</v>
      </c>
      <c r="J24" s="96">
        <f t="shared" si="7"/>
        <v>0.37772222222222218</v>
      </c>
      <c r="K24" s="96">
        <f t="shared" si="8"/>
        <v>0.38135416666666666</v>
      </c>
      <c r="L24" s="96">
        <f t="shared" si="9"/>
        <v>0.37664609053497944</v>
      </c>
      <c r="M24" s="96">
        <f t="shared" si="10"/>
        <v>0.37965925925925925</v>
      </c>
      <c r="N24" s="96">
        <f t="shared" si="11"/>
        <v>0.38212457912457914</v>
      </c>
      <c r="O24" s="96">
        <f t="shared" si="12"/>
        <v>0.38347280092592595</v>
      </c>
      <c r="P24" s="238"/>
      <c r="Q24" s="238"/>
      <c r="R24" s="238"/>
      <c r="S24" s="238"/>
      <c r="T24" s="238"/>
      <c r="U24" s="238"/>
      <c r="V24" s="238"/>
      <c r="W24" s="238"/>
      <c r="X24" s="96"/>
      <c r="Y24" s="65"/>
      <c r="AA24" s="83"/>
      <c r="AT24" s="4"/>
      <c r="AU24" s="14">
        <v>18</v>
      </c>
      <c r="AV24" s="12" t="str">
        <f t="shared" ref="AV24:AV41" si="84">"("&amp;ROUND(AU24*25.4/50,0)*50&amp;")"</f>
        <v>(450)</v>
      </c>
      <c r="AW24" s="19">
        <f>AW23+1</f>
        <v>9</v>
      </c>
      <c r="AX24" s="20">
        <f t="shared" si="18"/>
        <v>0.2306597222222222</v>
      </c>
      <c r="AY24" s="21" t="str">
        <f t="shared" ref="AY24:AY30" si="85">"("&amp;FIXED(AX24*0.092903,2)&amp;")"</f>
        <v>(0.02)</v>
      </c>
      <c r="AZ24" s="22">
        <v>2</v>
      </c>
      <c r="BA24" s="22">
        <f t="shared" si="19"/>
        <v>3</v>
      </c>
      <c r="BB24" s="22">
        <v>0</v>
      </c>
      <c r="BC24" s="22">
        <f t="shared" si="20"/>
        <v>0</v>
      </c>
      <c r="BD24" s="22">
        <v>0</v>
      </c>
      <c r="BE24" s="22">
        <f t="shared" si="21"/>
        <v>0</v>
      </c>
      <c r="BF24" s="22">
        <f t="shared" ref="BF24:BF41" si="86">BA24+BC24+BE24</f>
        <v>3</v>
      </c>
      <c r="BG24" s="23">
        <f t="shared" si="22"/>
        <v>5</v>
      </c>
      <c r="BH24" s="373">
        <f t="shared" si="23"/>
        <v>0.41518749999999993</v>
      </c>
      <c r="BI24" s="374" t="str">
        <f t="shared" ref="BI24:BI40" si="87">"("&amp;FIXED(BH24*0.092903,2)&amp;")"</f>
        <v>(0.04)</v>
      </c>
      <c r="BJ24" s="375">
        <v>2</v>
      </c>
      <c r="BK24" s="375">
        <f t="shared" si="24"/>
        <v>3</v>
      </c>
      <c r="BL24" s="375">
        <v>0</v>
      </c>
      <c r="BM24" s="375">
        <f t="shared" si="25"/>
        <v>0</v>
      </c>
      <c r="BN24" s="375">
        <v>0</v>
      </c>
      <c r="BO24" s="375">
        <f t="shared" si="26"/>
        <v>0</v>
      </c>
      <c r="BP24" s="375">
        <f t="shared" ref="BP24:BP41" si="88">BK24+BM24+BO24</f>
        <v>3</v>
      </c>
      <c r="BQ24" s="376">
        <f t="shared" si="27"/>
        <v>9</v>
      </c>
      <c r="BR24" s="373">
        <f t="shared" si="28"/>
        <v>0.69197916666666659</v>
      </c>
      <c r="BS24" s="374" t="str">
        <f t="shared" si="29"/>
        <v>(0.06)</v>
      </c>
      <c r="BT24" s="375">
        <v>2</v>
      </c>
      <c r="BU24" s="375">
        <f t="shared" si="30"/>
        <v>3</v>
      </c>
      <c r="BV24" s="375">
        <v>0</v>
      </c>
      <c r="BW24" s="375">
        <f t="shared" si="31"/>
        <v>0</v>
      </c>
      <c r="BX24" s="375">
        <v>0</v>
      </c>
      <c r="BY24" s="375">
        <f t="shared" si="32"/>
        <v>0</v>
      </c>
      <c r="BZ24" s="375">
        <f t="shared" ref="BZ24:BZ41" si="89">BU24+BW24+BY24</f>
        <v>3</v>
      </c>
      <c r="CA24" s="376">
        <f t="shared" si="33"/>
        <v>15</v>
      </c>
      <c r="CB24" s="373">
        <f t="shared" si="34"/>
        <v>0.96877083333333325</v>
      </c>
      <c r="CC24" s="374" t="str">
        <f t="shared" si="35"/>
        <v>(0.09)</v>
      </c>
      <c r="CD24" s="375">
        <v>2</v>
      </c>
      <c r="CE24" s="375">
        <f t="shared" si="36"/>
        <v>3</v>
      </c>
      <c r="CF24" s="375">
        <v>0</v>
      </c>
      <c r="CG24" s="375">
        <f t="shared" si="37"/>
        <v>0</v>
      </c>
      <c r="CH24" s="375">
        <v>0</v>
      </c>
      <c r="CI24" s="375">
        <f t="shared" si="38"/>
        <v>0</v>
      </c>
      <c r="CJ24" s="375">
        <f t="shared" ref="CJ24:CJ41" si="90">CE24+CG24+CI24</f>
        <v>3</v>
      </c>
      <c r="CK24" s="376">
        <f t="shared" si="39"/>
        <v>21</v>
      </c>
      <c r="CL24" s="373">
        <f t="shared" si="40"/>
        <v>1.2455624999999997</v>
      </c>
      <c r="CM24" s="374" t="str">
        <f t="shared" si="41"/>
        <v>(0.12)</v>
      </c>
      <c r="CN24" s="375">
        <v>2</v>
      </c>
      <c r="CO24" s="375">
        <f t="shared" si="42"/>
        <v>3</v>
      </c>
      <c r="CP24" s="375">
        <v>0</v>
      </c>
      <c r="CQ24" s="375">
        <f t="shared" si="43"/>
        <v>0</v>
      </c>
      <c r="CR24" s="375">
        <v>0</v>
      </c>
      <c r="CS24" s="375">
        <f t="shared" si="44"/>
        <v>0</v>
      </c>
      <c r="CT24" s="375">
        <f t="shared" ref="CT24:CT41" si="91">CO24+CQ24+CS24</f>
        <v>3</v>
      </c>
      <c r="CU24" s="376">
        <f t="shared" si="45"/>
        <v>27</v>
      </c>
      <c r="CV24" s="373">
        <f t="shared" si="46"/>
        <v>1.5223541666666665</v>
      </c>
      <c r="CW24" s="374" t="str">
        <f t="shared" si="47"/>
        <v>(0.14)</v>
      </c>
      <c r="CX24" s="375">
        <v>2</v>
      </c>
      <c r="CY24" s="375">
        <f t="shared" si="48"/>
        <v>3</v>
      </c>
      <c r="CZ24" s="375">
        <v>0</v>
      </c>
      <c r="DA24" s="375">
        <f t="shared" si="49"/>
        <v>0</v>
      </c>
      <c r="DB24" s="375">
        <v>0</v>
      </c>
      <c r="DC24" s="375">
        <f t="shared" si="50"/>
        <v>0</v>
      </c>
      <c r="DD24" s="375">
        <f t="shared" ref="DD24:DD41" si="92">CY24+DA24+DC24</f>
        <v>3</v>
      </c>
      <c r="DE24" s="376">
        <f t="shared" si="51"/>
        <v>33</v>
      </c>
      <c r="DF24" s="373">
        <f t="shared" si="52"/>
        <v>1.799145833333333</v>
      </c>
      <c r="DG24" s="374" t="str">
        <f t="shared" si="53"/>
        <v>(0.17)</v>
      </c>
      <c r="DH24" s="375">
        <v>2</v>
      </c>
      <c r="DI24" s="375">
        <f t="shared" si="54"/>
        <v>3</v>
      </c>
      <c r="DJ24" s="375">
        <v>0</v>
      </c>
      <c r="DK24" s="375">
        <f t="shared" si="55"/>
        <v>0</v>
      </c>
      <c r="DL24" s="375">
        <v>0</v>
      </c>
      <c r="DM24" s="375">
        <f t="shared" si="56"/>
        <v>0</v>
      </c>
      <c r="DN24" s="375">
        <f t="shared" ref="DN24:DN41" si="93">DI24+DK24+DM24</f>
        <v>3</v>
      </c>
      <c r="DO24" s="376">
        <f t="shared" si="57"/>
        <v>39</v>
      </c>
      <c r="DP24" s="373">
        <f t="shared" si="58"/>
        <v>2.0759374999999998</v>
      </c>
      <c r="DQ24" s="374" t="str">
        <f t="shared" si="59"/>
        <v>(0.19)</v>
      </c>
      <c r="DR24" s="375">
        <v>2</v>
      </c>
      <c r="DS24" s="375">
        <f t="shared" si="60"/>
        <v>3</v>
      </c>
      <c r="DT24" s="375">
        <v>0</v>
      </c>
      <c r="DU24" s="375">
        <f t="shared" si="61"/>
        <v>0</v>
      </c>
      <c r="DV24" s="375">
        <v>0</v>
      </c>
      <c r="DW24" s="375">
        <f t="shared" si="62"/>
        <v>0</v>
      </c>
      <c r="DX24" s="375">
        <f t="shared" ref="DX24:DX41" si="94">DS24+DU24+DW24</f>
        <v>3</v>
      </c>
      <c r="DY24" s="376">
        <f t="shared" si="63"/>
        <v>45</v>
      </c>
      <c r="DZ24" s="373">
        <f t="shared" si="64"/>
        <v>2.3065972222222215</v>
      </c>
      <c r="EA24" s="374" t="str">
        <f t="shared" ref="EA24:EA40" si="95">"("&amp;FIXED(DZ24*0.092903,2)&amp;")"</f>
        <v>(0.21)</v>
      </c>
      <c r="EB24" s="375">
        <v>2</v>
      </c>
      <c r="EC24" s="375">
        <f t="shared" si="65"/>
        <v>3</v>
      </c>
      <c r="ED24" s="375">
        <v>0</v>
      </c>
      <c r="EE24" s="375">
        <f t="shared" si="66"/>
        <v>0</v>
      </c>
      <c r="EF24" s="375">
        <v>1</v>
      </c>
      <c r="EG24" s="375">
        <f t="shared" si="67"/>
        <v>1</v>
      </c>
      <c r="EH24" s="375">
        <f t="shared" ref="EH24:EH41" si="96">EC24+EE24+EG24</f>
        <v>4</v>
      </c>
      <c r="EI24" s="376">
        <f t="shared" si="68"/>
        <v>50</v>
      </c>
      <c r="EJ24" s="373">
        <f t="shared" si="69"/>
        <v>2.5833888888888885</v>
      </c>
      <c r="EK24" s="374" t="str">
        <f t="shared" ref="EK24:EK30" si="97">"("&amp;FIXED(EJ24*0.092903,2)&amp;")"</f>
        <v>(0.24)</v>
      </c>
      <c r="EL24" s="375">
        <v>2</v>
      </c>
      <c r="EM24" s="375">
        <f t="shared" si="70"/>
        <v>3</v>
      </c>
      <c r="EN24" s="375">
        <v>0</v>
      </c>
      <c r="EO24" s="375">
        <f t="shared" si="71"/>
        <v>0</v>
      </c>
      <c r="EP24" s="375">
        <v>1</v>
      </c>
      <c r="EQ24" s="375">
        <f t="shared" si="72"/>
        <v>1</v>
      </c>
      <c r="ER24" s="375">
        <f t="shared" ref="ER24:ER41" si="98">EM24+EO24+EQ24</f>
        <v>4</v>
      </c>
      <c r="ES24" s="376">
        <f t="shared" si="73"/>
        <v>56</v>
      </c>
      <c r="ET24" s="373">
        <f t="shared" si="74"/>
        <v>2.8601805555555551</v>
      </c>
      <c r="EU24" s="374" t="str">
        <f t="shared" ref="EU24:EU30" si="99">"("&amp;FIXED(ET24*0.092903,2)&amp;")"</f>
        <v>(0.27)</v>
      </c>
      <c r="EV24" s="375">
        <v>2</v>
      </c>
      <c r="EW24" s="375">
        <f t="shared" si="75"/>
        <v>3</v>
      </c>
      <c r="EX24" s="375">
        <v>0</v>
      </c>
      <c r="EY24" s="375">
        <f t="shared" si="76"/>
        <v>0</v>
      </c>
      <c r="EZ24" s="375">
        <v>1</v>
      </c>
      <c r="FA24" s="375">
        <f t="shared" si="77"/>
        <v>1</v>
      </c>
      <c r="FB24" s="375">
        <f t="shared" ref="FB24:FB41" si="100">EW24+EY24+FA24</f>
        <v>4</v>
      </c>
      <c r="FC24" s="376">
        <f t="shared" si="78"/>
        <v>62</v>
      </c>
      <c r="FD24" s="373">
        <f t="shared" si="79"/>
        <v>3.1312057291666662</v>
      </c>
      <c r="FE24" s="374" t="str">
        <f t="shared" ref="FE24:FE40" si="101">"("&amp;FIXED(FD24*0.092903,2)&amp;")"</f>
        <v>(0.29)</v>
      </c>
      <c r="FF24" s="22">
        <v>2</v>
      </c>
      <c r="FG24" s="22">
        <f t="shared" si="80"/>
        <v>3</v>
      </c>
      <c r="FH24" s="22">
        <v>1</v>
      </c>
      <c r="FI24" s="22">
        <f t="shared" si="81"/>
        <v>1.125</v>
      </c>
      <c r="FJ24" s="22">
        <v>0</v>
      </c>
      <c r="FK24" s="22">
        <f t="shared" si="82"/>
        <v>0</v>
      </c>
      <c r="FL24" s="22">
        <f t="shared" ref="FL24:FL41" si="102">FG24+FI24+FK24</f>
        <v>4.125</v>
      </c>
      <c r="FM24" s="23">
        <f t="shared" si="83"/>
        <v>67.875</v>
      </c>
      <c r="FN24" s="239"/>
      <c r="FO24" s="240"/>
      <c r="FP24" s="241"/>
      <c r="FQ24" s="241"/>
      <c r="FR24" s="241"/>
      <c r="FS24" s="241"/>
      <c r="FT24" s="241"/>
      <c r="FU24" s="241"/>
      <c r="FV24" s="241"/>
      <c r="FW24" s="242"/>
      <c r="FX24" s="239"/>
      <c r="FY24" s="240"/>
      <c r="FZ24" s="241"/>
      <c r="GA24" s="241"/>
      <c r="GB24" s="241"/>
      <c r="GC24" s="241"/>
      <c r="GD24" s="241"/>
      <c r="GE24" s="241"/>
      <c r="GF24" s="241"/>
      <c r="GG24" s="242"/>
      <c r="GH24" s="239"/>
      <c r="GI24" s="240"/>
      <c r="GJ24" s="241"/>
      <c r="GK24" s="241"/>
      <c r="GL24" s="241"/>
      <c r="GM24" s="241"/>
      <c r="GN24" s="241"/>
      <c r="GO24" s="241"/>
      <c r="GP24" s="241"/>
      <c r="GQ24" s="242"/>
      <c r="GR24" s="239"/>
      <c r="GS24" s="240"/>
      <c r="GT24" s="241"/>
      <c r="GU24" s="241"/>
      <c r="GV24" s="241"/>
      <c r="GW24" s="241"/>
      <c r="GX24" s="241"/>
      <c r="GY24" s="241"/>
      <c r="GZ24" s="241"/>
      <c r="HA24" s="242"/>
      <c r="HB24" s="239"/>
      <c r="HC24" s="240"/>
      <c r="HD24" s="241"/>
      <c r="HE24" s="241"/>
      <c r="HF24" s="241"/>
      <c r="HG24" s="241"/>
      <c r="HH24" s="241"/>
      <c r="HI24" s="241"/>
      <c r="HJ24" s="241"/>
      <c r="HK24" s="242"/>
      <c r="HL24" s="239"/>
      <c r="HM24" s="240"/>
      <c r="HN24" s="241"/>
      <c r="HO24" s="241"/>
      <c r="HP24" s="241"/>
      <c r="HQ24" s="241"/>
      <c r="HR24" s="241"/>
      <c r="HS24" s="241"/>
      <c r="HT24" s="241"/>
      <c r="HU24" s="242"/>
      <c r="HV24" s="239"/>
      <c r="HW24" s="240"/>
      <c r="HX24" s="241"/>
      <c r="HY24" s="241"/>
      <c r="HZ24" s="241"/>
      <c r="IA24" s="241"/>
      <c r="IB24" s="241"/>
      <c r="IC24" s="241"/>
      <c r="ID24" s="241"/>
      <c r="IE24" s="242"/>
      <c r="IF24" s="239"/>
      <c r="IG24" s="240"/>
      <c r="IH24" s="241"/>
      <c r="II24" s="241"/>
      <c r="IJ24" s="241"/>
      <c r="IK24" s="241"/>
      <c r="IL24" s="241"/>
      <c r="IM24" s="241"/>
      <c r="IN24" s="241"/>
      <c r="IO24" s="242"/>
      <c r="IP24" s="24"/>
      <c r="IQ24" s="25">
        <v>7</v>
      </c>
      <c r="IR24" s="26">
        <v>0.88200000000000001</v>
      </c>
      <c r="IS24" s="26">
        <v>0.88900000000000001</v>
      </c>
      <c r="IT24" s="26">
        <v>0.42699999999999999</v>
      </c>
      <c r="IU24" s="26">
        <v>1.5</v>
      </c>
      <c r="IV24" s="26">
        <v>1</v>
      </c>
      <c r="IW24" s="26">
        <v>1.125</v>
      </c>
      <c r="IX24" s="8"/>
    </row>
    <row r="25" spans="2:258" ht="15.75" thickBot="1" x14ac:dyDescent="0.3">
      <c r="B25" s="103">
        <f t="shared" si="17"/>
        <v>42</v>
      </c>
      <c r="C25" s="221">
        <v>8</v>
      </c>
      <c r="D25" s="98">
        <f t="shared" si="1"/>
        <v>0.25760416666666669</v>
      </c>
      <c r="E25" s="96">
        <f t="shared" si="2"/>
        <v>0.30912499999999998</v>
      </c>
      <c r="F25" s="96">
        <f t="shared" si="3"/>
        <v>0.34347222222222229</v>
      </c>
      <c r="G25" s="96">
        <f t="shared" si="4"/>
        <v>0.36064583333333333</v>
      </c>
      <c r="H25" s="96">
        <f t="shared" si="5"/>
        <v>0.37095</v>
      </c>
      <c r="I25" s="96">
        <f t="shared" si="6"/>
        <v>0.37781944444444449</v>
      </c>
      <c r="J25" s="96">
        <f t="shared" si="7"/>
        <v>0.3827261904761905</v>
      </c>
      <c r="K25" s="96">
        <f t="shared" si="8"/>
        <v>0.38640625000000001</v>
      </c>
      <c r="L25" s="96">
        <f t="shared" si="9"/>
        <v>0.38163580246913581</v>
      </c>
      <c r="M25" s="96">
        <f t="shared" si="10"/>
        <v>0.38468888888888886</v>
      </c>
      <c r="N25" s="96">
        <f t="shared" si="11"/>
        <v>0.38718686868686869</v>
      </c>
      <c r="O25" s="96">
        <f t="shared" si="12"/>
        <v>0.38855295138888885</v>
      </c>
      <c r="P25" s="238"/>
      <c r="Q25" s="238"/>
      <c r="R25" s="238"/>
      <c r="S25" s="238"/>
      <c r="T25" s="238"/>
      <c r="U25" s="238"/>
      <c r="V25" s="238"/>
      <c r="W25" s="238"/>
      <c r="X25" s="96"/>
      <c r="Y25" s="65"/>
      <c r="AA25" s="83"/>
      <c r="AT25" s="4"/>
      <c r="AU25" s="14">
        <f t="shared" ref="AU25:AU41" si="103">AU24+6</f>
        <v>24</v>
      </c>
      <c r="AV25" s="12" t="str">
        <f t="shared" si="84"/>
        <v>(600)</v>
      </c>
      <c r="AW25" s="19">
        <f t="shared" ref="AW25:AW41" si="104">AW24+1</f>
        <v>10</v>
      </c>
      <c r="AX25" s="20">
        <f t="shared" si="18"/>
        <v>0.32326388888888885</v>
      </c>
      <c r="AY25" s="21" t="str">
        <f t="shared" si="85"/>
        <v>(0.03)</v>
      </c>
      <c r="AZ25" s="22">
        <v>2</v>
      </c>
      <c r="BA25" s="22">
        <f t="shared" si="19"/>
        <v>3</v>
      </c>
      <c r="BB25" s="22">
        <v>0</v>
      </c>
      <c r="BC25" s="22">
        <f t="shared" si="20"/>
        <v>0</v>
      </c>
      <c r="BD25" s="22">
        <v>0</v>
      </c>
      <c r="BE25" s="22">
        <f t="shared" si="21"/>
        <v>0</v>
      </c>
      <c r="BF25" s="22">
        <f t="shared" si="86"/>
        <v>3</v>
      </c>
      <c r="BG25" s="23">
        <f t="shared" si="22"/>
        <v>5</v>
      </c>
      <c r="BH25" s="373">
        <f t="shared" si="23"/>
        <v>0.58187499999999992</v>
      </c>
      <c r="BI25" s="374" t="str">
        <f t="shared" si="87"/>
        <v>(0.05)</v>
      </c>
      <c r="BJ25" s="375">
        <v>2</v>
      </c>
      <c r="BK25" s="375">
        <f t="shared" si="24"/>
        <v>3</v>
      </c>
      <c r="BL25" s="375">
        <v>0</v>
      </c>
      <c r="BM25" s="375">
        <f t="shared" si="25"/>
        <v>0</v>
      </c>
      <c r="BN25" s="375">
        <v>0</v>
      </c>
      <c r="BO25" s="375">
        <f t="shared" si="26"/>
        <v>0</v>
      </c>
      <c r="BP25" s="375">
        <f t="shared" si="88"/>
        <v>3</v>
      </c>
      <c r="BQ25" s="376">
        <f t="shared" si="27"/>
        <v>9</v>
      </c>
      <c r="BR25" s="373">
        <f t="shared" si="28"/>
        <v>0.9697916666666665</v>
      </c>
      <c r="BS25" s="374" t="str">
        <f t="shared" si="29"/>
        <v>(0.09)</v>
      </c>
      <c r="BT25" s="375">
        <v>2</v>
      </c>
      <c r="BU25" s="375">
        <f t="shared" si="30"/>
        <v>3</v>
      </c>
      <c r="BV25" s="375">
        <v>0</v>
      </c>
      <c r="BW25" s="375">
        <f t="shared" si="31"/>
        <v>0</v>
      </c>
      <c r="BX25" s="375">
        <v>0</v>
      </c>
      <c r="BY25" s="375">
        <f t="shared" si="32"/>
        <v>0</v>
      </c>
      <c r="BZ25" s="375">
        <f t="shared" si="89"/>
        <v>3</v>
      </c>
      <c r="CA25" s="376">
        <f t="shared" si="33"/>
        <v>15</v>
      </c>
      <c r="CB25" s="373">
        <f t="shared" si="34"/>
        <v>1.3577083333333331</v>
      </c>
      <c r="CC25" s="374" t="str">
        <f t="shared" si="35"/>
        <v>(0.13)</v>
      </c>
      <c r="CD25" s="375">
        <v>2</v>
      </c>
      <c r="CE25" s="375">
        <f t="shared" si="36"/>
        <v>3</v>
      </c>
      <c r="CF25" s="375">
        <v>0</v>
      </c>
      <c r="CG25" s="375">
        <f t="shared" si="37"/>
        <v>0</v>
      </c>
      <c r="CH25" s="375">
        <v>0</v>
      </c>
      <c r="CI25" s="375">
        <f t="shared" si="38"/>
        <v>0</v>
      </c>
      <c r="CJ25" s="375">
        <f t="shared" si="90"/>
        <v>3</v>
      </c>
      <c r="CK25" s="376">
        <f t="shared" si="39"/>
        <v>21</v>
      </c>
      <c r="CL25" s="373">
        <f t="shared" si="40"/>
        <v>1.7456249999999998</v>
      </c>
      <c r="CM25" s="374" t="str">
        <f t="shared" si="41"/>
        <v>(0.16)</v>
      </c>
      <c r="CN25" s="375">
        <v>2</v>
      </c>
      <c r="CO25" s="375">
        <f t="shared" si="42"/>
        <v>3</v>
      </c>
      <c r="CP25" s="375">
        <v>0</v>
      </c>
      <c r="CQ25" s="375">
        <f t="shared" si="43"/>
        <v>0</v>
      </c>
      <c r="CR25" s="375">
        <v>0</v>
      </c>
      <c r="CS25" s="375">
        <f t="shared" si="44"/>
        <v>0</v>
      </c>
      <c r="CT25" s="375">
        <f t="shared" si="91"/>
        <v>3</v>
      </c>
      <c r="CU25" s="376">
        <f t="shared" si="45"/>
        <v>27</v>
      </c>
      <c r="CV25" s="373">
        <f t="shared" si="46"/>
        <v>2.1335416666666664</v>
      </c>
      <c r="CW25" s="374" t="str">
        <f t="shared" si="47"/>
        <v>(0.2)</v>
      </c>
      <c r="CX25" s="375">
        <v>2</v>
      </c>
      <c r="CY25" s="375">
        <f t="shared" si="48"/>
        <v>3</v>
      </c>
      <c r="CZ25" s="375">
        <v>0</v>
      </c>
      <c r="DA25" s="375">
        <f t="shared" si="49"/>
        <v>0</v>
      </c>
      <c r="DB25" s="375">
        <v>0</v>
      </c>
      <c r="DC25" s="375">
        <f t="shared" si="50"/>
        <v>0</v>
      </c>
      <c r="DD25" s="375">
        <f t="shared" si="92"/>
        <v>3</v>
      </c>
      <c r="DE25" s="376">
        <f t="shared" si="51"/>
        <v>33</v>
      </c>
      <c r="DF25" s="373">
        <f t="shared" si="52"/>
        <v>2.5214583333333334</v>
      </c>
      <c r="DG25" s="374" t="str">
        <f t="shared" si="53"/>
        <v>(0.23)</v>
      </c>
      <c r="DH25" s="375">
        <v>2</v>
      </c>
      <c r="DI25" s="375">
        <f t="shared" si="54"/>
        <v>3</v>
      </c>
      <c r="DJ25" s="375">
        <v>0</v>
      </c>
      <c r="DK25" s="375">
        <f t="shared" si="55"/>
        <v>0</v>
      </c>
      <c r="DL25" s="375">
        <v>0</v>
      </c>
      <c r="DM25" s="375">
        <f t="shared" si="56"/>
        <v>0</v>
      </c>
      <c r="DN25" s="375">
        <f t="shared" si="93"/>
        <v>3</v>
      </c>
      <c r="DO25" s="376">
        <f t="shared" si="57"/>
        <v>39</v>
      </c>
      <c r="DP25" s="373">
        <f t="shared" si="58"/>
        <v>2.9093749999999994</v>
      </c>
      <c r="DQ25" s="374" t="str">
        <f t="shared" si="59"/>
        <v>(0.27)</v>
      </c>
      <c r="DR25" s="375">
        <v>2</v>
      </c>
      <c r="DS25" s="375">
        <f t="shared" si="60"/>
        <v>3</v>
      </c>
      <c r="DT25" s="375">
        <v>0</v>
      </c>
      <c r="DU25" s="375">
        <f t="shared" si="61"/>
        <v>0</v>
      </c>
      <c r="DV25" s="375">
        <v>0</v>
      </c>
      <c r="DW25" s="375">
        <f t="shared" si="62"/>
        <v>0</v>
      </c>
      <c r="DX25" s="375">
        <f t="shared" si="94"/>
        <v>3</v>
      </c>
      <c r="DY25" s="376">
        <f t="shared" si="63"/>
        <v>45</v>
      </c>
      <c r="DZ25" s="373">
        <f t="shared" si="64"/>
        <v>3.2326388888888884</v>
      </c>
      <c r="EA25" s="374" t="str">
        <f t="shared" si="95"/>
        <v>(0.30)</v>
      </c>
      <c r="EB25" s="375">
        <v>2</v>
      </c>
      <c r="EC25" s="375">
        <f t="shared" si="65"/>
        <v>3</v>
      </c>
      <c r="ED25" s="375">
        <v>0</v>
      </c>
      <c r="EE25" s="375">
        <f t="shared" si="66"/>
        <v>0</v>
      </c>
      <c r="EF25" s="375">
        <v>1</v>
      </c>
      <c r="EG25" s="375">
        <f t="shared" si="67"/>
        <v>1</v>
      </c>
      <c r="EH25" s="375">
        <f t="shared" si="96"/>
        <v>4</v>
      </c>
      <c r="EI25" s="376">
        <f t="shared" si="68"/>
        <v>50</v>
      </c>
      <c r="EJ25" s="373">
        <f t="shared" si="69"/>
        <v>3.6205555555555549</v>
      </c>
      <c r="EK25" s="374" t="str">
        <f t="shared" si="97"/>
        <v>(0.34)</v>
      </c>
      <c r="EL25" s="375">
        <v>2</v>
      </c>
      <c r="EM25" s="375">
        <f t="shared" si="70"/>
        <v>3</v>
      </c>
      <c r="EN25" s="375">
        <v>0</v>
      </c>
      <c r="EO25" s="375">
        <f t="shared" si="71"/>
        <v>0</v>
      </c>
      <c r="EP25" s="375">
        <v>1</v>
      </c>
      <c r="EQ25" s="375">
        <f t="shared" si="72"/>
        <v>1</v>
      </c>
      <c r="ER25" s="375">
        <f t="shared" si="98"/>
        <v>4</v>
      </c>
      <c r="ES25" s="376">
        <f t="shared" si="73"/>
        <v>56</v>
      </c>
      <c r="ET25" s="373">
        <f t="shared" si="74"/>
        <v>4.0084722222222213</v>
      </c>
      <c r="EU25" s="374" t="str">
        <f t="shared" si="99"/>
        <v>(0.37)</v>
      </c>
      <c r="EV25" s="375">
        <v>2</v>
      </c>
      <c r="EW25" s="375">
        <f t="shared" si="75"/>
        <v>3</v>
      </c>
      <c r="EX25" s="375">
        <v>0</v>
      </c>
      <c r="EY25" s="375">
        <f t="shared" si="76"/>
        <v>0</v>
      </c>
      <c r="EZ25" s="375">
        <v>1</v>
      </c>
      <c r="FA25" s="375">
        <f t="shared" si="77"/>
        <v>1</v>
      </c>
      <c r="FB25" s="375">
        <f t="shared" si="100"/>
        <v>4</v>
      </c>
      <c r="FC25" s="376">
        <f t="shared" si="78"/>
        <v>62</v>
      </c>
      <c r="FD25" s="373">
        <f t="shared" si="79"/>
        <v>4.3883072916666661</v>
      </c>
      <c r="FE25" s="374" t="str">
        <f t="shared" si="101"/>
        <v>(0.41)</v>
      </c>
      <c r="FF25" s="22">
        <v>2</v>
      </c>
      <c r="FG25" s="22">
        <f t="shared" si="80"/>
        <v>3</v>
      </c>
      <c r="FH25" s="22">
        <v>1</v>
      </c>
      <c r="FI25" s="22">
        <f t="shared" si="81"/>
        <v>1.125</v>
      </c>
      <c r="FJ25" s="22">
        <v>0</v>
      </c>
      <c r="FK25" s="22">
        <f t="shared" si="82"/>
        <v>0</v>
      </c>
      <c r="FL25" s="22">
        <f t="shared" si="102"/>
        <v>4.125</v>
      </c>
      <c r="FM25" s="23">
        <f t="shared" si="83"/>
        <v>67.875</v>
      </c>
      <c r="FN25" s="239"/>
      <c r="FO25" s="240"/>
      <c r="FP25" s="241"/>
      <c r="FQ25" s="241"/>
      <c r="FR25" s="241"/>
      <c r="FS25" s="241"/>
      <c r="FT25" s="241"/>
      <c r="FU25" s="241"/>
      <c r="FV25" s="241"/>
      <c r="FW25" s="242"/>
      <c r="FX25" s="239"/>
      <c r="FY25" s="240"/>
      <c r="FZ25" s="241"/>
      <c r="GA25" s="241"/>
      <c r="GB25" s="241"/>
      <c r="GC25" s="241"/>
      <c r="GD25" s="241"/>
      <c r="GE25" s="241"/>
      <c r="GF25" s="241"/>
      <c r="GG25" s="242"/>
      <c r="GH25" s="239"/>
      <c r="GI25" s="240"/>
      <c r="GJ25" s="241"/>
      <c r="GK25" s="241"/>
      <c r="GL25" s="241"/>
      <c r="GM25" s="241"/>
      <c r="GN25" s="241"/>
      <c r="GO25" s="241"/>
      <c r="GP25" s="241"/>
      <c r="GQ25" s="242"/>
      <c r="GR25" s="239"/>
      <c r="GS25" s="240"/>
      <c r="GT25" s="241"/>
      <c r="GU25" s="241"/>
      <c r="GV25" s="241"/>
      <c r="GW25" s="241"/>
      <c r="GX25" s="241"/>
      <c r="GY25" s="241"/>
      <c r="GZ25" s="241"/>
      <c r="HA25" s="242"/>
      <c r="HB25" s="239"/>
      <c r="HC25" s="240"/>
      <c r="HD25" s="241"/>
      <c r="HE25" s="241"/>
      <c r="HF25" s="241"/>
      <c r="HG25" s="241"/>
      <c r="HH25" s="241"/>
      <c r="HI25" s="241"/>
      <c r="HJ25" s="241"/>
      <c r="HK25" s="242"/>
      <c r="HL25" s="239"/>
      <c r="HM25" s="240"/>
      <c r="HN25" s="241"/>
      <c r="HO25" s="241"/>
      <c r="HP25" s="241"/>
      <c r="HQ25" s="241"/>
      <c r="HR25" s="241"/>
      <c r="HS25" s="241"/>
      <c r="HT25" s="241"/>
      <c r="HU25" s="242"/>
      <c r="HV25" s="239"/>
      <c r="HW25" s="240"/>
      <c r="HX25" s="241"/>
      <c r="HY25" s="241"/>
      <c r="HZ25" s="241"/>
      <c r="IA25" s="241"/>
      <c r="IB25" s="241"/>
      <c r="IC25" s="241"/>
      <c r="ID25" s="241"/>
      <c r="IE25" s="242"/>
      <c r="IF25" s="239"/>
      <c r="IG25" s="240"/>
      <c r="IH25" s="241"/>
      <c r="II25" s="241"/>
      <c r="IJ25" s="241"/>
      <c r="IK25" s="241"/>
      <c r="IL25" s="241"/>
      <c r="IM25" s="241"/>
      <c r="IN25" s="241"/>
      <c r="IO25" s="242"/>
      <c r="IP25" s="24"/>
      <c r="IQ25" s="25">
        <v>10</v>
      </c>
      <c r="IR25" s="26">
        <v>0.88200000000000001</v>
      </c>
      <c r="IS25" s="26">
        <v>0.88900000000000001</v>
      </c>
      <c r="IT25" s="26">
        <v>0.42699999999999999</v>
      </c>
      <c r="IU25" s="26">
        <v>1.5</v>
      </c>
      <c r="IV25" s="26">
        <v>1</v>
      </c>
      <c r="IW25" s="26">
        <v>1.125</v>
      </c>
      <c r="IX25" s="8"/>
    </row>
    <row r="26" spans="2:258" ht="15.75" thickBot="1" x14ac:dyDescent="0.3">
      <c r="B26" s="103">
        <f t="shared" si="17"/>
        <v>48</v>
      </c>
      <c r="C26" s="226">
        <v>9</v>
      </c>
      <c r="D26" s="98">
        <f t="shared" si="1"/>
        <v>0.26013020833333339</v>
      </c>
      <c r="E26" s="96">
        <f t="shared" si="2"/>
        <v>0.31215625000000002</v>
      </c>
      <c r="F26" s="96">
        <f t="shared" si="3"/>
        <v>0.34684027777777776</v>
      </c>
      <c r="G26" s="96">
        <f t="shared" si="4"/>
        <v>0.36418229166666666</v>
      </c>
      <c r="H26" s="96">
        <f t="shared" si="5"/>
        <v>0.37458750000000002</v>
      </c>
      <c r="I26" s="96">
        <f t="shared" si="6"/>
        <v>0.38152430555555555</v>
      </c>
      <c r="J26" s="96">
        <f t="shared" si="7"/>
        <v>0.38647916666666671</v>
      </c>
      <c r="K26" s="96">
        <f t="shared" si="8"/>
        <v>0.39019531250000006</v>
      </c>
      <c r="L26" s="96">
        <f t="shared" si="9"/>
        <v>0.38537808641975313</v>
      </c>
      <c r="M26" s="96">
        <f t="shared" si="10"/>
        <v>0.38846111111111109</v>
      </c>
      <c r="N26" s="96">
        <f t="shared" si="11"/>
        <v>0.39098358585858595</v>
      </c>
      <c r="O26" s="96">
        <f t="shared" si="12"/>
        <v>0.39236306423611111</v>
      </c>
      <c r="P26" s="238"/>
      <c r="Q26" s="238"/>
      <c r="R26" s="238"/>
      <c r="S26" s="238"/>
      <c r="T26" s="238"/>
      <c r="U26" s="238"/>
      <c r="V26" s="238"/>
      <c r="W26" s="238"/>
      <c r="X26" s="96"/>
      <c r="Y26" s="65"/>
      <c r="AA26" s="83"/>
      <c r="AT26" s="4"/>
      <c r="AU26" s="27">
        <f t="shared" si="103"/>
        <v>30</v>
      </c>
      <c r="AV26" s="28" t="str">
        <f t="shared" si="84"/>
        <v>(750)</v>
      </c>
      <c r="AW26" s="19">
        <f t="shared" si="104"/>
        <v>11</v>
      </c>
      <c r="AX26" s="20">
        <f t="shared" si="18"/>
        <v>0.4158680555555555</v>
      </c>
      <c r="AY26" s="29" t="str">
        <f t="shared" si="85"/>
        <v>(0.04)</v>
      </c>
      <c r="AZ26" s="22">
        <v>2</v>
      </c>
      <c r="BA26" s="22">
        <f t="shared" si="19"/>
        <v>3</v>
      </c>
      <c r="BB26" s="30">
        <v>0</v>
      </c>
      <c r="BC26" s="22">
        <f t="shared" si="20"/>
        <v>0</v>
      </c>
      <c r="BD26" s="30">
        <v>0</v>
      </c>
      <c r="BE26" s="22">
        <f t="shared" si="21"/>
        <v>0</v>
      </c>
      <c r="BF26" s="22">
        <f t="shared" si="86"/>
        <v>3</v>
      </c>
      <c r="BG26" s="23">
        <f t="shared" si="22"/>
        <v>5</v>
      </c>
      <c r="BH26" s="373">
        <f t="shared" si="23"/>
        <v>0.74856249999999991</v>
      </c>
      <c r="BI26" s="374" t="str">
        <f t="shared" si="87"/>
        <v>(0.07)</v>
      </c>
      <c r="BJ26" s="375">
        <v>2</v>
      </c>
      <c r="BK26" s="375">
        <f t="shared" si="24"/>
        <v>3</v>
      </c>
      <c r="BL26" s="375">
        <v>0</v>
      </c>
      <c r="BM26" s="375">
        <f t="shared" si="25"/>
        <v>0</v>
      </c>
      <c r="BN26" s="375">
        <v>0</v>
      </c>
      <c r="BO26" s="375">
        <f t="shared" si="26"/>
        <v>0</v>
      </c>
      <c r="BP26" s="375">
        <f t="shared" si="88"/>
        <v>3</v>
      </c>
      <c r="BQ26" s="376">
        <f t="shared" si="27"/>
        <v>9</v>
      </c>
      <c r="BR26" s="373">
        <f t="shared" si="28"/>
        <v>1.2476041666666664</v>
      </c>
      <c r="BS26" s="374" t="str">
        <f t="shared" si="29"/>
        <v>(0.12)</v>
      </c>
      <c r="BT26" s="375">
        <v>2</v>
      </c>
      <c r="BU26" s="375">
        <f t="shared" si="30"/>
        <v>3</v>
      </c>
      <c r="BV26" s="375">
        <v>0</v>
      </c>
      <c r="BW26" s="375">
        <f t="shared" si="31"/>
        <v>0</v>
      </c>
      <c r="BX26" s="375">
        <v>0</v>
      </c>
      <c r="BY26" s="375">
        <f t="shared" si="32"/>
        <v>0</v>
      </c>
      <c r="BZ26" s="375">
        <f t="shared" si="89"/>
        <v>3</v>
      </c>
      <c r="CA26" s="376">
        <f t="shared" si="33"/>
        <v>15</v>
      </c>
      <c r="CB26" s="373">
        <f t="shared" si="34"/>
        <v>1.746645833333333</v>
      </c>
      <c r="CC26" s="374" t="str">
        <f t="shared" si="35"/>
        <v>(0.16)</v>
      </c>
      <c r="CD26" s="375">
        <v>2</v>
      </c>
      <c r="CE26" s="375">
        <f t="shared" si="36"/>
        <v>3</v>
      </c>
      <c r="CF26" s="375">
        <v>0</v>
      </c>
      <c r="CG26" s="375">
        <f t="shared" si="37"/>
        <v>0</v>
      </c>
      <c r="CH26" s="375">
        <v>0</v>
      </c>
      <c r="CI26" s="375">
        <f t="shared" si="38"/>
        <v>0</v>
      </c>
      <c r="CJ26" s="375">
        <f t="shared" si="90"/>
        <v>3</v>
      </c>
      <c r="CK26" s="376">
        <f t="shared" si="39"/>
        <v>21</v>
      </c>
      <c r="CL26" s="373">
        <f t="shared" si="40"/>
        <v>2.2456874999999998</v>
      </c>
      <c r="CM26" s="374" t="str">
        <f t="shared" si="41"/>
        <v>(0.21)</v>
      </c>
      <c r="CN26" s="375">
        <v>2</v>
      </c>
      <c r="CO26" s="375">
        <f t="shared" si="42"/>
        <v>3</v>
      </c>
      <c r="CP26" s="375">
        <v>0</v>
      </c>
      <c r="CQ26" s="375">
        <f t="shared" si="43"/>
        <v>0</v>
      </c>
      <c r="CR26" s="375">
        <v>0</v>
      </c>
      <c r="CS26" s="375">
        <f t="shared" si="44"/>
        <v>0</v>
      </c>
      <c r="CT26" s="375">
        <f t="shared" si="91"/>
        <v>3</v>
      </c>
      <c r="CU26" s="376">
        <f t="shared" si="45"/>
        <v>27</v>
      </c>
      <c r="CV26" s="373">
        <f t="shared" si="46"/>
        <v>2.7447291666666662</v>
      </c>
      <c r="CW26" s="374" t="str">
        <f t="shared" si="47"/>
        <v>(0.25)</v>
      </c>
      <c r="CX26" s="375">
        <v>2</v>
      </c>
      <c r="CY26" s="375">
        <f t="shared" si="48"/>
        <v>3</v>
      </c>
      <c r="CZ26" s="375">
        <v>0</v>
      </c>
      <c r="DA26" s="375">
        <f t="shared" si="49"/>
        <v>0</v>
      </c>
      <c r="DB26" s="375">
        <v>0</v>
      </c>
      <c r="DC26" s="375">
        <f t="shared" si="50"/>
        <v>0</v>
      </c>
      <c r="DD26" s="375">
        <f t="shared" si="92"/>
        <v>3</v>
      </c>
      <c r="DE26" s="376">
        <f t="shared" si="51"/>
        <v>33</v>
      </c>
      <c r="DF26" s="373">
        <f t="shared" si="52"/>
        <v>3.243770833333333</v>
      </c>
      <c r="DG26" s="374" t="str">
        <f t="shared" si="53"/>
        <v>(0.3)</v>
      </c>
      <c r="DH26" s="375">
        <v>2</v>
      </c>
      <c r="DI26" s="375">
        <f t="shared" si="54"/>
        <v>3</v>
      </c>
      <c r="DJ26" s="375">
        <v>0</v>
      </c>
      <c r="DK26" s="375">
        <f t="shared" si="55"/>
        <v>0</v>
      </c>
      <c r="DL26" s="375">
        <v>0</v>
      </c>
      <c r="DM26" s="375">
        <f t="shared" si="56"/>
        <v>0</v>
      </c>
      <c r="DN26" s="375">
        <f t="shared" si="93"/>
        <v>3</v>
      </c>
      <c r="DO26" s="376">
        <f t="shared" si="57"/>
        <v>39</v>
      </c>
      <c r="DP26" s="373">
        <f t="shared" si="58"/>
        <v>3.7428124999999994</v>
      </c>
      <c r="DQ26" s="374" t="str">
        <f t="shared" si="59"/>
        <v>(0.35)</v>
      </c>
      <c r="DR26" s="375">
        <v>2</v>
      </c>
      <c r="DS26" s="375">
        <f t="shared" si="60"/>
        <v>3</v>
      </c>
      <c r="DT26" s="375">
        <v>0</v>
      </c>
      <c r="DU26" s="375">
        <f t="shared" si="61"/>
        <v>0</v>
      </c>
      <c r="DV26" s="375">
        <v>0</v>
      </c>
      <c r="DW26" s="375">
        <f t="shared" si="62"/>
        <v>0</v>
      </c>
      <c r="DX26" s="375">
        <f t="shared" si="94"/>
        <v>3</v>
      </c>
      <c r="DY26" s="376">
        <f t="shared" si="63"/>
        <v>45</v>
      </c>
      <c r="DZ26" s="373">
        <f t="shared" si="64"/>
        <v>4.1586805555555548</v>
      </c>
      <c r="EA26" s="374" t="str">
        <f t="shared" si="95"/>
        <v>(0.39)</v>
      </c>
      <c r="EB26" s="375">
        <v>2</v>
      </c>
      <c r="EC26" s="375">
        <f t="shared" si="65"/>
        <v>3</v>
      </c>
      <c r="ED26" s="375">
        <v>0</v>
      </c>
      <c r="EE26" s="375">
        <f t="shared" si="66"/>
        <v>0</v>
      </c>
      <c r="EF26" s="375">
        <v>1</v>
      </c>
      <c r="EG26" s="375">
        <f t="shared" si="67"/>
        <v>1</v>
      </c>
      <c r="EH26" s="375">
        <f t="shared" si="96"/>
        <v>4</v>
      </c>
      <c r="EI26" s="376">
        <f t="shared" si="68"/>
        <v>50</v>
      </c>
      <c r="EJ26" s="373">
        <f t="shared" si="69"/>
        <v>4.6577222222222217</v>
      </c>
      <c r="EK26" s="374" t="str">
        <f t="shared" si="97"/>
        <v>(0.43)</v>
      </c>
      <c r="EL26" s="375">
        <v>2</v>
      </c>
      <c r="EM26" s="375">
        <f t="shared" si="70"/>
        <v>3</v>
      </c>
      <c r="EN26" s="375">
        <v>0</v>
      </c>
      <c r="EO26" s="375">
        <f t="shared" si="71"/>
        <v>0</v>
      </c>
      <c r="EP26" s="375">
        <v>1</v>
      </c>
      <c r="EQ26" s="375">
        <f t="shared" si="72"/>
        <v>1</v>
      </c>
      <c r="ER26" s="375">
        <f t="shared" si="98"/>
        <v>4</v>
      </c>
      <c r="ES26" s="376">
        <f t="shared" si="73"/>
        <v>56</v>
      </c>
      <c r="ET26" s="373">
        <f t="shared" si="74"/>
        <v>5.1567638888888885</v>
      </c>
      <c r="EU26" s="374" t="str">
        <f t="shared" si="99"/>
        <v>(0.48)</v>
      </c>
      <c r="EV26" s="375">
        <v>2</v>
      </c>
      <c r="EW26" s="375">
        <f t="shared" si="75"/>
        <v>3</v>
      </c>
      <c r="EX26" s="375">
        <v>0</v>
      </c>
      <c r="EY26" s="375">
        <f t="shared" si="76"/>
        <v>0</v>
      </c>
      <c r="EZ26" s="375">
        <v>1</v>
      </c>
      <c r="FA26" s="375">
        <f t="shared" si="77"/>
        <v>1</v>
      </c>
      <c r="FB26" s="375">
        <f t="shared" si="100"/>
        <v>4</v>
      </c>
      <c r="FC26" s="376">
        <f t="shared" si="78"/>
        <v>62</v>
      </c>
      <c r="FD26" s="373">
        <f t="shared" si="79"/>
        <v>5.645408854166666</v>
      </c>
      <c r="FE26" s="374" t="str">
        <f t="shared" si="101"/>
        <v>(0.52)</v>
      </c>
      <c r="FF26" s="22">
        <v>2</v>
      </c>
      <c r="FG26" s="22">
        <f t="shared" si="80"/>
        <v>3</v>
      </c>
      <c r="FH26" s="30">
        <v>1</v>
      </c>
      <c r="FI26" s="22">
        <f t="shared" si="81"/>
        <v>1.125</v>
      </c>
      <c r="FJ26" s="30">
        <v>0</v>
      </c>
      <c r="FK26" s="22">
        <f t="shared" si="82"/>
        <v>0</v>
      </c>
      <c r="FL26" s="22">
        <f t="shared" si="102"/>
        <v>4.125</v>
      </c>
      <c r="FM26" s="23">
        <f t="shared" si="83"/>
        <v>67.875</v>
      </c>
      <c r="FN26" s="239"/>
      <c r="FO26" s="240"/>
      <c r="FP26" s="241"/>
      <c r="FQ26" s="241"/>
      <c r="FR26" s="241"/>
      <c r="FS26" s="241"/>
      <c r="FT26" s="241"/>
      <c r="FU26" s="241"/>
      <c r="FV26" s="241"/>
      <c r="FW26" s="242"/>
      <c r="FX26" s="239"/>
      <c r="FY26" s="240"/>
      <c r="FZ26" s="241"/>
      <c r="GA26" s="241"/>
      <c r="GB26" s="241"/>
      <c r="GC26" s="241"/>
      <c r="GD26" s="241"/>
      <c r="GE26" s="241"/>
      <c r="GF26" s="241"/>
      <c r="GG26" s="242"/>
      <c r="GH26" s="239"/>
      <c r="GI26" s="240"/>
      <c r="GJ26" s="241"/>
      <c r="GK26" s="241"/>
      <c r="GL26" s="241"/>
      <c r="GM26" s="241"/>
      <c r="GN26" s="241"/>
      <c r="GO26" s="241"/>
      <c r="GP26" s="241"/>
      <c r="GQ26" s="242"/>
      <c r="GR26" s="239"/>
      <c r="GS26" s="240"/>
      <c r="GT26" s="241"/>
      <c r="GU26" s="241"/>
      <c r="GV26" s="241"/>
      <c r="GW26" s="241"/>
      <c r="GX26" s="241"/>
      <c r="GY26" s="241"/>
      <c r="GZ26" s="241"/>
      <c r="HA26" s="242"/>
      <c r="HB26" s="239"/>
      <c r="HC26" s="240"/>
      <c r="HD26" s="241"/>
      <c r="HE26" s="241"/>
      <c r="HF26" s="241"/>
      <c r="HG26" s="241"/>
      <c r="HH26" s="241"/>
      <c r="HI26" s="241"/>
      <c r="HJ26" s="241"/>
      <c r="HK26" s="242"/>
      <c r="HL26" s="239"/>
      <c r="HM26" s="240"/>
      <c r="HN26" s="241"/>
      <c r="HO26" s="241"/>
      <c r="HP26" s="241"/>
      <c r="HQ26" s="241"/>
      <c r="HR26" s="241"/>
      <c r="HS26" s="241"/>
      <c r="HT26" s="241"/>
      <c r="HU26" s="242"/>
      <c r="HV26" s="239"/>
      <c r="HW26" s="240"/>
      <c r="HX26" s="241"/>
      <c r="HY26" s="241"/>
      <c r="HZ26" s="241"/>
      <c r="IA26" s="241"/>
      <c r="IB26" s="241"/>
      <c r="IC26" s="241"/>
      <c r="ID26" s="241"/>
      <c r="IE26" s="242"/>
      <c r="IF26" s="239"/>
      <c r="IG26" s="240"/>
      <c r="IH26" s="241"/>
      <c r="II26" s="241"/>
      <c r="IJ26" s="241"/>
      <c r="IK26" s="241"/>
      <c r="IL26" s="241"/>
      <c r="IM26" s="241"/>
      <c r="IN26" s="241"/>
      <c r="IO26" s="242"/>
      <c r="IP26" s="24"/>
      <c r="IQ26" s="25">
        <v>13</v>
      </c>
      <c r="IR26" s="26">
        <v>0.88200000000000001</v>
      </c>
      <c r="IS26" s="26">
        <v>0.88900000000000001</v>
      </c>
      <c r="IT26" s="26">
        <v>0.42699999999999999</v>
      </c>
      <c r="IU26" s="26">
        <v>1.5</v>
      </c>
      <c r="IV26" s="26">
        <v>1</v>
      </c>
      <c r="IW26" s="26">
        <v>1.125</v>
      </c>
      <c r="IX26" s="8"/>
    </row>
    <row r="27" spans="2:258" ht="15.75" thickBot="1" x14ac:dyDescent="0.3">
      <c r="B27" s="103">
        <f t="shared" si="17"/>
        <v>54</v>
      </c>
      <c r="C27" s="221">
        <v>10</v>
      </c>
      <c r="D27" s="98">
        <f t="shared" si="1"/>
        <v>0.26209490740740743</v>
      </c>
      <c r="E27" s="96">
        <f t="shared" si="2"/>
        <v>0.31451388888888887</v>
      </c>
      <c r="F27" s="96">
        <f t="shared" si="3"/>
        <v>0.34945987654320987</v>
      </c>
      <c r="G27" s="96">
        <f t="shared" si="4"/>
        <v>0.36693287037037042</v>
      </c>
      <c r="H27" s="96">
        <f t="shared" si="5"/>
        <v>0.37741666666666668</v>
      </c>
      <c r="I27" s="96">
        <f t="shared" si="6"/>
        <v>0.38440586419753087</v>
      </c>
      <c r="J27" s="96">
        <f t="shared" si="7"/>
        <v>0.38939814814814816</v>
      </c>
      <c r="K27" s="96">
        <f t="shared" si="8"/>
        <v>0.39314236111111112</v>
      </c>
      <c r="L27" s="96">
        <f t="shared" si="9"/>
        <v>0.38828875171467764</v>
      </c>
      <c r="M27" s="96">
        <f t="shared" si="10"/>
        <v>0.391395061728395</v>
      </c>
      <c r="N27" s="96">
        <f t="shared" si="11"/>
        <v>0.39393658810325477</v>
      </c>
      <c r="O27" s="96">
        <f t="shared" si="12"/>
        <v>0.39532648533950621</v>
      </c>
      <c r="P27" s="238"/>
      <c r="Q27" s="238"/>
      <c r="R27" s="238"/>
      <c r="S27" s="238"/>
      <c r="T27" s="238"/>
      <c r="U27" s="238"/>
      <c r="V27" s="238"/>
      <c r="W27" s="238"/>
      <c r="X27" s="96"/>
      <c r="Y27" s="65"/>
      <c r="AA27" s="83"/>
      <c r="AT27" s="4"/>
      <c r="AU27" s="14">
        <f t="shared" si="103"/>
        <v>36</v>
      </c>
      <c r="AV27" s="12" t="str">
        <f t="shared" si="84"/>
        <v>(900)</v>
      </c>
      <c r="AW27" s="19">
        <f t="shared" si="104"/>
        <v>12</v>
      </c>
      <c r="AX27" s="20">
        <f t="shared" si="18"/>
        <v>0.50847222222222221</v>
      </c>
      <c r="AY27" s="21" t="str">
        <f t="shared" si="85"/>
        <v>(0.05)</v>
      </c>
      <c r="AZ27" s="22">
        <v>2</v>
      </c>
      <c r="BA27" s="22">
        <f t="shared" si="19"/>
        <v>3</v>
      </c>
      <c r="BB27" s="22">
        <v>0</v>
      </c>
      <c r="BC27" s="22">
        <f t="shared" si="20"/>
        <v>0</v>
      </c>
      <c r="BD27" s="22">
        <v>0</v>
      </c>
      <c r="BE27" s="22">
        <f t="shared" si="21"/>
        <v>0</v>
      </c>
      <c r="BF27" s="22">
        <f t="shared" si="86"/>
        <v>3</v>
      </c>
      <c r="BG27" s="23">
        <f t="shared" si="22"/>
        <v>5</v>
      </c>
      <c r="BH27" s="373">
        <f t="shared" si="23"/>
        <v>0.9152499999999999</v>
      </c>
      <c r="BI27" s="374" t="str">
        <f t="shared" si="87"/>
        <v>(0.09)</v>
      </c>
      <c r="BJ27" s="375">
        <v>2</v>
      </c>
      <c r="BK27" s="375">
        <f t="shared" si="24"/>
        <v>3</v>
      </c>
      <c r="BL27" s="375">
        <v>0</v>
      </c>
      <c r="BM27" s="375">
        <f t="shared" si="25"/>
        <v>0</v>
      </c>
      <c r="BN27" s="375">
        <v>0</v>
      </c>
      <c r="BO27" s="375">
        <f t="shared" si="26"/>
        <v>0</v>
      </c>
      <c r="BP27" s="375">
        <f t="shared" si="88"/>
        <v>3</v>
      </c>
      <c r="BQ27" s="376">
        <f t="shared" si="27"/>
        <v>9</v>
      </c>
      <c r="BR27" s="373">
        <f t="shared" si="28"/>
        <v>1.5254166666666666</v>
      </c>
      <c r="BS27" s="374" t="str">
        <f t="shared" si="29"/>
        <v>(0.14)</v>
      </c>
      <c r="BT27" s="375">
        <v>2</v>
      </c>
      <c r="BU27" s="375">
        <f t="shared" si="30"/>
        <v>3</v>
      </c>
      <c r="BV27" s="375">
        <v>0</v>
      </c>
      <c r="BW27" s="375">
        <f t="shared" si="31"/>
        <v>0</v>
      </c>
      <c r="BX27" s="375">
        <v>0</v>
      </c>
      <c r="BY27" s="375">
        <f t="shared" si="32"/>
        <v>0</v>
      </c>
      <c r="BZ27" s="375">
        <f t="shared" si="89"/>
        <v>3</v>
      </c>
      <c r="CA27" s="376">
        <f t="shared" si="33"/>
        <v>15</v>
      </c>
      <c r="CB27" s="373">
        <f t="shared" si="34"/>
        <v>2.1355833333333334</v>
      </c>
      <c r="CC27" s="374" t="str">
        <f t="shared" si="35"/>
        <v>(0.2)</v>
      </c>
      <c r="CD27" s="375">
        <v>2</v>
      </c>
      <c r="CE27" s="375">
        <f t="shared" si="36"/>
        <v>3</v>
      </c>
      <c r="CF27" s="375">
        <v>0</v>
      </c>
      <c r="CG27" s="375">
        <f t="shared" si="37"/>
        <v>0</v>
      </c>
      <c r="CH27" s="375">
        <v>0</v>
      </c>
      <c r="CI27" s="375">
        <f t="shared" si="38"/>
        <v>0</v>
      </c>
      <c r="CJ27" s="375">
        <f t="shared" si="90"/>
        <v>3</v>
      </c>
      <c r="CK27" s="376">
        <f t="shared" si="39"/>
        <v>21</v>
      </c>
      <c r="CL27" s="373">
        <f t="shared" si="40"/>
        <v>2.7457499999999997</v>
      </c>
      <c r="CM27" s="374" t="str">
        <f t="shared" si="41"/>
        <v>(0.26)</v>
      </c>
      <c r="CN27" s="375">
        <v>2</v>
      </c>
      <c r="CO27" s="375">
        <f t="shared" si="42"/>
        <v>3</v>
      </c>
      <c r="CP27" s="375">
        <v>0</v>
      </c>
      <c r="CQ27" s="375">
        <f t="shared" si="43"/>
        <v>0</v>
      </c>
      <c r="CR27" s="375">
        <v>0</v>
      </c>
      <c r="CS27" s="375">
        <f t="shared" si="44"/>
        <v>0</v>
      </c>
      <c r="CT27" s="375">
        <f t="shared" si="91"/>
        <v>3</v>
      </c>
      <c r="CU27" s="376">
        <f t="shared" si="45"/>
        <v>27</v>
      </c>
      <c r="CV27" s="373">
        <f t="shared" si="46"/>
        <v>3.3559166666666669</v>
      </c>
      <c r="CW27" s="374" t="str">
        <f t="shared" si="47"/>
        <v>(0.31)</v>
      </c>
      <c r="CX27" s="375">
        <v>2</v>
      </c>
      <c r="CY27" s="375">
        <f t="shared" si="48"/>
        <v>3</v>
      </c>
      <c r="CZ27" s="375">
        <v>0</v>
      </c>
      <c r="DA27" s="375">
        <f t="shared" si="49"/>
        <v>0</v>
      </c>
      <c r="DB27" s="375">
        <v>0</v>
      </c>
      <c r="DC27" s="375">
        <f t="shared" si="50"/>
        <v>0</v>
      </c>
      <c r="DD27" s="375">
        <f t="shared" si="92"/>
        <v>3</v>
      </c>
      <c r="DE27" s="376">
        <f t="shared" si="51"/>
        <v>33</v>
      </c>
      <c r="DF27" s="373">
        <f t="shared" si="52"/>
        <v>3.9660833333333332</v>
      </c>
      <c r="DG27" s="374" t="str">
        <f t="shared" si="53"/>
        <v>(0.37)</v>
      </c>
      <c r="DH27" s="375">
        <v>2</v>
      </c>
      <c r="DI27" s="375">
        <f t="shared" si="54"/>
        <v>3</v>
      </c>
      <c r="DJ27" s="375">
        <v>0</v>
      </c>
      <c r="DK27" s="375">
        <f t="shared" si="55"/>
        <v>0</v>
      </c>
      <c r="DL27" s="375">
        <v>0</v>
      </c>
      <c r="DM27" s="375">
        <f t="shared" si="56"/>
        <v>0</v>
      </c>
      <c r="DN27" s="375">
        <f t="shared" si="93"/>
        <v>3</v>
      </c>
      <c r="DO27" s="376">
        <f t="shared" si="57"/>
        <v>39</v>
      </c>
      <c r="DP27" s="373">
        <f t="shared" si="58"/>
        <v>4.5762499999999999</v>
      </c>
      <c r="DQ27" s="374" t="str">
        <f t="shared" si="59"/>
        <v>(0.43)</v>
      </c>
      <c r="DR27" s="375">
        <v>2</v>
      </c>
      <c r="DS27" s="375">
        <f t="shared" si="60"/>
        <v>3</v>
      </c>
      <c r="DT27" s="375">
        <v>0</v>
      </c>
      <c r="DU27" s="375">
        <f t="shared" si="61"/>
        <v>0</v>
      </c>
      <c r="DV27" s="375">
        <v>0</v>
      </c>
      <c r="DW27" s="375">
        <f t="shared" si="62"/>
        <v>0</v>
      </c>
      <c r="DX27" s="375">
        <f t="shared" si="94"/>
        <v>3</v>
      </c>
      <c r="DY27" s="376">
        <f t="shared" si="63"/>
        <v>45</v>
      </c>
      <c r="DZ27" s="373">
        <f t="shared" si="64"/>
        <v>5.0847222222222221</v>
      </c>
      <c r="EA27" s="374" t="str">
        <f t="shared" si="95"/>
        <v>(0.47)</v>
      </c>
      <c r="EB27" s="375">
        <v>2</v>
      </c>
      <c r="EC27" s="375">
        <f t="shared" si="65"/>
        <v>3</v>
      </c>
      <c r="ED27" s="375">
        <v>0</v>
      </c>
      <c r="EE27" s="375">
        <f t="shared" si="66"/>
        <v>0</v>
      </c>
      <c r="EF27" s="375">
        <v>1</v>
      </c>
      <c r="EG27" s="375">
        <f t="shared" si="67"/>
        <v>1</v>
      </c>
      <c r="EH27" s="375">
        <f t="shared" si="96"/>
        <v>4</v>
      </c>
      <c r="EI27" s="376">
        <f t="shared" si="68"/>
        <v>50</v>
      </c>
      <c r="EJ27" s="373">
        <f t="shared" si="69"/>
        <v>5.6948888888888884</v>
      </c>
      <c r="EK27" s="374" t="str">
        <f t="shared" si="97"/>
        <v>(0.53)</v>
      </c>
      <c r="EL27" s="375">
        <v>2</v>
      </c>
      <c r="EM27" s="375">
        <f t="shared" si="70"/>
        <v>3</v>
      </c>
      <c r="EN27" s="375">
        <v>0</v>
      </c>
      <c r="EO27" s="375">
        <f t="shared" si="71"/>
        <v>0</v>
      </c>
      <c r="EP27" s="375">
        <v>1</v>
      </c>
      <c r="EQ27" s="375">
        <f t="shared" si="72"/>
        <v>1</v>
      </c>
      <c r="ER27" s="375">
        <f t="shared" si="98"/>
        <v>4</v>
      </c>
      <c r="ES27" s="376">
        <f t="shared" si="73"/>
        <v>56</v>
      </c>
      <c r="ET27" s="373">
        <f t="shared" si="74"/>
        <v>6.3050555555555556</v>
      </c>
      <c r="EU27" s="374" t="str">
        <f t="shared" si="99"/>
        <v>(0.59)</v>
      </c>
      <c r="EV27" s="375">
        <v>2</v>
      </c>
      <c r="EW27" s="375">
        <f t="shared" si="75"/>
        <v>3</v>
      </c>
      <c r="EX27" s="375">
        <v>0</v>
      </c>
      <c r="EY27" s="375">
        <f t="shared" si="76"/>
        <v>0</v>
      </c>
      <c r="EZ27" s="375">
        <v>1</v>
      </c>
      <c r="FA27" s="375">
        <f t="shared" si="77"/>
        <v>1</v>
      </c>
      <c r="FB27" s="375">
        <f t="shared" si="100"/>
        <v>4</v>
      </c>
      <c r="FC27" s="376">
        <f t="shared" si="78"/>
        <v>62</v>
      </c>
      <c r="FD27" s="373">
        <f t="shared" si="79"/>
        <v>6.9025104166666669</v>
      </c>
      <c r="FE27" s="374" t="str">
        <f t="shared" si="101"/>
        <v>(0.64)</v>
      </c>
      <c r="FF27" s="22">
        <v>2</v>
      </c>
      <c r="FG27" s="22">
        <f t="shared" si="80"/>
        <v>3</v>
      </c>
      <c r="FH27" s="22">
        <v>1</v>
      </c>
      <c r="FI27" s="22">
        <f t="shared" si="81"/>
        <v>1.125</v>
      </c>
      <c r="FJ27" s="22">
        <v>0</v>
      </c>
      <c r="FK27" s="22">
        <f t="shared" si="82"/>
        <v>0</v>
      </c>
      <c r="FL27" s="22">
        <f t="shared" si="102"/>
        <v>4.125</v>
      </c>
      <c r="FM27" s="23">
        <f t="shared" si="83"/>
        <v>67.875</v>
      </c>
      <c r="FN27" s="239"/>
      <c r="FO27" s="240"/>
      <c r="FP27" s="241"/>
      <c r="FQ27" s="241"/>
      <c r="FR27" s="241"/>
      <c r="FS27" s="241"/>
      <c r="FT27" s="241"/>
      <c r="FU27" s="241"/>
      <c r="FV27" s="241"/>
      <c r="FW27" s="242"/>
      <c r="FX27" s="239"/>
      <c r="FY27" s="240"/>
      <c r="FZ27" s="241"/>
      <c r="GA27" s="241"/>
      <c r="GB27" s="241"/>
      <c r="GC27" s="241"/>
      <c r="GD27" s="241"/>
      <c r="GE27" s="241"/>
      <c r="GF27" s="241"/>
      <c r="GG27" s="242"/>
      <c r="GH27" s="239"/>
      <c r="GI27" s="240"/>
      <c r="GJ27" s="241"/>
      <c r="GK27" s="241"/>
      <c r="GL27" s="241"/>
      <c r="GM27" s="241"/>
      <c r="GN27" s="241"/>
      <c r="GO27" s="241"/>
      <c r="GP27" s="241"/>
      <c r="GQ27" s="242"/>
      <c r="GR27" s="239"/>
      <c r="GS27" s="240"/>
      <c r="GT27" s="241"/>
      <c r="GU27" s="241"/>
      <c r="GV27" s="241"/>
      <c r="GW27" s="241"/>
      <c r="GX27" s="241"/>
      <c r="GY27" s="241"/>
      <c r="GZ27" s="241"/>
      <c r="HA27" s="242"/>
      <c r="HB27" s="239"/>
      <c r="HC27" s="240"/>
      <c r="HD27" s="241"/>
      <c r="HE27" s="241"/>
      <c r="HF27" s="241"/>
      <c r="HG27" s="241"/>
      <c r="HH27" s="241"/>
      <c r="HI27" s="241"/>
      <c r="HJ27" s="241"/>
      <c r="HK27" s="242"/>
      <c r="HL27" s="239"/>
      <c r="HM27" s="240"/>
      <c r="HN27" s="241"/>
      <c r="HO27" s="241"/>
      <c r="HP27" s="241"/>
      <c r="HQ27" s="241"/>
      <c r="HR27" s="241"/>
      <c r="HS27" s="241"/>
      <c r="HT27" s="241"/>
      <c r="HU27" s="242"/>
      <c r="HV27" s="239"/>
      <c r="HW27" s="240"/>
      <c r="HX27" s="241"/>
      <c r="HY27" s="241"/>
      <c r="HZ27" s="241"/>
      <c r="IA27" s="241"/>
      <c r="IB27" s="241"/>
      <c r="IC27" s="241"/>
      <c r="ID27" s="241"/>
      <c r="IE27" s="242"/>
      <c r="IF27" s="239"/>
      <c r="IG27" s="240"/>
      <c r="IH27" s="241"/>
      <c r="II27" s="241"/>
      <c r="IJ27" s="241"/>
      <c r="IK27" s="241"/>
      <c r="IL27" s="241"/>
      <c r="IM27" s="241"/>
      <c r="IN27" s="241"/>
      <c r="IO27" s="242"/>
      <c r="IP27" s="24"/>
      <c r="IQ27" s="25">
        <v>16</v>
      </c>
      <c r="IR27" s="26">
        <v>0.88200000000000001</v>
      </c>
      <c r="IS27" s="26">
        <v>0.88900000000000001</v>
      </c>
      <c r="IT27" s="26">
        <v>0.42699999999999999</v>
      </c>
      <c r="IU27" s="26">
        <v>1.5</v>
      </c>
      <c r="IV27" s="26">
        <v>1</v>
      </c>
      <c r="IW27" s="26">
        <v>1.125</v>
      </c>
      <c r="IX27" s="8"/>
    </row>
    <row r="28" spans="2:258" ht="15.75" thickBot="1" x14ac:dyDescent="0.3">
      <c r="B28" s="103">
        <f t="shared" si="17"/>
        <v>60</v>
      </c>
      <c r="C28" s="226">
        <v>11</v>
      </c>
      <c r="D28" s="98">
        <f t="shared" si="1"/>
        <v>0.26366666666666666</v>
      </c>
      <c r="E28" s="96">
        <f t="shared" si="2"/>
        <v>0.31640000000000001</v>
      </c>
      <c r="F28" s="96">
        <f t="shared" si="3"/>
        <v>0.35155555555555557</v>
      </c>
      <c r="G28" s="96">
        <f t="shared" si="4"/>
        <v>0.36913333333333337</v>
      </c>
      <c r="H28" s="96">
        <f t="shared" si="5"/>
        <v>0.37967999999999996</v>
      </c>
      <c r="I28" s="96">
        <f t="shared" si="6"/>
        <v>0.38671111111111117</v>
      </c>
      <c r="J28" s="96">
        <f t="shared" si="7"/>
        <v>0.39173333333333332</v>
      </c>
      <c r="K28" s="96">
        <f t="shared" si="8"/>
        <v>0.39550000000000002</v>
      </c>
      <c r="L28" s="96">
        <f t="shared" si="9"/>
        <v>0.39061728395061734</v>
      </c>
      <c r="M28" s="96">
        <f t="shared" si="10"/>
        <v>0.39374222222222222</v>
      </c>
      <c r="N28" s="96">
        <f t="shared" si="11"/>
        <v>0.39629898989898993</v>
      </c>
      <c r="O28" s="96">
        <f t="shared" si="12"/>
        <v>0.39769722222222226</v>
      </c>
      <c r="P28" s="238"/>
      <c r="Q28" s="238"/>
      <c r="R28" s="238"/>
      <c r="S28" s="238"/>
      <c r="T28" s="238"/>
      <c r="U28" s="238"/>
      <c r="V28" s="238"/>
      <c r="W28" s="238"/>
      <c r="X28" s="96"/>
      <c r="Y28" s="65"/>
      <c r="AA28" s="83"/>
      <c r="AT28" s="4"/>
      <c r="AU28" s="14">
        <f t="shared" si="103"/>
        <v>42</v>
      </c>
      <c r="AV28" s="12" t="str">
        <f t="shared" si="84"/>
        <v>(1050)</v>
      </c>
      <c r="AW28" s="19">
        <f t="shared" si="104"/>
        <v>13</v>
      </c>
      <c r="AX28" s="20">
        <f t="shared" si="18"/>
        <v>0.60107638888888892</v>
      </c>
      <c r="AY28" s="21" t="str">
        <f t="shared" si="85"/>
        <v>(0.06)</v>
      </c>
      <c r="AZ28" s="22">
        <v>2</v>
      </c>
      <c r="BA28" s="22">
        <f t="shared" si="19"/>
        <v>3</v>
      </c>
      <c r="BB28" s="22">
        <v>0</v>
      </c>
      <c r="BC28" s="22">
        <f t="shared" si="20"/>
        <v>0</v>
      </c>
      <c r="BD28" s="22">
        <v>0</v>
      </c>
      <c r="BE28" s="22">
        <f t="shared" si="21"/>
        <v>0</v>
      </c>
      <c r="BF28" s="22">
        <f t="shared" si="86"/>
        <v>3</v>
      </c>
      <c r="BG28" s="23">
        <f t="shared" si="22"/>
        <v>5</v>
      </c>
      <c r="BH28" s="373">
        <f t="shared" si="23"/>
        <v>1.0819375</v>
      </c>
      <c r="BI28" s="374" t="str">
        <f t="shared" si="87"/>
        <v>(0.10)</v>
      </c>
      <c r="BJ28" s="375">
        <v>2</v>
      </c>
      <c r="BK28" s="375">
        <f t="shared" si="24"/>
        <v>3</v>
      </c>
      <c r="BL28" s="375">
        <v>0</v>
      </c>
      <c r="BM28" s="375">
        <f t="shared" si="25"/>
        <v>0</v>
      </c>
      <c r="BN28" s="375">
        <v>0</v>
      </c>
      <c r="BO28" s="375">
        <f t="shared" si="26"/>
        <v>0</v>
      </c>
      <c r="BP28" s="375">
        <f t="shared" si="88"/>
        <v>3</v>
      </c>
      <c r="BQ28" s="376">
        <f t="shared" si="27"/>
        <v>9</v>
      </c>
      <c r="BR28" s="373">
        <f t="shared" si="28"/>
        <v>1.8032291666666669</v>
      </c>
      <c r="BS28" s="374" t="str">
        <f t="shared" si="29"/>
        <v>(0.17)</v>
      </c>
      <c r="BT28" s="375">
        <v>2</v>
      </c>
      <c r="BU28" s="375">
        <f t="shared" si="30"/>
        <v>3</v>
      </c>
      <c r="BV28" s="375">
        <v>0</v>
      </c>
      <c r="BW28" s="375">
        <f t="shared" si="31"/>
        <v>0</v>
      </c>
      <c r="BX28" s="375">
        <v>0</v>
      </c>
      <c r="BY28" s="375">
        <f t="shared" si="32"/>
        <v>0</v>
      </c>
      <c r="BZ28" s="375">
        <f t="shared" si="89"/>
        <v>3</v>
      </c>
      <c r="CA28" s="376">
        <f t="shared" si="33"/>
        <v>15</v>
      </c>
      <c r="CB28" s="373">
        <f t="shared" si="34"/>
        <v>2.5245208333333333</v>
      </c>
      <c r="CC28" s="374" t="str">
        <f t="shared" si="35"/>
        <v>(0.23)</v>
      </c>
      <c r="CD28" s="375">
        <v>2</v>
      </c>
      <c r="CE28" s="375">
        <f t="shared" si="36"/>
        <v>3</v>
      </c>
      <c r="CF28" s="375">
        <v>0</v>
      </c>
      <c r="CG28" s="375">
        <f t="shared" si="37"/>
        <v>0</v>
      </c>
      <c r="CH28" s="375">
        <v>0</v>
      </c>
      <c r="CI28" s="375">
        <f t="shared" si="38"/>
        <v>0</v>
      </c>
      <c r="CJ28" s="375">
        <f t="shared" si="90"/>
        <v>3</v>
      </c>
      <c r="CK28" s="376">
        <f t="shared" si="39"/>
        <v>21</v>
      </c>
      <c r="CL28" s="373">
        <f t="shared" si="40"/>
        <v>3.2458125</v>
      </c>
      <c r="CM28" s="374" t="str">
        <f t="shared" si="41"/>
        <v>(0.3)</v>
      </c>
      <c r="CN28" s="375">
        <v>2</v>
      </c>
      <c r="CO28" s="375">
        <f t="shared" si="42"/>
        <v>3</v>
      </c>
      <c r="CP28" s="375">
        <v>0</v>
      </c>
      <c r="CQ28" s="375">
        <f t="shared" si="43"/>
        <v>0</v>
      </c>
      <c r="CR28" s="375">
        <v>0</v>
      </c>
      <c r="CS28" s="375">
        <f t="shared" si="44"/>
        <v>0</v>
      </c>
      <c r="CT28" s="375">
        <f t="shared" si="91"/>
        <v>3</v>
      </c>
      <c r="CU28" s="376">
        <f t="shared" si="45"/>
        <v>27</v>
      </c>
      <c r="CV28" s="373">
        <f t="shared" si="46"/>
        <v>3.9671041666666671</v>
      </c>
      <c r="CW28" s="374" t="str">
        <f t="shared" si="47"/>
        <v>(0.37)</v>
      </c>
      <c r="CX28" s="375">
        <v>2</v>
      </c>
      <c r="CY28" s="375">
        <f t="shared" si="48"/>
        <v>3</v>
      </c>
      <c r="CZ28" s="375">
        <v>0</v>
      </c>
      <c r="DA28" s="375">
        <f t="shared" si="49"/>
        <v>0</v>
      </c>
      <c r="DB28" s="375">
        <v>0</v>
      </c>
      <c r="DC28" s="375">
        <f t="shared" si="50"/>
        <v>0</v>
      </c>
      <c r="DD28" s="375">
        <f t="shared" si="92"/>
        <v>3</v>
      </c>
      <c r="DE28" s="376">
        <f t="shared" si="51"/>
        <v>33</v>
      </c>
      <c r="DF28" s="373">
        <f t="shared" si="52"/>
        <v>4.6883958333333338</v>
      </c>
      <c r="DG28" s="374" t="str">
        <f t="shared" si="53"/>
        <v>(0.44)</v>
      </c>
      <c r="DH28" s="375">
        <v>2</v>
      </c>
      <c r="DI28" s="375">
        <f t="shared" si="54"/>
        <v>3</v>
      </c>
      <c r="DJ28" s="375">
        <v>0</v>
      </c>
      <c r="DK28" s="375">
        <f t="shared" si="55"/>
        <v>0</v>
      </c>
      <c r="DL28" s="375">
        <v>0</v>
      </c>
      <c r="DM28" s="375">
        <f t="shared" si="56"/>
        <v>0</v>
      </c>
      <c r="DN28" s="375">
        <f t="shared" si="93"/>
        <v>3</v>
      </c>
      <c r="DO28" s="376">
        <f t="shared" si="57"/>
        <v>39</v>
      </c>
      <c r="DP28" s="373">
        <f t="shared" si="58"/>
        <v>5.4096875000000004</v>
      </c>
      <c r="DQ28" s="374" t="str">
        <f t="shared" si="59"/>
        <v>(0.5)</v>
      </c>
      <c r="DR28" s="375">
        <v>2</v>
      </c>
      <c r="DS28" s="375">
        <f t="shared" si="60"/>
        <v>3</v>
      </c>
      <c r="DT28" s="375">
        <v>0</v>
      </c>
      <c r="DU28" s="375">
        <f t="shared" si="61"/>
        <v>0</v>
      </c>
      <c r="DV28" s="375">
        <v>0</v>
      </c>
      <c r="DW28" s="375">
        <f t="shared" si="62"/>
        <v>0</v>
      </c>
      <c r="DX28" s="375">
        <f t="shared" si="94"/>
        <v>3</v>
      </c>
      <c r="DY28" s="376">
        <f t="shared" si="63"/>
        <v>45</v>
      </c>
      <c r="DZ28" s="373">
        <f t="shared" si="64"/>
        <v>6.0107638888888886</v>
      </c>
      <c r="EA28" s="374" t="str">
        <f t="shared" si="95"/>
        <v>(0.56)</v>
      </c>
      <c r="EB28" s="375">
        <v>2</v>
      </c>
      <c r="EC28" s="375">
        <f t="shared" si="65"/>
        <v>3</v>
      </c>
      <c r="ED28" s="375">
        <v>0</v>
      </c>
      <c r="EE28" s="375">
        <f t="shared" si="66"/>
        <v>0</v>
      </c>
      <c r="EF28" s="375">
        <v>1</v>
      </c>
      <c r="EG28" s="375">
        <f t="shared" si="67"/>
        <v>1</v>
      </c>
      <c r="EH28" s="375">
        <f t="shared" si="96"/>
        <v>4</v>
      </c>
      <c r="EI28" s="376">
        <f t="shared" si="68"/>
        <v>50</v>
      </c>
      <c r="EJ28" s="373">
        <f t="shared" si="69"/>
        <v>6.7320555555555552</v>
      </c>
      <c r="EK28" s="374" t="str">
        <f t="shared" si="97"/>
        <v>(0.63)</v>
      </c>
      <c r="EL28" s="375">
        <v>2</v>
      </c>
      <c r="EM28" s="375">
        <f t="shared" si="70"/>
        <v>3</v>
      </c>
      <c r="EN28" s="375">
        <v>0</v>
      </c>
      <c r="EO28" s="375">
        <f t="shared" si="71"/>
        <v>0</v>
      </c>
      <c r="EP28" s="375">
        <v>1</v>
      </c>
      <c r="EQ28" s="375">
        <f t="shared" si="72"/>
        <v>1</v>
      </c>
      <c r="ER28" s="375">
        <f t="shared" si="98"/>
        <v>4</v>
      </c>
      <c r="ES28" s="376">
        <f t="shared" si="73"/>
        <v>56</v>
      </c>
      <c r="ET28" s="373">
        <f t="shared" si="74"/>
        <v>7.4533472222222219</v>
      </c>
      <c r="EU28" s="374" t="str">
        <f t="shared" si="99"/>
        <v>(0.69)</v>
      </c>
      <c r="EV28" s="375">
        <v>2</v>
      </c>
      <c r="EW28" s="375">
        <f t="shared" si="75"/>
        <v>3</v>
      </c>
      <c r="EX28" s="375">
        <v>0</v>
      </c>
      <c r="EY28" s="375">
        <f t="shared" si="76"/>
        <v>0</v>
      </c>
      <c r="EZ28" s="375">
        <v>1</v>
      </c>
      <c r="FA28" s="375">
        <f t="shared" si="77"/>
        <v>1</v>
      </c>
      <c r="FB28" s="375">
        <f t="shared" si="100"/>
        <v>4</v>
      </c>
      <c r="FC28" s="376">
        <f t="shared" si="78"/>
        <v>62</v>
      </c>
      <c r="FD28" s="373">
        <f t="shared" si="79"/>
        <v>8.1596119791666659</v>
      </c>
      <c r="FE28" s="374" t="str">
        <f t="shared" si="101"/>
        <v>(0.76)</v>
      </c>
      <c r="FF28" s="22">
        <v>2</v>
      </c>
      <c r="FG28" s="22">
        <f t="shared" si="80"/>
        <v>3</v>
      </c>
      <c r="FH28" s="22">
        <v>1</v>
      </c>
      <c r="FI28" s="22">
        <f t="shared" si="81"/>
        <v>1.125</v>
      </c>
      <c r="FJ28" s="22">
        <v>0</v>
      </c>
      <c r="FK28" s="22">
        <f t="shared" si="82"/>
        <v>0</v>
      </c>
      <c r="FL28" s="22">
        <f t="shared" si="102"/>
        <v>4.125</v>
      </c>
      <c r="FM28" s="23">
        <f t="shared" si="83"/>
        <v>67.875</v>
      </c>
      <c r="FN28" s="239"/>
      <c r="FO28" s="240"/>
      <c r="FP28" s="241"/>
      <c r="FQ28" s="241"/>
      <c r="FR28" s="241"/>
      <c r="FS28" s="241"/>
      <c r="FT28" s="241"/>
      <c r="FU28" s="241"/>
      <c r="FV28" s="241"/>
      <c r="FW28" s="242"/>
      <c r="FX28" s="239"/>
      <c r="FY28" s="240"/>
      <c r="FZ28" s="241"/>
      <c r="GA28" s="241"/>
      <c r="GB28" s="241"/>
      <c r="GC28" s="241"/>
      <c r="GD28" s="241"/>
      <c r="GE28" s="241"/>
      <c r="GF28" s="241"/>
      <c r="GG28" s="242"/>
      <c r="GH28" s="239"/>
      <c r="GI28" s="240"/>
      <c r="GJ28" s="241"/>
      <c r="GK28" s="241"/>
      <c r="GL28" s="241"/>
      <c r="GM28" s="241"/>
      <c r="GN28" s="241"/>
      <c r="GO28" s="241"/>
      <c r="GP28" s="241"/>
      <c r="GQ28" s="242"/>
      <c r="GR28" s="239"/>
      <c r="GS28" s="240"/>
      <c r="GT28" s="241"/>
      <c r="GU28" s="241"/>
      <c r="GV28" s="241"/>
      <c r="GW28" s="241"/>
      <c r="GX28" s="241"/>
      <c r="GY28" s="241"/>
      <c r="GZ28" s="241"/>
      <c r="HA28" s="242"/>
      <c r="HB28" s="239"/>
      <c r="HC28" s="240"/>
      <c r="HD28" s="241"/>
      <c r="HE28" s="241"/>
      <c r="HF28" s="241"/>
      <c r="HG28" s="241"/>
      <c r="HH28" s="241"/>
      <c r="HI28" s="241"/>
      <c r="HJ28" s="241"/>
      <c r="HK28" s="242"/>
      <c r="HL28" s="239"/>
      <c r="HM28" s="240"/>
      <c r="HN28" s="241"/>
      <c r="HO28" s="241"/>
      <c r="HP28" s="241"/>
      <c r="HQ28" s="241"/>
      <c r="HR28" s="241"/>
      <c r="HS28" s="241"/>
      <c r="HT28" s="241"/>
      <c r="HU28" s="242"/>
      <c r="HV28" s="239"/>
      <c r="HW28" s="240"/>
      <c r="HX28" s="241"/>
      <c r="HY28" s="241"/>
      <c r="HZ28" s="241"/>
      <c r="IA28" s="241"/>
      <c r="IB28" s="241"/>
      <c r="IC28" s="241"/>
      <c r="ID28" s="241"/>
      <c r="IE28" s="242"/>
      <c r="IF28" s="239"/>
      <c r="IG28" s="240"/>
      <c r="IH28" s="241"/>
      <c r="II28" s="241"/>
      <c r="IJ28" s="241"/>
      <c r="IK28" s="241"/>
      <c r="IL28" s="241"/>
      <c r="IM28" s="241"/>
      <c r="IN28" s="241"/>
      <c r="IO28" s="242"/>
      <c r="IP28" s="24"/>
      <c r="IQ28" s="25">
        <v>19</v>
      </c>
      <c r="IR28" s="26">
        <v>0.88200000000000001</v>
      </c>
      <c r="IS28" s="26">
        <v>0.88900000000000001</v>
      </c>
      <c r="IT28" s="26">
        <v>0.42699999999999999</v>
      </c>
      <c r="IU28" s="26">
        <v>1.5</v>
      </c>
      <c r="IV28" s="26">
        <v>1</v>
      </c>
      <c r="IW28" s="26">
        <v>1.125</v>
      </c>
      <c r="IX28" s="8"/>
    </row>
    <row r="29" spans="2:258" ht="15.75" thickBot="1" x14ac:dyDescent="0.3">
      <c r="B29" s="103">
        <f t="shared" si="17"/>
        <v>66</v>
      </c>
      <c r="C29" s="221">
        <v>12</v>
      </c>
      <c r="D29" s="98">
        <f t="shared" si="1"/>
        <v>0.26495265151515157</v>
      </c>
      <c r="E29" s="96">
        <f t="shared" si="2"/>
        <v>0.31794318181818187</v>
      </c>
      <c r="F29" s="96">
        <f t="shared" si="3"/>
        <v>0.3532702020202021</v>
      </c>
      <c r="G29" s="96">
        <f t="shared" si="4"/>
        <v>0.37093371212121212</v>
      </c>
      <c r="H29" s="96">
        <f t="shared" si="5"/>
        <v>0.38153181818181825</v>
      </c>
      <c r="I29" s="96">
        <f t="shared" si="6"/>
        <v>0.38859722222222232</v>
      </c>
      <c r="J29" s="96">
        <f t="shared" si="7"/>
        <v>0.39364393939393938</v>
      </c>
      <c r="K29" s="96">
        <f t="shared" si="8"/>
        <v>0.3974289772727273</v>
      </c>
      <c r="L29" s="96">
        <f t="shared" si="9"/>
        <v>0.3925224466891134</v>
      </c>
      <c r="M29" s="96">
        <f t="shared" si="10"/>
        <v>0.39566262626262633</v>
      </c>
      <c r="N29" s="96">
        <f t="shared" si="11"/>
        <v>0.39823186409550043</v>
      </c>
      <c r="O29" s="96">
        <f t="shared" si="12"/>
        <v>0.39963691603535356</v>
      </c>
      <c r="P29" s="238"/>
      <c r="Q29" s="238"/>
      <c r="R29" s="238"/>
      <c r="S29" s="238"/>
      <c r="T29" s="238"/>
      <c r="U29" s="238"/>
      <c r="V29" s="238"/>
      <c r="W29" s="238"/>
      <c r="X29" s="96"/>
      <c r="Y29" s="65"/>
      <c r="AA29" s="83"/>
      <c r="AT29" s="4"/>
      <c r="AU29" s="14">
        <f t="shared" si="103"/>
        <v>48</v>
      </c>
      <c r="AV29" s="12" t="str">
        <f t="shared" si="84"/>
        <v>(1200)</v>
      </c>
      <c r="AW29" s="19">
        <f t="shared" si="104"/>
        <v>14</v>
      </c>
      <c r="AX29" s="20">
        <f t="shared" si="18"/>
        <v>0.69368055555555563</v>
      </c>
      <c r="AY29" s="21" t="str">
        <f t="shared" si="85"/>
        <v>(0.06)</v>
      </c>
      <c r="AZ29" s="22">
        <v>2</v>
      </c>
      <c r="BA29" s="22">
        <f t="shared" si="19"/>
        <v>3</v>
      </c>
      <c r="BB29" s="22">
        <v>0</v>
      </c>
      <c r="BC29" s="22">
        <f t="shared" si="20"/>
        <v>0</v>
      </c>
      <c r="BD29" s="22">
        <v>0</v>
      </c>
      <c r="BE29" s="22">
        <f t="shared" si="21"/>
        <v>0</v>
      </c>
      <c r="BF29" s="22">
        <f t="shared" si="86"/>
        <v>3</v>
      </c>
      <c r="BG29" s="23">
        <f t="shared" si="22"/>
        <v>5</v>
      </c>
      <c r="BH29" s="373">
        <f t="shared" si="23"/>
        <v>1.2486250000000001</v>
      </c>
      <c r="BI29" s="374" t="str">
        <f t="shared" si="87"/>
        <v>(0.12)</v>
      </c>
      <c r="BJ29" s="375">
        <v>2</v>
      </c>
      <c r="BK29" s="375">
        <f t="shared" si="24"/>
        <v>3</v>
      </c>
      <c r="BL29" s="375">
        <v>0</v>
      </c>
      <c r="BM29" s="375">
        <f t="shared" si="25"/>
        <v>0</v>
      </c>
      <c r="BN29" s="375">
        <v>0</v>
      </c>
      <c r="BO29" s="375">
        <f t="shared" si="26"/>
        <v>0</v>
      </c>
      <c r="BP29" s="375">
        <f t="shared" si="88"/>
        <v>3</v>
      </c>
      <c r="BQ29" s="376">
        <f t="shared" si="27"/>
        <v>9</v>
      </c>
      <c r="BR29" s="373">
        <f t="shared" si="28"/>
        <v>2.0810416666666667</v>
      </c>
      <c r="BS29" s="374" t="str">
        <f t="shared" si="29"/>
        <v>(0.19)</v>
      </c>
      <c r="BT29" s="375">
        <v>2</v>
      </c>
      <c r="BU29" s="375">
        <f t="shared" si="30"/>
        <v>3</v>
      </c>
      <c r="BV29" s="375">
        <v>0</v>
      </c>
      <c r="BW29" s="375">
        <f t="shared" si="31"/>
        <v>0</v>
      </c>
      <c r="BX29" s="375">
        <v>0</v>
      </c>
      <c r="BY29" s="375">
        <f t="shared" si="32"/>
        <v>0</v>
      </c>
      <c r="BZ29" s="375">
        <f t="shared" si="89"/>
        <v>3</v>
      </c>
      <c r="CA29" s="376">
        <f t="shared" si="33"/>
        <v>15</v>
      </c>
      <c r="CB29" s="373">
        <f t="shared" si="34"/>
        <v>2.9134583333333333</v>
      </c>
      <c r="CC29" s="374" t="str">
        <f t="shared" si="35"/>
        <v>(0.27)</v>
      </c>
      <c r="CD29" s="375">
        <v>2</v>
      </c>
      <c r="CE29" s="375">
        <f t="shared" si="36"/>
        <v>3</v>
      </c>
      <c r="CF29" s="375">
        <v>0</v>
      </c>
      <c r="CG29" s="375">
        <f t="shared" si="37"/>
        <v>0</v>
      </c>
      <c r="CH29" s="375">
        <v>0</v>
      </c>
      <c r="CI29" s="375">
        <f t="shared" si="38"/>
        <v>0</v>
      </c>
      <c r="CJ29" s="375">
        <f t="shared" si="90"/>
        <v>3</v>
      </c>
      <c r="CK29" s="376">
        <f t="shared" si="39"/>
        <v>21</v>
      </c>
      <c r="CL29" s="373">
        <f t="shared" si="40"/>
        <v>3.7458750000000003</v>
      </c>
      <c r="CM29" s="374" t="str">
        <f t="shared" si="41"/>
        <v>(0.35)</v>
      </c>
      <c r="CN29" s="375">
        <v>2</v>
      </c>
      <c r="CO29" s="375">
        <f t="shared" si="42"/>
        <v>3</v>
      </c>
      <c r="CP29" s="375">
        <v>0</v>
      </c>
      <c r="CQ29" s="375">
        <f t="shared" si="43"/>
        <v>0</v>
      </c>
      <c r="CR29" s="375">
        <v>0</v>
      </c>
      <c r="CS29" s="375">
        <f t="shared" si="44"/>
        <v>0</v>
      </c>
      <c r="CT29" s="375">
        <f t="shared" si="91"/>
        <v>3</v>
      </c>
      <c r="CU29" s="376">
        <f t="shared" si="45"/>
        <v>27</v>
      </c>
      <c r="CV29" s="373">
        <f t="shared" si="46"/>
        <v>4.5782916666666669</v>
      </c>
      <c r="CW29" s="374" t="str">
        <f t="shared" si="47"/>
        <v>(0.43)</v>
      </c>
      <c r="CX29" s="375">
        <v>2</v>
      </c>
      <c r="CY29" s="375">
        <f t="shared" si="48"/>
        <v>3</v>
      </c>
      <c r="CZ29" s="375">
        <v>0</v>
      </c>
      <c r="DA29" s="375">
        <f t="shared" si="49"/>
        <v>0</v>
      </c>
      <c r="DB29" s="375">
        <v>0</v>
      </c>
      <c r="DC29" s="375">
        <f t="shared" si="50"/>
        <v>0</v>
      </c>
      <c r="DD29" s="375">
        <f t="shared" si="92"/>
        <v>3</v>
      </c>
      <c r="DE29" s="376">
        <f t="shared" si="51"/>
        <v>33</v>
      </c>
      <c r="DF29" s="373">
        <f t="shared" si="52"/>
        <v>5.4107083333333339</v>
      </c>
      <c r="DG29" s="374" t="str">
        <f t="shared" si="53"/>
        <v>(0.5)</v>
      </c>
      <c r="DH29" s="375">
        <v>2</v>
      </c>
      <c r="DI29" s="375">
        <f t="shared" si="54"/>
        <v>3</v>
      </c>
      <c r="DJ29" s="375">
        <v>0</v>
      </c>
      <c r="DK29" s="375">
        <f t="shared" si="55"/>
        <v>0</v>
      </c>
      <c r="DL29" s="375">
        <v>0</v>
      </c>
      <c r="DM29" s="375">
        <f t="shared" si="56"/>
        <v>0</v>
      </c>
      <c r="DN29" s="375">
        <f t="shared" si="93"/>
        <v>3</v>
      </c>
      <c r="DO29" s="376">
        <f t="shared" si="57"/>
        <v>39</v>
      </c>
      <c r="DP29" s="377">
        <f t="shared" si="58"/>
        <v>6.2431250000000009</v>
      </c>
      <c r="DQ29" s="378" t="str">
        <f t="shared" si="59"/>
        <v>(0.58)</v>
      </c>
      <c r="DR29" s="375">
        <v>2</v>
      </c>
      <c r="DS29" s="375">
        <f t="shared" si="60"/>
        <v>3</v>
      </c>
      <c r="DT29" s="375">
        <v>0</v>
      </c>
      <c r="DU29" s="375">
        <f t="shared" si="61"/>
        <v>0</v>
      </c>
      <c r="DV29" s="375">
        <v>0</v>
      </c>
      <c r="DW29" s="375">
        <f t="shared" si="62"/>
        <v>0</v>
      </c>
      <c r="DX29" s="375">
        <f t="shared" si="94"/>
        <v>3</v>
      </c>
      <c r="DY29" s="376">
        <f t="shared" si="63"/>
        <v>45</v>
      </c>
      <c r="DZ29" s="373">
        <f t="shared" si="64"/>
        <v>6.9368055555555559</v>
      </c>
      <c r="EA29" s="374" t="str">
        <f t="shared" si="95"/>
        <v>(0.64)</v>
      </c>
      <c r="EB29" s="375">
        <v>2</v>
      </c>
      <c r="EC29" s="375">
        <f t="shared" si="65"/>
        <v>3</v>
      </c>
      <c r="ED29" s="375">
        <v>0</v>
      </c>
      <c r="EE29" s="375">
        <f t="shared" si="66"/>
        <v>0</v>
      </c>
      <c r="EF29" s="375">
        <v>1</v>
      </c>
      <c r="EG29" s="375">
        <f t="shared" si="67"/>
        <v>1</v>
      </c>
      <c r="EH29" s="375">
        <f t="shared" si="96"/>
        <v>4</v>
      </c>
      <c r="EI29" s="376">
        <f t="shared" si="68"/>
        <v>50</v>
      </c>
      <c r="EJ29" s="373">
        <f t="shared" si="69"/>
        <v>7.769222222222222</v>
      </c>
      <c r="EK29" s="374" t="str">
        <f t="shared" si="97"/>
        <v>(0.72)</v>
      </c>
      <c r="EL29" s="375">
        <v>2</v>
      </c>
      <c r="EM29" s="375">
        <f t="shared" si="70"/>
        <v>3</v>
      </c>
      <c r="EN29" s="375">
        <v>0</v>
      </c>
      <c r="EO29" s="375">
        <f t="shared" si="71"/>
        <v>0</v>
      </c>
      <c r="EP29" s="375">
        <v>1</v>
      </c>
      <c r="EQ29" s="375">
        <f t="shared" si="72"/>
        <v>1</v>
      </c>
      <c r="ER29" s="375">
        <f t="shared" si="98"/>
        <v>4</v>
      </c>
      <c r="ES29" s="376">
        <f t="shared" si="73"/>
        <v>56</v>
      </c>
      <c r="ET29" s="373">
        <f t="shared" si="74"/>
        <v>8.6016388888888908</v>
      </c>
      <c r="EU29" s="374" t="str">
        <f t="shared" si="99"/>
        <v>(0.80)</v>
      </c>
      <c r="EV29" s="375">
        <v>2</v>
      </c>
      <c r="EW29" s="375">
        <f t="shared" si="75"/>
        <v>3</v>
      </c>
      <c r="EX29" s="375">
        <v>0</v>
      </c>
      <c r="EY29" s="375">
        <f t="shared" si="76"/>
        <v>0</v>
      </c>
      <c r="EZ29" s="375">
        <v>1</v>
      </c>
      <c r="FA29" s="375">
        <f t="shared" si="77"/>
        <v>1</v>
      </c>
      <c r="FB29" s="375">
        <f t="shared" si="100"/>
        <v>4</v>
      </c>
      <c r="FC29" s="376">
        <f t="shared" si="78"/>
        <v>62</v>
      </c>
      <c r="FD29" s="373">
        <f t="shared" si="79"/>
        <v>9.4167135416666667</v>
      </c>
      <c r="FE29" s="374" t="str">
        <f t="shared" si="101"/>
        <v>(0.87)</v>
      </c>
      <c r="FF29" s="22">
        <v>2</v>
      </c>
      <c r="FG29" s="22">
        <f t="shared" si="80"/>
        <v>3</v>
      </c>
      <c r="FH29" s="22">
        <v>1</v>
      </c>
      <c r="FI29" s="22">
        <f t="shared" si="81"/>
        <v>1.125</v>
      </c>
      <c r="FJ29" s="22">
        <v>0</v>
      </c>
      <c r="FK29" s="22">
        <f t="shared" si="82"/>
        <v>0</v>
      </c>
      <c r="FL29" s="22">
        <f t="shared" si="102"/>
        <v>4.125</v>
      </c>
      <c r="FM29" s="23">
        <f t="shared" si="83"/>
        <v>67.875</v>
      </c>
      <c r="FN29" s="239"/>
      <c r="FO29" s="240"/>
      <c r="FP29" s="241"/>
      <c r="FQ29" s="241"/>
      <c r="FR29" s="241"/>
      <c r="FS29" s="241"/>
      <c r="FT29" s="241"/>
      <c r="FU29" s="241"/>
      <c r="FV29" s="241"/>
      <c r="FW29" s="242"/>
      <c r="FX29" s="239"/>
      <c r="FY29" s="240"/>
      <c r="FZ29" s="241"/>
      <c r="GA29" s="241"/>
      <c r="GB29" s="241"/>
      <c r="GC29" s="241"/>
      <c r="GD29" s="241"/>
      <c r="GE29" s="241"/>
      <c r="GF29" s="241"/>
      <c r="GG29" s="242"/>
      <c r="GH29" s="239"/>
      <c r="GI29" s="240"/>
      <c r="GJ29" s="241"/>
      <c r="GK29" s="241"/>
      <c r="GL29" s="241"/>
      <c r="GM29" s="241"/>
      <c r="GN29" s="241"/>
      <c r="GO29" s="241"/>
      <c r="GP29" s="241"/>
      <c r="GQ29" s="242"/>
      <c r="GR29" s="239"/>
      <c r="GS29" s="240"/>
      <c r="GT29" s="241"/>
      <c r="GU29" s="241"/>
      <c r="GV29" s="241"/>
      <c r="GW29" s="241"/>
      <c r="GX29" s="241"/>
      <c r="GY29" s="241"/>
      <c r="GZ29" s="241"/>
      <c r="HA29" s="242"/>
      <c r="HB29" s="239"/>
      <c r="HC29" s="240"/>
      <c r="HD29" s="241"/>
      <c r="HE29" s="241"/>
      <c r="HF29" s="241"/>
      <c r="HG29" s="241"/>
      <c r="HH29" s="241"/>
      <c r="HI29" s="241"/>
      <c r="HJ29" s="241"/>
      <c r="HK29" s="242"/>
      <c r="HL29" s="239"/>
      <c r="HM29" s="240"/>
      <c r="HN29" s="241"/>
      <c r="HO29" s="241"/>
      <c r="HP29" s="241"/>
      <c r="HQ29" s="241"/>
      <c r="HR29" s="241"/>
      <c r="HS29" s="241"/>
      <c r="HT29" s="241"/>
      <c r="HU29" s="242"/>
      <c r="HV29" s="239"/>
      <c r="HW29" s="240"/>
      <c r="HX29" s="241"/>
      <c r="HY29" s="241"/>
      <c r="HZ29" s="241"/>
      <c r="IA29" s="241"/>
      <c r="IB29" s="241"/>
      <c r="IC29" s="241"/>
      <c r="ID29" s="241"/>
      <c r="IE29" s="242"/>
      <c r="IF29" s="239"/>
      <c r="IG29" s="240"/>
      <c r="IH29" s="241"/>
      <c r="II29" s="241"/>
      <c r="IJ29" s="241"/>
      <c r="IK29" s="241"/>
      <c r="IL29" s="241"/>
      <c r="IM29" s="241"/>
      <c r="IN29" s="241"/>
      <c r="IO29" s="242"/>
      <c r="IP29" s="24"/>
      <c r="IQ29" s="25">
        <v>22</v>
      </c>
      <c r="IR29" s="26">
        <v>0.88200000000000001</v>
      </c>
      <c r="IS29" s="26">
        <v>0.88900000000000001</v>
      </c>
      <c r="IT29" s="26">
        <v>0.42699999999999999</v>
      </c>
      <c r="IU29" s="26">
        <v>1.5</v>
      </c>
      <c r="IV29" s="26">
        <v>1</v>
      </c>
      <c r="IW29" s="26">
        <v>1.125</v>
      </c>
      <c r="IX29" s="8"/>
    </row>
    <row r="30" spans="2:258" ht="15.75" thickBot="1" x14ac:dyDescent="0.3">
      <c r="B30" s="103">
        <f t="shared" si="17"/>
        <v>72</v>
      </c>
      <c r="C30" s="226">
        <v>13</v>
      </c>
      <c r="D30" s="98">
        <f t="shared" si="1"/>
        <v>0.26602430555555556</v>
      </c>
      <c r="E30" s="96">
        <f t="shared" si="2"/>
        <v>0.31922916666666667</v>
      </c>
      <c r="F30" s="96">
        <f t="shared" si="3"/>
        <v>0.35469907407407408</v>
      </c>
      <c r="G30" s="96">
        <f t="shared" si="4"/>
        <v>0.37243402777777779</v>
      </c>
      <c r="H30" s="96">
        <f t="shared" si="5"/>
        <v>0.383075</v>
      </c>
      <c r="I30" s="96">
        <f t="shared" si="6"/>
        <v>0.39016898148148149</v>
      </c>
      <c r="J30" s="96">
        <f t="shared" si="7"/>
        <v>0.39523611111111107</v>
      </c>
      <c r="K30" s="96">
        <f t="shared" si="8"/>
        <v>0.39903645833333329</v>
      </c>
      <c r="L30" s="96">
        <f t="shared" si="9"/>
        <v>0.39411008230452677</v>
      </c>
      <c r="M30" s="96">
        <f t="shared" si="10"/>
        <v>0.39726296296296298</v>
      </c>
      <c r="N30" s="96">
        <f t="shared" si="11"/>
        <v>0.39984259259259258</v>
      </c>
      <c r="O30" s="96">
        <f t="shared" si="12"/>
        <v>0.40125332754629633</v>
      </c>
      <c r="P30" s="238"/>
      <c r="Q30" s="238"/>
      <c r="R30" s="238"/>
      <c r="S30" s="238"/>
      <c r="T30" s="238"/>
      <c r="U30" s="238"/>
      <c r="V30" s="238"/>
      <c r="W30" s="238"/>
      <c r="X30" s="96"/>
      <c r="Y30" s="65"/>
      <c r="AA30" s="83"/>
      <c r="AT30" s="4"/>
      <c r="AU30" s="14">
        <f t="shared" si="103"/>
        <v>54</v>
      </c>
      <c r="AV30" s="12" t="str">
        <f t="shared" si="84"/>
        <v>(1350)</v>
      </c>
      <c r="AW30" s="19">
        <f t="shared" si="104"/>
        <v>15</v>
      </c>
      <c r="AX30" s="20">
        <f t="shared" si="18"/>
        <v>0.78628472222222223</v>
      </c>
      <c r="AY30" s="21" t="str">
        <f t="shared" si="85"/>
        <v>(0.07)</v>
      </c>
      <c r="AZ30" s="22">
        <v>2</v>
      </c>
      <c r="BA30" s="22">
        <f t="shared" si="19"/>
        <v>3</v>
      </c>
      <c r="BB30" s="22">
        <v>0</v>
      </c>
      <c r="BC30" s="22">
        <f t="shared" si="20"/>
        <v>0</v>
      </c>
      <c r="BD30" s="22">
        <v>0</v>
      </c>
      <c r="BE30" s="22">
        <f t="shared" si="21"/>
        <v>0</v>
      </c>
      <c r="BF30" s="22">
        <f t="shared" si="86"/>
        <v>3</v>
      </c>
      <c r="BG30" s="23">
        <f t="shared" si="22"/>
        <v>5</v>
      </c>
      <c r="BH30" s="373">
        <f t="shared" si="23"/>
        <v>1.4153125</v>
      </c>
      <c r="BI30" s="374" t="str">
        <f t="shared" si="87"/>
        <v>(0.13)</v>
      </c>
      <c r="BJ30" s="375">
        <v>2</v>
      </c>
      <c r="BK30" s="375">
        <f t="shared" si="24"/>
        <v>3</v>
      </c>
      <c r="BL30" s="375">
        <v>0</v>
      </c>
      <c r="BM30" s="375">
        <f t="shared" si="25"/>
        <v>0</v>
      </c>
      <c r="BN30" s="375">
        <v>0</v>
      </c>
      <c r="BO30" s="375">
        <f t="shared" si="26"/>
        <v>0</v>
      </c>
      <c r="BP30" s="375">
        <f t="shared" si="88"/>
        <v>3</v>
      </c>
      <c r="BQ30" s="376">
        <f t="shared" si="27"/>
        <v>9</v>
      </c>
      <c r="BR30" s="373">
        <f t="shared" si="28"/>
        <v>2.3588541666666667</v>
      </c>
      <c r="BS30" s="374" t="str">
        <f t="shared" si="29"/>
        <v>(0.22)</v>
      </c>
      <c r="BT30" s="375">
        <v>2</v>
      </c>
      <c r="BU30" s="375">
        <f t="shared" si="30"/>
        <v>3</v>
      </c>
      <c r="BV30" s="375">
        <v>0</v>
      </c>
      <c r="BW30" s="375">
        <f t="shared" si="31"/>
        <v>0</v>
      </c>
      <c r="BX30" s="375">
        <v>0</v>
      </c>
      <c r="BY30" s="375">
        <f t="shared" si="32"/>
        <v>0</v>
      </c>
      <c r="BZ30" s="375">
        <f t="shared" si="89"/>
        <v>3</v>
      </c>
      <c r="CA30" s="376">
        <f t="shared" si="33"/>
        <v>15</v>
      </c>
      <c r="CB30" s="373">
        <f t="shared" si="34"/>
        <v>3.3023958333333336</v>
      </c>
      <c r="CC30" s="374" t="str">
        <f t="shared" si="35"/>
        <v>(0.31)</v>
      </c>
      <c r="CD30" s="375">
        <v>2</v>
      </c>
      <c r="CE30" s="375">
        <f t="shared" si="36"/>
        <v>3</v>
      </c>
      <c r="CF30" s="375">
        <v>0</v>
      </c>
      <c r="CG30" s="375">
        <f t="shared" si="37"/>
        <v>0</v>
      </c>
      <c r="CH30" s="375">
        <v>0</v>
      </c>
      <c r="CI30" s="375">
        <f t="shared" si="38"/>
        <v>0</v>
      </c>
      <c r="CJ30" s="375">
        <f t="shared" si="90"/>
        <v>3</v>
      </c>
      <c r="CK30" s="376">
        <f t="shared" si="39"/>
        <v>21</v>
      </c>
      <c r="CL30" s="373">
        <f t="shared" si="40"/>
        <v>4.2459375000000001</v>
      </c>
      <c r="CM30" s="374" t="str">
        <f t="shared" si="41"/>
        <v>(0.39)</v>
      </c>
      <c r="CN30" s="375">
        <v>2</v>
      </c>
      <c r="CO30" s="375">
        <f t="shared" si="42"/>
        <v>3</v>
      </c>
      <c r="CP30" s="375">
        <v>0</v>
      </c>
      <c r="CQ30" s="375">
        <f t="shared" si="43"/>
        <v>0</v>
      </c>
      <c r="CR30" s="375">
        <v>0</v>
      </c>
      <c r="CS30" s="375">
        <f t="shared" si="44"/>
        <v>0</v>
      </c>
      <c r="CT30" s="375">
        <f t="shared" si="91"/>
        <v>3</v>
      </c>
      <c r="CU30" s="376">
        <f t="shared" si="45"/>
        <v>27</v>
      </c>
      <c r="CV30" s="373">
        <f t="shared" si="46"/>
        <v>5.1894791666666666</v>
      </c>
      <c r="CW30" s="374" t="str">
        <f t="shared" si="47"/>
        <v>(0.48)</v>
      </c>
      <c r="CX30" s="375">
        <v>2</v>
      </c>
      <c r="CY30" s="375">
        <f t="shared" si="48"/>
        <v>3</v>
      </c>
      <c r="CZ30" s="375">
        <v>0</v>
      </c>
      <c r="DA30" s="375">
        <f t="shared" si="49"/>
        <v>0</v>
      </c>
      <c r="DB30" s="375">
        <v>0</v>
      </c>
      <c r="DC30" s="375">
        <f t="shared" si="50"/>
        <v>0</v>
      </c>
      <c r="DD30" s="375">
        <f t="shared" si="92"/>
        <v>3</v>
      </c>
      <c r="DE30" s="376">
        <f t="shared" si="51"/>
        <v>33</v>
      </c>
      <c r="DF30" s="373">
        <f t="shared" si="52"/>
        <v>6.1330208333333331</v>
      </c>
      <c r="DG30" s="374" t="str">
        <f t="shared" si="53"/>
        <v>(0.57)</v>
      </c>
      <c r="DH30" s="375">
        <v>2</v>
      </c>
      <c r="DI30" s="375">
        <f t="shared" si="54"/>
        <v>3</v>
      </c>
      <c r="DJ30" s="375">
        <v>0</v>
      </c>
      <c r="DK30" s="375">
        <f t="shared" si="55"/>
        <v>0</v>
      </c>
      <c r="DL30" s="375">
        <v>0</v>
      </c>
      <c r="DM30" s="375">
        <f t="shared" si="56"/>
        <v>0</v>
      </c>
      <c r="DN30" s="375">
        <f t="shared" si="93"/>
        <v>3</v>
      </c>
      <c r="DO30" s="376">
        <f t="shared" si="57"/>
        <v>39</v>
      </c>
      <c r="DP30" s="373">
        <f t="shared" si="58"/>
        <v>7.0765624999999996</v>
      </c>
      <c r="DQ30" s="374" t="str">
        <f t="shared" si="59"/>
        <v>(0.66)</v>
      </c>
      <c r="DR30" s="375">
        <v>2</v>
      </c>
      <c r="DS30" s="375">
        <f t="shared" si="60"/>
        <v>3</v>
      </c>
      <c r="DT30" s="375">
        <v>0</v>
      </c>
      <c r="DU30" s="375">
        <f t="shared" si="61"/>
        <v>0</v>
      </c>
      <c r="DV30" s="375">
        <v>0</v>
      </c>
      <c r="DW30" s="375">
        <f t="shared" si="62"/>
        <v>0</v>
      </c>
      <c r="DX30" s="375">
        <f t="shared" si="94"/>
        <v>3</v>
      </c>
      <c r="DY30" s="376">
        <f t="shared" si="63"/>
        <v>45</v>
      </c>
      <c r="DZ30" s="373">
        <f t="shared" si="64"/>
        <v>7.8628472222222223</v>
      </c>
      <c r="EA30" s="374" t="str">
        <f t="shared" si="95"/>
        <v>(0.73)</v>
      </c>
      <c r="EB30" s="375">
        <v>2</v>
      </c>
      <c r="EC30" s="375">
        <f t="shared" si="65"/>
        <v>3</v>
      </c>
      <c r="ED30" s="375">
        <v>0</v>
      </c>
      <c r="EE30" s="375">
        <f t="shared" si="66"/>
        <v>0</v>
      </c>
      <c r="EF30" s="375">
        <v>1</v>
      </c>
      <c r="EG30" s="375">
        <f t="shared" si="67"/>
        <v>1</v>
      </c>
      <c r="EH30" s="375">
        <f t="shared" si="96"/>
        <v>4</v>
      </c>
      <c r="EI30" s="376">
        <f t="shared" si="68"/>
        <v>50</v>
      </c>
      <c r="EJ30" s="373">
        <f t="shared" si="69"/>
        <v>8.8063888888888879</v>
      </c>
      <c r="EK30" s="374" t="str">
        <f t="shared" si="97"/>
        <v>(0.82)</v>
      </c>
      <c r="EL30" s="375">
        <v>2</v>
      </c>
      <c r="EM30" s="375">
        <f t="shared" si="70"/>
        <v>3</v>
      </c>
      <c r="EN30" s="375">
        <v>0</v>
      </c>
      <c r="EO30" s="375">
        <f t="shared" si="71"/>
        <v>0</v>
      </c>
      <c r="EP30" s="375">
        <v>1</v>
      </c>
      <c r="EQ30" s="375">
        <f t="shared" si="72"/>
        <v>1</v>
      </c>
      <c r="ER30" s="375">
        <f t="shared" si="98"/>
        <v>4</v>
      </c>
      <c r="ES30" s="376">
        <f t="shared" si="73"/>
        <v>56</v>
      </c>
      <c r="ET30" s="373">
        <f t="shared" si="74"/>
        <v>9.7499305555555562</v>
      </c>
      <c r="EU30" s="374" t="str">
        <f t="shared" si="99"/>
        <v>(0.91)</v>
      </c>
      <c r="EV30" s="375">
        <v>2</v>
      </c>
      <c r="EW30" s="375">
        <f t="shared" si="75"/>
        <v>3</v>
      </c>
      <c r="EX30" s="375">
        <v>0</v>
      </c>
      <c r="EY30" s="375">
        <f t="shared" si="76"/>
        <v>0</v>
      </c>
      <c r="EZ30" s="375">
        <v>1</v>
      </c>
      <c r="FA30" s="375">
        <f t="shared" si="77"/>
        <v>1</v>
      </c>
      <c r="FB30" s="375">
        <f t="shared" si="100"/>
        <v>4</v>
      </c>
      <c r="FC30" s="376">
        <f t="shared" si="78"/>
        <v>62</v>
      </c>
      <c r="FD30" s="373">
        <f t="shared" si="79"/>
        <v>10.673815104166668</v>
      </c>
      <c r="FE30" s="374" t="str">
        <f t="shared" si="101"/>
        <v>(0.99)</v>
      </c>
      <c r="FF30" s="22">
        <v>2</v>
      </c>
      <c r="FG30" s="22">
        <f t="shared" si="80"/>
        <v>3</v>
      </c>
      <c r="FH30" s="22">
        <v>1</v>
      </c>
      <c r="FI30" s="22">
        <f t="shared" si="81"/>
        <v>1.125</v>
      </c>
      <c r="FJ30" s="22">
        <v>0</v>
      </c>
      <c r="FK30" s="22">
        <f t="shared" si="82"/>
        <v>0</v>
      </c>
      <c r="FL30" s="22">
        <f t="shared" si="102"/>
        <v>4.125</v>
      </c>
      <c r="FM30" s="23">
        <f t="shared" si="83"/>
        <v>67.875</v>
      </c>
      <c r="FN30" s="239"/>
      <c r="FO30" s="240"/>
      <c r="FP30" s="241"/>
      <c r="FQ30" s="241"/>
      <c r="FR30" s="241"/>
      <c r="FS30" s="241"/>
      <c r="FT30" s="241"/>
      <c r="FU30" s="241"/>
      <c r="FV30" s="241"/>
      <c r="FW30" s="242"/>
      <c r="FX30" s="239"/>
      <c r="FY30" s="240"/>
      <c r="FZ30" s="241"/>
      <c r="GA30" s="241"/>
      <c r="GB30" s="241"/>
      <c r="GC30" s="241"/>
      <c r="GD30" s="241"/>
      <c r="GE30" s="241"/>
      <c r="GF30" s="241"/>
      <c r="GG30" s="242"/>
      <c r="GH30" s="239"/>
      <c r="GI30" s="240"/>
      <c r="GJ30" s="241"/>
      <c r="GK30" s="241"/>
      <c r="GL30" s="241"/>
      <c r="GM30" s="241"/>
      <c r="GN30" s="241"/>
      <c r="GO30" s="241"/>
      <c r="GP30" s="241"/>
      <c r="GQ30" s="242"/>
      <c r="GR30" s="239"/>
      <c r="GS30" s="240"/>
      <c r="GT30" s="241"/>
      <c r="GU30" s="241"/>
      <c r="GV30" s="241"/>
      <c r="GW30" s="241"/>
      <c r="GX30" s="241"/>
      <c r="GY30" s="241"/>
      <c r="GZ30" s="241"/>
      <c r="HA30" s="242"/>
      <c r="HB30" s="239"/>
      <c r="HC30" s="240"/>
      <c r="HD30" s="241"/>
      <c r="HE30" s="241"/>
      <c r="HF30" s="241"/>
      <c r="HG30" s="241"/>
      <c r="HH30" s="241"/>
      <c r="HI30" s="241"/>
      <c r="HJ30" s="241"/>
      <c r="HK30" s="242"/>
      <c r="HL30" s="239"/>
      <c r="HM30" s="240"/>
      <c r="HN30" s="241"/>
      <c r="HO30" s="241"/>
      <c r="HP30" s="241"/>
      <c r="HQ30" s="241"/>
      <c r="HR30" s="241"/>
      <c r="HS30" s="241"/>
      <c r="HT30" s="241"/>
      <c r="HU30" s="242"/>
      <c r="HV30" s="239"/>
      <c r="HW30" s="240"/>
      <c r="HX30" s="241"/>
      <c r="HY30" s="241"/>
      <c r="HZ30" s="241"/>
      <c r="IA30" s="241"/>
      <c r="IB30" s="241"/>
      <c r="IC30" s="241"/>
      <c r="ID30" s="241"/>
      <c r="IE30" s="242"/>
      <c r="IF30" s="239"/>
      <c r="IG30" s="240"/>
      <c r="IH30" s="241"/>
      <c r="II30" s="241"/>
      <c r="IJ30" s="241"/>
      <c r="IK30" s="241"/>
      <c r="IL30" s="241"/>
      <c r="IM30" s="241"/>
      <c r="IN30" s="241"/>
      <c r="IO30" s="242"/>
      <c r="IP30" s="24"/>
      <c r="IQ30" s="25">
        <v>25</v>
      </c>
      <c r="IR30" s="26">
        <v>0.88200000000000001</v>
      </c>
      <c r="IS30" s="26">
        <v>0.88900000000000001</v>
      </c>
      <c r="IT30" s="26">
        <v>0.42699999999999999</v>
      </c>
      <c r="IU30" s="26">
        <v>1.5</v>
      </c>
      <c r="IV30" s="26">
        <v>1</v>
      </c>
      <c r="IW30" s="26">
        <v>1.125</v>
      </c>
      <c r="IX30" s="8"/>
    </row>
    <row r="31" spans="2:258" ht="15.75" thickBot="1" x14ac:dyDescent="0.3">
      <c r="B31" s="103">
        <f t="shared" si="17"/>
        <v>78</v>
      </c>
      <c r="C31" s="221">
        <v>14</v>
      </c>
      <c r="D31" s="98">
        <f t="shared" si="1"/>
        <v>0.2669310897435897</v>
      </c>
      <c r="E31" s="96">
        <f t="shared" si="2"/>
        <v>0.32031730769230765</v>
      </c>
      <c r="F31" s="96">
        <f t="shared" si="3"/>
        <v>0.35590811965811964</v>
      </c>
      <c r="G31" s="96">
        <f t="shared" si="4"/>
        <v>0.3737035256410256</v>
      </c>
      <c r="H31" s="96">
        <f t="shared" si="5"/>
        <v>0.38438076923076919</v>
      </c>
      <c r="I31" s="96">
        <f t="shared" si="6"/>
        <v>0.39149893162393162</v>
      </c>
      <c r="J31" s="96">
        <f t="shared" si="7"/>
        <v>0.39658333333333329</v>
      </c>
      <c r="K31" s="96">
        <f t="shared" si="8"/>
        <v>0.40039663461538455</v>
      </c>
      <c r="L31" s="96">
        <f t="shared" si="9"/>
        <v>0.39545346628679956</v>
      </c>
      <c r="M31" s="96">
        <f t="shared" si="10"/>
        <v>0.39861709401709394</v>
      </c>
      <c r="N31" s="96">
        <f t="shared" si="11"/>
        <v>0.40120551670551663</v>
      </c>
      <c r="O31" s="96">
        <f t="shared" si="12"/>
        <v>0.40262106036324785</v>
      </c>
      <c r="P31" s="238"/>
      <c r="Q31" s="238"/>
      <c r="R31" s="238"/>
      <c r="S31" s="238"/>
      <c r="T31" s="238"/>
      <c r="U31" s="238"/>
      <c r="V31" s="238"/>
      <c r="W31" s="238"/>
      <c r="X31" s="96"/>
      <c r="Y31" s="65"/>
      <c r="AT31" s="4"/>
      <c r="AU31" s="27">
        <f t="shared" si="103"/>
        <v>60</v>
      </c>
      <c r="AV31" s="28" t="str">
        <f t="shared" si="84"/>
        <v>(1500)</v>
      </c>
      <c r="AW31" s="19">
        <f t="shared" si="104"/>
        <v>16</v>
      </c>
      <c r="AX31" s="20">
        <f t="shared" si="18"/>
        <v>0.87888888888888894</v>
      </c>
      <c r="AY31" s="29" t="str">
        <f>"("&amp;FIXED(AX31*0.092903,2)&amp;")"</f>
        <v>(0.08)</v>
      </c>
      <c r="AZ31" s="22">
        <v>2</v>
      </c>
      <c r="BA31" s="22">
        <f t="shared" si="19"/>
        <v>3</v>
      </c>
      <c r="BB31" s="30">
        <v>0</v>
      </c>
      <c r="BC31" s="22">
        <f t="shared" si="20"/>
        <v>0</v>
      </c>
      <c r="BD31" s="30">
        <v>0</v>
      </c>
      <c r="BE31" s="22">
        <f t="shared" si="21"/>
        <v>0</v>
      </c>
      <c r="BF31" s="22">
        <f t="shared" si="86"/>
        <v>3</v>
      </c>
      <c r="BG31" s="23">
        <f t="shared" si="22"/>
        <v>5</v>
      </c>
      <c r="BH31" s="373">
        <f t="shared" si="23"/>
        <v>1.5820000000000001</v>
      </c>
      <c r="BI31" s="374" t="str">
        <f>"("&amp;FIXED(BH31*0.092903,2)&amp;")"</f>
        <v>(0.15)</v>
      </c>
      <c r="BJ31" s="375">
        <v>2</v>
      </c>
      <c r="BK31" s="375">
        <f t="shared" si="24"/>
        <v>3</v>
      </c>
      <c r="BL31" s="375">
        <v>0</v>
      </c>
      <c r="BM31" s="375">
        <f t="shared" si="25"/>
        <v>0</v>
      </c>
      <c r="BN31" s="375">
        <v>0</v>
      </c>
      <c r="BO31" s="375">
        <f t="shared" si="26"/>
        <v>0</v>
      </c>
      <c r="BP31" s="375">
        <f t="shared" si="88"/>
        <v>3</v>
      </c>
      <c r="BQ31" s="376">
        <f t="shared" si="27"/>
        <v>9</v>
      </c>
      <c r="BR31" s="373">
        <f t="shared" si="28"/>
        <v>2.6366666666666667</v>
      </c>
      <c r="BS31" s="374" t="str">
        <f t="shared" si="29"/>
        <v>(0.24)</v>
      </c>
      <c r="BT31" s="375">
        <v>2</v>
      </c>
      <c r="BU31" s="375">
        <f t="shared" si="30"/>
        <v>3</v>
      </c>
      <c r="BV31" s="375">
        <v>0</v>
      </c>
      <c r="BW31" s="375">
        <f t="shared" si="31"/>
        <v>0</v>
      </c>
      <c r="BX31" s="375">
        <v>0</v>
      </c>
      <c r="BY31" s="375">
        <f t="shared" si="32"/>
        <v>0</v>
      </c>
      <c r="BZ31" s="375">
        <f t="shared" si="89"/>
        <v>3</v>
      </c>
      <c r="CA31" s="376">
        <f t="shared" si="33"/>
        <v>15</v>
      </c>
      <c r="CB31" s="373">
        <f t="shared" si="34"/>
        <v>3.6913333333333336</v>
      </c>
      <c r="CC31" s="374" t="str">
        <f t="shared" si="35"/>
        <v>(0.34)</v>
      </c>
      <c r="CD31" s="375">
        <v>2</v>
      </c>
      <c r="CE31" s="375">
        <f t="shared" si="36"/>
        <v>3</v>
      </c>
      <c r="CF31" s="375">
        <v>0</v>
      </c>
      <c r="CG31" s="375">
        <f t="shared" si="37"/>
        <v>0</v>
      </c>
      <c r="CH31" s="375">
        <v>0</v>
      </c>
      <c r="CI31" s="375">
        <f t="shared" si="38"/>
        <v>0</v>
      </c>
      <c r="CJ31" s="375">
        <f t="shared" si="90"/>
        <v>3</v>
      </c>
      <c r="CK31" s="376">
        <f t="shared" si="39"/>
        <v>21</v>
      </c>
      <c r="CL31" s="373">
        <f t="shared" si="40"/>
        <v>4.7459999999999996</v>
      </c>
      <c r="CM31" s="374" t="str">
        <f t="shared" si="41"/>
        <v>(0.44)</v>
      </c>
      <c r="CN31" s="375">
        <v>2</v>
      </c>
      <c r="CO31" s="375">
        <f t="shared" si="42"/>
        <v>3</v>
      </c>
      <c r="CP31" s="375">
        <v>0</v>
      </c>
      <c r="CQ31" s="375">
        <f t="shared" si="43"/>
        <v>0</v>
      </c>
      <c r="CR31" s="375">
        <v>0</v>
      </c>
      <c r="CS31" s="375">
        <f t="shared" si="44"/>
        <v>0</v>
      </c>
      <c r="CT31" s="375">
        <f t="shared" si="91"/>
        <v>3</v>
      </c>
      <c r="CU31" s="376">
        <f t="shared" si="45"/>
        <v>27</v>
      </c>
      <c r="CV31" s="373">
        <f t="shared" si="46"/>
        <v>5.8006666666666673</v>
      </c>
      <c r="CW31" s="374" t="str">
        <f t="shared" si="47"/>
        <v>(0.54)</v>
      </c>
      <c r="CX31" s="375">
        <v>2</v>
      </c>
      <c r="CY31" s="375">
        <f t="shared" si="48"/>
        <v>3</v>
      </c>
      <c r="CZ31" s="375">
        <v>0</v>
      </c>
      <c r="DA31" s="375">
        <f t="shared" si="49"/>
        <v>0</v>
      </c>
      <c r="DB31" s="375">
        <v>0</v>
      </c>
      <c r="DC31" s="375">
        <f t="shared" si="50"/>
        <v>0</v>
      </c>
      <c r="DD31" s="375">
        <f t="shared" si="92"/>
        <v>3</v>
      </c>
      <c r="DE31" s="376">
        <f t="shared" si="51"/>
        <v>33</v>
      </c>
      <c r="DF31" s="373">
        <f t="shared" si="52"/>
        <v>6.8553333333333333</v>
      </c>
      <c r="DG31" s="374" t="str">
        <f t="shared" si="53"/>
        <v>(0.64)</v>
      </c>
      <c r="DH31" s="375">
        <v>2</v>
      </c>
      <c r="DI31" s="375">
        <f t="shared" si="54"/>
        <v>3</v>
      </c>
      <c r="DJ31" s="375">
        <v>0</v>
      </c>
      <c r="DK31" s="375">
        <f t="shared" si="55"/>
        <v>0</v>
      </c>
      <c r="DL31" s="375">
        <v>0</v>
      </c>
      <c r="DM31" s="375">
        <f t="shared" si="56"/>
        <v>0</v>
      </c>
      <c r="DN31" s="375">
        <f t="shared" si="93"/>
        <v>3</v>
      </c>
      <c r="DO31" s="376">
        <f t="shared" si="57"/>
        <v>39</v>
      </c>
      <c r="DP31" s="373">
        <f t="shared" si="58"/>
        <v>7.91</v>
      </c>
      <c r="DQ31" s="374" t="str">
        <f t="shared" si="59"/>
        <v>(0.73)</v>
      </c>
      <c r="DR31" s="375">
        <v>2</v>
      </c>
      <c r="DS31" s="375">
        <f t="shared" si="60"/>
        <v>3</v>
      </c>
      <c r="DT31" s="375">
        <v>0</v>
      </c>
      <c r="DU31" s="375">
        <f t="shared" si="61"/>
        <v>0</v>
      </c>
      <c r="DV31" s="375">
        <v>0</v>
      </c>
      <c r="DW31" s="375">
        <f t="shared" si="62"/>
        <v>0</v>
      </c>
      <c r="DX31" s="375">
        <f t="shared" si="94"/>
        <v>3</v>
      </c>
      <c r="DY31" s="376">
        <f t="shared" si="63"/>
        <v>45</v>
      </c>
      <c r="DZ31" s="373">
        <f t="shared" si="64"/>
        <v>8.7888888888888896</v>
      </c>
      <c r="EA31" s="374" t="str">
        <f>"("&amp;FIXED(DZ31*0.092903,2)&amp;")"</f>
        <v>(0.82)</v>
      </c>
      <c r="EB31" s="375">
        <v>2</v>
      </c>
      <c r="EC31" s="375">
        <f t="shared" si="65"/>
        <v>3</v>
      </c>
      <c r="ED31" s="375">
        <v>0</v>
      </c>
      <c r="EE31" s="375">
        <f t="shared" si="66"/>
        <v>0</v>
      </c>
      <c r="EF31" s="375">
        <v>1</v>
      </c>
      <c r="EG31" s="375">
        <f t="shared" si="67"/>
        <v>1</v>
      </c>
      <c r="EH31" s="375">
        <f t="shared" si="96"/>
        <v>4</v>
      </c>
      <c r="EI31" s="376">
        <f t="shared" si="68"/>
        <v>50</v>
      </c>
      <c r="EJ31" s="373">
        <f t="shared" si="69"/>
        <v>9.8435555555555556</v>
      </c>
      <c r="EK31" s="374" t="str">
        <f>"("&amp;FIXED(EJ31*0.092903,2)&amp;")"</f>
        <v>(0.91)</v>
      </c>
      <c r="EL31" s="375">
        <v>2</v>
      </c>
      <c r="EM31" s="375">
        <f t="shared" si="70"/>
        <v>3</v>
      </c>
      <c r="EN31" s="375">
        <v>0</v>
      </c>
      <c r="EO31" s="375">
        <f t="shared" si="71"/>
        <v>0</v>
      </c>
      <c r="EP31" s="375">
        <v>1</v>
      </c>
      <c r="EQ31" s="375">
        <f t="shared" si="72"/>
        <v>1</v>
      </c>
      <c r="ER31" s="375">
        <f t="shared" si="98"/>
        <v>4</v>
      </c>
      <c r="ES31" s="376">
        <f t="shared" si="73"/>
        <v>56</v>
      </c>
      <c r="ET31" s="373">
        <f t="shared" si="74"/>
        <v>10.898222222222223</v>
      </c>
      <c r="EU31" s="374" t="str">
        <f>"("&amp;FIXED(ET31*0.092903,2)&amp;")"</f>
        <v>(1.01)</v>
      </c>
      <c r="EV31" s="375">
        <v>2</v>
      </c>
      <c r="EW31" s="375">
        <f t="shared" si="75"/>
        <v>3</v>
      </c>
      <c r="EX31" s="375">
        <v>0</v>
      </c>
      <c r="EY31" s="375">
        <f t="shared" si="76"/>
        <v>0</v>
      </c>
      <c r="EZ31" s="375">
        <v>1</v>
      </c>
      <c r="FA31" s="375">
        <f t="shared" si="77"/>
        <v>1</v>
      </c>
      <c r="FB31" s="375">
        <f t="shared" si="100"/>
        <v>4</v>
      </c>
      <c r="FC31" s="376">
        <f t="shared" si="78"/>
        <v>62</v>
      </c>
      <c r="FD31" s="373">
        <f t="shared" si="79"/>
        <v>11.930916666666668</v>
      </c>
      <c r="FE31" s="374" t="str">
        <f>"("&amp;FIXED(FD31*0.092903,2)&amp;")"</f>
        <v>(1.11)</v>
      </c>
      <c r="FF31" s="22">
        <v>2</v>
      </c>
      <c r="FG31" s="22">
        <f t="shared" si="80"/>
        <v>3</v>
      </c>
      <c r="FH31" s="30">
        <v>1</v>
      </c>
      <c r="FI31" s="22">
        <f t="shared" si="81"/>
        <v>1.125</v>
      </c>
      <c r="FJ31" s="30">
        <v>0</v>
      </c>
      <c r="FK31" s="22">
        <f t="shared" si="82"/>
        <v>0</v>
      </c>
      <c r="FL31" s="22">
        <f t="shared" si="102"/>
        <v>4.125</v>
      </c>
      <c r="FM31" s="23">
        <f t="shared" si="83"/>
        <v>67.875</v>
      </c>
      <c r="FN31" s="239"/>
      <c r="FO31" s="240"/>
      <c r="FP31" s="241"/>
      <c r="FQ31" s="241"/>
      <c r="FR31" s="241"/>
      <c r="FS31" s="241"/>
      <c r="FT31" s="241"/>
      <c r="FU31" s="241"/>
      <c r="FV31" s="241"/>
      <c r="FW31" s="242"/>
      <c r="FX31" s="239"/>
      <c r="FY31" s="240"/>
      <c r="FZ31" s="241"/>
      <c r="GA31" s="241"/>
      <c r="GB31" s="241"/>
      <c r="GC31" s="241"/>
      <c r="GD31" s="241"/>
      <c r="GE31" s="241"/>
      <c r="GF31" s="241"/>
      <c r="GG31" s="242"/>
      <c r="GH31" s="239"/>
      <c r="GI31" s="240"/>
      <c r="GJ31" s="241"/>
      <c r="GK31" s="241"/>
      <c r="GL31" s="241"/>
      <c r="GM31" s="241"/>
      <c r="GN31" s="241"/>
      <c r="GO31" s="241"/>
      <c r="GP31" s="241"/>
      <c r="GQ31" s="242"/>
      <c r="GR31" s="239"/>
      <c r="GS31" s="240"/>
      <c r="GT31" s="241"/>
      <c r="GU31" s="241"/>
      <c r="GV31" s="241"/>
      <c r="GW31" s="241"/>
      <c r="GX31" s="241"/>
      <c r="GY31" s="241"/>
      <c r="GZ31" s="241"/>
      <c r="HA31" s="242"/>
      <c r="HB31" s="239"/>
      <c r="HC31" s="240"/>
      <c r="HD31" s="241"/>
      <c r="HE31" s="241"/>
      <c r="HF31" s="241"/>
      <c r="HG31" s="241"/>
      <c r="HH31" s="241"/>
      <c r="HI31" s="241"/>
      <c r="HJ31" s="241"/>
      <c r="HK31" s="242"/>
      <c r="HL31" s="239"/>
      <c r="HM31" s="240"/>
      <c r="HN31" s="241"/>
      <c r="HO31" s="241"/>
      <c r="HP31" s="241"/>
      <c r="HQ31" s="241"/>
      <c r="HR31" s="241"/>
      <c r="HS31" s="241"/>
      <c r="HT31" s="241"/>
      <c r="HU31" s="242"/>
      <c r="HV31" s="239"/>
      <c r="HW31" s="240"/>
      <c r="HX31" s="241"/>
      <c r="HY31" s="241"/>
      <c r="HZ31" s="241"/>
      <c r="IA31" s="241"/>
      <c r="IB31" s="241"/>
      <c r="IC31" s="241"/>
      <c r="ID31" s="241"/>
      <c r="IE31" s="242"/>
      <c r="IF31" s="239"/>
      <c r="IG31" s="240"/>
      <c r="IH31" s="241"/>
      <c r="II31" s="241"/>
      <c r="IJ31" s="241"/>
      <c r="IK31" s="241"/>
      <c r="IL31" s="241"/>
      <c r="IM31" s="241"/>
      <c r="IN31" s="241"/>
      <c r="IO31" s="242"/>
      <c r="IP31" s="24"/>
      <c r="IQ31" s="25">
        <v>28</v>
      </c>
      <c r="IR31" s="26">
        <v>0.88200000000000001</v>
      </c>
      <c r="IS31" s="26">
        <v>0.88900000000000001</v>
      </c>
      <c r="IT31" s="26">
        <v>0.42699999999999999</v>
      </c>
      <c r="IU31" s="26">
        <v>1.5</v>
      </c>
      <c r="IV31" s="26">
        <v>1</v>
      </c>
      <c r="IW31" s="26">
        <v>1.125</v>
      </c>
      <c r="IX31" s="8"/>
    </row>
    <row r="32" spans="2:258" ht="15.75" thickBot="1" x14ac:dyDescent="0.3">
      <c r="B32" s="103">
        <f t="shared" si="17"/>
        <v>84</v>
      </c>
      <c r="C32" s="226">
        <v>15</v>
      </c>
      <c r="D32" s="98">
        <f t="shared" si="1"/>
        <v>0.26770833333333327</v>
      </c>
      <c r="E32" s="96">
        <f t="shared" si="2"/>
        <v>0.32124999999999998</v>
      </c>
      <c r="F32" s="96">
        <f t="shared" si="3"/>
        <v>0.3569444444444444</v>
      </c>
      <c r="G32" s="96">
        <f t="shared" si="4"/>
        <v>0.37479166666666658</v>
      </c>
      <c r="H32" s="96">
        <f t="shared" si="5"/>
        <v>0.38550000000000001</v>
      </c>
      <c r="I32" s="96">
        <f t="shared" si="6"/>
        <v>0.39263888888888882</v>
      </c>
      <c r="J32" s="96">
        <f t="shared" si="7"/>
        <v>0.39773809523809517</v>
      </c>
      <c r="K32" s="96">
        <f t="shared" si="8"/>
        <v>0.40156249999999993</v>
      </c>
      <c r="L32" s="96">
        <f t="shared" si="9"/>
        <v>0.39660493827160487</v>
      </c>
      <c r="M32" s="96">
        <f t="shared" si="10"/>
        <v>0.39977777777777773</v>
      </c>
      <c r="N32" s="96">
        <f t="shared" si="11"/>
        <v>0.40237373737373733</v>
      </c>
      <c r="O32" s="96">
        <f t="shared" si="12"/>
        <v>0.40379340277777775</v>
      </c>
      <c r="P32" s="238"/>
      <c r="Q32" s="238"/>
      <c r="R32" s="238"/>
      <c r="S32" s="238"/>
      <c r="T32" s="238"/>
      <c r="U32" s="238"/>
      <c r="V32" s="238"/>
      <c r="W32" s="238"/>
      <c r="X32" s="96"/>
      <c r="Y32" s="65"/>
      <c r="AT32" s="4"/>
      <c r="AU32" s="14">
        <f t="shared" si="103"/>
        <v>66</v>
      </c>
      <c r="AV32" s="12" t="str">
        <f t="shared" si="84"/>
        <v>(1700)</v>
      </c>
      <c r="AW32" s="19">
        <f t="shared" si="104"/>
        <v>17</v>
      </c>
      <c r="AX32" s="20">
        <f t="shared" si="18"/>
        <v>0.97149305555555565</v>
      </c>
      <c r="AY32" s="21" t="str">
        <f t="shared" ref="AY32:AY40" si="105">"("&amp;FIXED(AX32*0.092903,2)&amp;")"</f>
        <v>(0.09)</v>
      </c>
      <c r="AZ32" s="22">
        <v>2</v>
      </c>
      <c r="BA32" s="22">
        <f t="shared" si="19"/>
        <v>3</v>
      </c>
      <c r="BB32" s="22">
        <v>0</v>
      </c>
      <c r="BC32" s="22">
        <f t="shared" si="20"/>
        <v>0</v>
      </c>
      <c r="BD32" s="22">
        <v>0</v>
      </c>
      <c r="BE32" s="22">
        <f t="shared" si="21"/>
        <v>0</v>
      </c>
      <c r="BF32" s="22">
        <f t="shared" si="86"/>
        <v>3</v>
      </c>
      <c r="BG32" s="23">
        <f t="shared" si="22"/>
        <v>5</v>
      </c>
      <c r="BH32" s="373">
        <f t="shared" si="23"/>
        <v>1.7486875000000002</v>
      </c>
      <c r="BI32" s="374" t="str">
        <f t="shared" si="87"/>
        <v>(0.16)</v>
      </c>
      <c r="BJ32" s="375">
        <v>2</v>
      </c>
      <c r="BK32" s="375">
        <f t="shared" si="24"/>
        <v>3</v>
      </c>
      <c r="BL32" s="375">
        <v>0</v>
      </c>
      <c r="BM32" s="375">
        <f t="shared" si="25"/>
        <v>0</v>
      </c>
      <c r="BN32" s="375">
        <v>0</v>
      </c>
      <c r="BO32" s="375">
        <f t="shared" si="26"/>
        <v>0</v>
      </c>
      <c r="BP32" s="375">
        <f t="shared" si="88"/>
        <v>3</v>
      </c>
      <c r="BQ32" s="376">
        <f t="shared" si="27"/>
        <v>9</v>
      </c>
      <c r="BR32" s="373">
        <f t="shared" si="28"/>
        <v>2.9144791666666672</v>
      </c>
      <c r="BS32" s="374" t="str">
        <f t="shared" si="29"/>
        <v>(0.27)</v>
      </c>
      <c r="BT32" s="375">
        <v>2</v>
      </c>
      <c r="BU32" s="375">
        <f t="shared" si="30"/>
        <v>3</v>
      </c>
      <c r="BV32" s="375">
        <v>0</v>
      </c>
      <c r="BW32" s="375">
        <f t="shared" si="31"/>
        <v>0</v>
      </c>
      <c r="BX32" s="375">
        <v>0</v>
      </c>
      <c r="BY32" s="375">
        <f t="shared" si="32"/>
        <v>0</v>
      </c>
      <c r="BZ32" s="375">
        <f t="shared" si="89"/>
        <v>3</v>
      </c>
      <c r="CA32" s="376">
        <f t="shared" si="33"/>
        <v>15</v>
      </c>
      <c r="CB32" s="373">
        <f t="shared" si="34"/>
        <v>4.0802708333333335</v>
      </c>
      <c r="CC32" s="374" t="str">
        <f t="shared" si="35"/>
        <v>(0.38)</v>
      </c>
      <c r="CD32" s="375">
        <v>2</v>
      </c>
      <c r="CE32" s="375">
        <f t="shared" si="36"/>
        <v>3</v>
      </c>
      <c r="CF32" s="375">
        <v>0</v>
      </c>
      <c r="CG32" s="375">
        <f t="shared" si="37"/>
        <v>0</v>
      </c>
      <c r="CH32" s="375">
        <v>0</v>
      </c>
      <c r="CI32" s="375">
        <f t="shared" si="38"/>
        <v>0</v>
      </c>
      <c r="CJ32" s="375">
        <f t="shared" si="90"/>
        <v>3</v>
      </c>
      <c r="CK32" s="376">
        <f t="shared" si="39"/>
        <v>21</v>
      </c>
      <c r="CL32" s="373">
        <f t="shared" si="40"/>
        <v>5.2460625000000007</v>
      </c>
      <c r="CM32" s="374" t="str">
        <f t="shared" si="41"/>
        <v>(0.49)</v>
      </c>
      <c r="CN32" s="375">
        <v>2</v>
      </c>
      <c r="CO32" s="375">
        <f t="shared" si="42"/>
        <v>3</v>
      </c>
      <c r="CP32" s="375">
        <v>0</v>
      </c>
      <c r="CQ32" s="375">
        <f t="shared" si="43"/>
        <v>0</v>
      </c>
      <c r="CR32" s="375">
        <v>0</v>
      </c>
      <c r="CS32" s="375">
        <f t="shared" si="44"/>
        <v>0</v>
      </c>
      <c r="CT32" s="375">
        <f t="shared" si="91"/>
        <v>3</v>
      </c>
      <c r="CU32" s="376">
        <f t="shared" si="45"/>
        <v>27</v>
      </c>
      <c r="CV32" s="373">
        <f t="shared" si="46"/>
        <v>6.411854166666668</v>
      </c>
      <c r="CW32" s="374" t="str">
        <f t="shared" si="47"/>
        <v>(0.6)</v>
      </c>
      <c r="CX32" s="375">
        <v>2</v>
      </c>
      <c r="CY32" s="375">
        <f t="shared" si="48"/>
        <v>3</v>
      </c>
      <c r="CZ32" s="375">
        <v>0</v>
      </c>
      <c r="DA32" s="375">
        <f t="shared" si="49"/>
        <v>0</v>
      </c>
      <c r="DB32" s="375">
        <v>0</v>
      </c>
      <c r="DC32" s="375">
        <f t="shared" si="50"/>
        <v>0</v>
      </c>
      <c r="DD32" s="375">
        <f t="shared" si="92"/>
        <v>3</v>
      </c>
      <c r="DE32" s="376">
        <f t="shared" si="51"/>
        <v>33</v>
      </c>
      <c r="DF32" s="373">
        <f t="shared" si="52"/>
        <v>7.5776458333333334</v>
      </c>
      <c r="DG32" s="374" t="str">
        <f t="shared" si="53"/>
        <v>(0.7)</v>
      </c>
      <c r="DH32" s="375">
        <v>2</v>
      </c>
      <c r="DI32" s="375">
        <f t="shared" si="54"/>
        <v>3</v>
      </c>
      <c r="DJ32" s="375">
        <v>0</v>
      </c>
      <c r="DK32" s="375">
        <f t="shared" si="55"/>
        <v>0</v>
      </c>
      <c r="DL32" s="375">
        <v>0</v>
      </c>
      <c r="DM32" s="375">
        <f t="shared" si="56"/>
        <v>0</v>
      </c>
      <c r="DN32" s="375">
        <f t="shared" si="93"/>
        <v>3</v>
      </c>
      <c r="DO32" s="376">
        <f t="shared" si="57"/>
        <v>39</v>
      </c>
      <c r="DP32" s="373">
        <f t="shared" si="58"/>
        <v>8.7434375000000006</v>
      </c>
      <c r="DQ32" s="374" t="str">
        <f t="shared" si="59"/>
        <v>(0.81)</v>
      </c>
      <c r="DR32" s="375">
        <v>2</v>
      </c>
      <c r="DS32" s="375">
        <f t="shared" si="60"/>
        <v>3</v>
      </c>
      <c r="DT32" s="375">
        <v>0</v>
      </c>
      <c r="DU32" s="375">
        <f t="shared" si="61"/>
        <v>0</v>
      </c>
      <c r="DV32" s="375">
        <v>0</v>
      </c>
      <c r="DW32" s="375">
        <f t="shared" si="62"/>
        <v>0</v>
      </c>
      <c r="DX32" s="375">
        <f t="shared" si="94"/>
        <v>3</v>
      </c>
      <c r="DY32" s="376">
        <f t="shared" si="63"/>
        <v>45</v>
      </c>
      <c r="DZ32" s="373">
        <f t="shared" si="64"/>
        <v>9.7149305555555561</v>
      </c>
      <c r="EA32" s="374" t="str">
        <f t="shared" si="95"/>
        <v>(0.90)</v>
      </c>
      <c r="EB32" s="375">
        <v>2</v>
      </c>
      <c r="EC32" s="375">
        <f t="shared" si="65"/>
        <v>3</v>
      </c>
      <c r="ED32" s="375">
        <v>0</v>
      </c>
      <c r="EE32" s="375">
        <f t="shared" si="66"/>
        <v>0</v>
      </c>
      <c r="EF32" s="375">
        <v>1</v>
      </c>
      <c r="EG32" s="375">
        <f t="shared" si="67"/>
        <v>1</v>
      </c>
      <c r="EH32" s="375">
        <f t="shared" si="96"/>
        <v>4</v>
      </c>
      <c r="EI32" s="376">
        <f t="shared" si="68"/>
        <v>50</v>
      </c>
      <c r="EJ32" s="373">
        <f t="shared" si="69"/>
        <v>10.880722222222223</v>
      </c>
      <c r="EK32" s="374" t="str">
        <f t="shared" ref="EK32:EK40" si="106">"("&amp;FIXED(EJ32*0.092903,2)&amp;")"</f>
        <v>(1.01)</v>
      </c>
      <c r="EL32" s="375">
        <v>2</v>
      </c>
      <c r="EM32" s="375">
        <f t="shared" si="70"/>
        <v>3</v>
      </c>
      <c r="EN32" s="375">
        <v>0</v>
      </c>
      <c r="EO32" s="375">
        <f t="shared" si="71"/>
        <v>0</v>
      </c>
      <c r="EP32" s="375">
        <v>1</v>
      </c>
      <c r="EQ32" s="375">
        <f t="shared" si="72"/>
        <v>1</v>
      </c>
      <c r="ER32" s="375">
        <f t="shared" si="98"/>
        <v>4</v>
      </c>
      <c r="ES32" s="376">
        <f t="shared" si="73"/>
        <v>56</v>
      </c>
      <c r="ET32" s="373">
        <f t="shared" si="74"/>
        <v>12.046513888888889</v>
      </c>
      <c r="EU32" s="374" t="str">
        <f t="shared" ref="EU32:EU40" si="107">"("&amp;FIXED(ET32*0.092903,2)&amp;")"</f>
        <v>(1.12)</v>
      </c>
      <c r="EV32" s="375">
        <v>2</v>
      </c>
      <c r="EW32" s="375">
        <f t="shared" si="75"/>
        <v>3</v>
      </c>
      <c r="EX32" s="375">
        <v>0</v>
      </c>
      <c r="EY32" s="375">
        <f t="shared" si="76"/>
        <v>0</v>
      </c>
      <c r="EZ32" s="375">
        <v>1</v>
      </c>
      <c r="FA32" s="375">
        <f t="shared" si="77"/>
        <v>1</v>
      </c>
      <c r="FB32" s="375">
        <f t="shared" si="100"/>
        <v>4</v>
      </c>
      <c r="FC32" s="376">
        <f t="shared" si="78"/>
        <v>62</v>
      </c>
      <c r="FD32" s="373">
        <f t="shared" si="79"/>
        <v>13.188018229166667</v>
      </c>
      <c r="FE32" s="374" t="str">
        <f t="shared" si="101"/>
        <v>(1.23)</v>
      </c>
      <c r="FF32" s="22">
        <v>2</v>
      </c>
      <c r="FG32" s="22">
        <f t="shared" si="80"/>
        <v>3</v>
      </c>
      <c r="FH32" s="22">
        <v>1</v>
      </c>
      <c r="FI32" s="22">
        <f t="shared" si="81"/>
        <v>1.125</v>
      </c>
      <c r="FJ32" s="22">
        <v>0</v>
      </c>
      <c r="FK32" s="22">
        <f t="shared" si="82"/>
        <v>0</v>
      </c>
      <c r="FL32" s="22">
        <f t="shared" si="102"/>
        <v>4.125</v>
      </c>
      <c r="FM32" s="23">
        <f t="shared" si="83"/>
        <v>67.875</v>
      </c>
      <c r="FN32" s="239"/>
      <c r="FO32" s="240"/>
      <c r="FP32" s="241"/>
      <c r="FQ32" s="241"/>
      <c r="FR32" s="241"/>
      <c r="FS32" s="241"/>
      <c r="FT32" s="241"/>
      <c r="FU32" s="241"/>
      <c r="FV32" s="241"/>
      <c r="FW32" s="242"/>
      <c r="FX32" s="239"/>
      <c r="FY32" s="240"/>
      <c r="FZ32" s="241"/>
      <c r="GA32" s="241"/>
      <c r="GB32" s="241"/>
      <c r="GC32" s="241"/>
      <c r="GD32" s="241"/>
      <c r="GE32" s="241"/>
      <c r="GF32" s="241"/>
      <c r="GG32" s="242"/>
      <c r="GH32" s="239"/>
      <c r="GI32" s="240"/>
      <c r="GJ32" s="241"/>
      <c r="GK32" s="241"/>
      <c r="GL32" s="241"/>
      <c r="GM32" s="241"/>
      <c r="GN32" s="241"/>
      <c r="GO32" s="241"/>
      <c r="GP32" s="241"/>
      <c r="GQ32" s="242"/>
      <c r="GR32" s="239"/>
      <c r="GS32" s="240"/>
      <c r="GT32" s="241"/>
      <c r="GU32" s="241"/>
      <c r="GV32" s="241"/>
      <c r="GW32" s="241"/>
      <c r="GX32" s="241"/>
      <c r="GY32" s="241"/>
      <c r="GZ32" s="241"/>
      <c r="HA32" s="242"/>
      <c r="HB32" s="239"/>
      <c r="HC32" s="240"/>
      <c r="HD32" s="241"/>
      <c r="HE32" s="241"/>
      <c r="HF32" s="241"/>
      <c r="HG32" s="241"/>
      <c r="HH32" s="241"/>
      <c r="HI32" s="241"/>
      <c r="HJ32" s="241"/>
      <c r="HK32" s="242"/>
      <c r="HL32" s="239"/>
      <c r="HM32" s="240"/>
      <c r="HN32" s="241"/>
      <c r="HO32" s="241"/>
      <c r="HP32" s="241"/>
      <c r="HQ32" s="241"/>
      <c r="HR32" s="241"/>
      <c r="HS32" s="241"/>
      <c r="HT32" s="241"/>
      <c r="HU32" s="242"/>
      <c r="HV32" s="239"/>
      <c r="HW32" s="240"/>
      <c r="HX32" s="241"/>
      <c r="HY32" s="241"/>
      <c r="HZ32" s="241"/>
      <c r="IA32" s="241"/>
      <c r="IB32" s="241"/>
      <c r="IC32" s="241"/>
      <c r="ID32" s="241"/>
      <c r="IE32" s="242"/>
      <c r="IF32" s="239"/>
      <c r="IG32" s="240"/>
      <c r="IH32" s="241"/>
      <c r="II32" s="241"/>
      <c r="IJ32" s="241"/>
      <c r="IK32" s="241"/>
      <c r="IL32" s="241"/>
      <c r="IM32" s="241"/>
      <c r="IN32" s="241"/>
      <c r="IO32" s="242"/>
      <c r="IP32" s="24"/>
      <c r="IQ32" s="25">
        <v>31</v>
      </c>
      <c r="IR32" s="26">
        <v>0.88200000000000001</v>
      </c>
      <c r="IS32" s="26">
        <v>0.88900000000000001</v>
      </c>
      <c r="IT32" s="26">
        <v>0.42699999999999999</v>
      </c>
      <c r="IU32" s="26">
        <v>1.5</v>
      </c>
      <c r="IV32" s="26">
        <v>1</v>
      </c>
      <c r="IW32" s="26">
        <v>1.125</v>
      </c>
      <c r="IX32" s="8"/>
    </row>
    <row r="33" spans="2:258" ht="15.75" thickBot="1" x14ac:dyDescent="0.3">
      <c r="B33" s="103">
        <f t="shared" si="17"/>
        <v>90</v>
      </c>
      <c r="C33" s="221">
        <v>16</v>
      </c>
      <c r="D33" s="98">
        <f t="shared" si="1"/>
        <v>0.26838194444444441</v>
      </c>
      <c r="E33" s="96">
        <f t="shared" si="2"/>
        <v>0.32205833333333334</v>
      </c>
      <c r="F33" s="96">
        <f t="shared" si="3"/>
        <v>0.35784259259259255</v>
      </c>
      <c r="G33" s="96">
        <f t="shared" si="4"/>
        <v>0.37573472222222221</v>
      </c>
      <c r="H33" s="96">
        <f t="shared" si="5"/>
        <v>0.38647000000000004</v>
      </c>
      <c r="I33" s="96">
        <f t="shared" si="6"/>
        <v>0.39362685185185181</v>
      </c>
      <c r="J33" s="96">
        <f t="shared" si="7"/>
        <v>0.39873888888888886</v>
      </c>
      <c r="K33" s="96">
        <f t="shared" si="8"/>
        <v>0.40257291666666667</v>
      </c>
      <c r="L33" s="96">
        <f t="shared" si="9"/>
        <v>0.39760288065843619</v>
      </c>
      <c r="M33" s="96">
        <f t="shared" si="10"/>
        <v>0.4007837037037037</v>
      </c>
      <c r="N33" s="96">
        <f t="shared" si="11"/>
        <v>0.40338619528619535</v>
      </c>
      <c r="O33" s="96">
        <f t="shared" si="12"/>
        <v>0.40480943287037036</v>
      </c>
      <c r="P33" s="238"/>
      <c r="Q33" s="238"/>
      <c r="R33" s="238"/>
      <c r="S33" s="238"/>
      <c r="T33" s="238"/>
      <c r="U33" s="238"/>
      <c r="V33" s="238"/>
      <c r="W33" s="238"/>
      <c r="X33" s="96"/>
      <c r="Y33" s="65"/>
      <c r="AT33" s="4"/>
      <c r="AU33" s="14">
        <f t="shared" si="103"/>
        <v>72</v>
      </c>
      <c r="AV33" s="12" t="str">
        <f t="shared" si="84"/>
        <v>(1850)</v>
      </c>
      <c r="AW33" s="19">
        <f t="shared" si="104"/>
        <v>18</v>
      </c>
      <c r="AX33" s="20">
        <f t="shared" si="18"/>
        <v>1.0640972222222222</v>
      </c>
      <c r="AY33" s="21" t="str">
        <f t="shared" si="105"/>
        <v>(0.10)</v>
      </c>
      <c r="AZ33" s="22">
        <v>2</v>
      </c>
      <c r="BA33" s="22">
        <f t="shared" si="19"/>
        <v>3</v>
      </c>
      <c r="BB33" s="22">
        <v>0</v>
      </c>
      <c r="BC33" s="22">
        <f t="shared" si="20"/>
        <v>0</v>
      </c>
      <c r="BD33" s="22">
        <v>0</v>
      </c>
      <c r="BE33" s="22">
        <f t="shared" si="21"/>
        <v>0</v>
      </c>
      <c r="BF33" s="22">
        <f t="shared" si="86"/>
        <v>3</v>
      </c>
      <c r="BG33" s="23">
        <f t="shared" si="22"/>
        <v>5</v>
      </c>
      <c r="BH33" s="373">
        <f t="shared" si="23"/>
        <v>1.915375</v>
      </c>
      <c r="BI33" s="374" t="str">
        <f t="shared" si="87"/>
        <v>(0.18)</v>
      </c>
      <c r="BJ33" s="375">
        <v>2</v>
      </c>
      <c r="BK33" s="375">
        <f t="shared" si="24"/>
        <v>3</v>
      </c>
      <c r="BL33" s="375">
        <v>0</v>
      </c>
      <c r="BM33" s="375">
        <f t="shared" si="25"/>
        <v>0</v>
      </c>
      <c r="BN33" s="375">
        <v>0</v>
      </c>
      <c r="BO33" s="375">
        <f t="shared" si="26"/>
        <v>0</v>
      </c>
      <c r="BP33" s="375">
        <f t="shared" si="88"/>
        <v>3</v>
      </c>
      <c r="BQ33" s="376">
        <f t="shared" si="27"/>
        <v>9</v>
      </c>
      <c r="BR33" s="373">
        <f t="shared" si="28"/>
        <v>3.1922916666666667</v>
      </c>
      <c r="BS33" s="374" t="str">
        <f t="shared" si="29"/>
        <v>(0.3)</v>
      </c>
      <c r="BT33" s="375">
        <v>2</v>
      </c>
      <c r="BU33" s="375">
        <f t="shared" si="30"/>
        <v>3</v>
      </c>
      <c r="BV33" s="375">
        <v>0</v>
      </c>
      <c r="BW33" s="375">
        <f t="shared" si="31"/>
        <v>0</v>
      </c>
      <c r="BX33" s="375">
        <v>0</v>
      </c>
      <c r="BY33" s="375">
        <f t="shared" si="32"/>
        <v>0</v>
      </c>
      <c r="BZ33" s="375">
        <f t="shared" si="89"/>
        <v>3</v>
      </c>
      <c r="CA33" s="376">
        <f t="shared" si="33"/>
        <v>15</v>
      </c>
      <c r="CB33" s="373">
        <f t="shared" si="34"/>
        <v>4.4692083333333334</v>
      </c>
      <c r="CC33" s="374" t="str">
        <f t="shared" si="35"/>
        <v>(0.42)</v>
      </c>
      <c r="CD33" s="375">
        <v>2</v>
      </c>
      <c r="CE33" s="375">
        <f t="shared" si="36"/>
        <v>3</v>
      </c>
      <c r="CF33" s="375">
        <v>0</v>
      </c>
      <c r="CG33" s="375">
        <f t="shared" si="37"/>
        <v>0</v>
      </c>
      <c r="CH33" s="375">
        <v>0</v>
      </c>
      <c r="CI33" s="375">
        <f t="shared" si="38"/>
        <v>0</v>
      </c>
      <c r="CJ33" s="375">
        <f t="shared" si="90"/>
        <v>3</v>
      </c>
      <c r="CK33" s="376">
        <f t="shared" si="39"/>
        <v>21</v>
      </c>
      <c r="CL33" s="373">
        <f t="shared" si="40"/>
        <v>5.7461250000000001</v>
      </c>
      <c r="CM33" s="374" t="str">
        <f t="shared" si="41"/>
        <v>(0.53)</v>
      </c>
      <c r="CN33" s="375">
        <v>2</v>
      </c>
      <c r="CO33" s="375">
        <f t="shared" si="42"/>
        <v>3</v>
      </c>
      <c r="CP33" s="375">
        <v>0</v>
      </c>
      <c r="CQ33" s="375">
        <f t="shared" si="43"/>
        <v>0</v>
      </c>
      <c r="CR33" s="375">
        <v>0</v>
      </c>
      <c r="CS33" s="375">
        <f t="shared" si="44"/>
        <v>0</v>
      </c>
      <c r="CT33" s="375">
        <f t="shared" si="91"/>
        <v>3</v>
      </c>
      <c r="CU33" s="376">
        <f t="shared" si="45"/>
        <v>27</v>
      </c>
      <c r="CV33" s="373">
        <f t="shared" si="46"/>
        <v>7.0230416666666668</v>
      </c>
      <c r="CW33" s="374" t="str">
        <f t="shared" si="47"/>
        <v>(0.65)</v>
      </c>
      <c r="CX33" s="375">
        <v>2</v>
      </c>
      <c r="CY33" s="375">
        <f t="shared" si="48"/>
        <v>3</v>
      </c>
      <c r="CZ33" s="375">
        <v>0</v>
      </c>
      <c r="DA33" s="375">
        <f t="shared" si="49"/>
        <v>0</v>
      </c>
      <c r="DB33" s="375">
        <v>0</v>
      </c>
      <c r="DC33" s="375">
        <f t="shared" si="50"/>
        <v>0</v>
      </c>
      <c r="DD33" s="375">
        <f t="shared" si="92"/>
        <v>3</v>
      </c>
      <c r="DE33" s="376">
        <f t="shared" si="51"/>
        <v>33</v>
      </c>
      <c r="DF33" s="373">
        <f t="shared" si="52"/>
        <v>8.2999583333333327</v>
      </c>
      <c r="DG33" s="374" t="str">
        <f t="shared" si="53"/>
        <v>(0.77)</v>
      </c>
      <c r="DH33" s="375">
        <v>2</v>
      </c>
      <c r="DI33" s="375">
        <f t="shared" si="54"/>
        <v>3</v>
      </c>
      <c r="DJ33" s="375">
        <v>0</v>
      </c>
      <c r="DK33" s="375">
        <f t="shared" si="55"/>
        <v>0</v>
      </c>
      <c r="DL33" s="375">
        <v>0</v>
      </c>
      <c r="DM33" s="375">
        <f t="shared" si="56"/>
        <v>0</v>
      </c>
      <c r="DN33" s="375">
        <f t="shared" si="93"/>
        <v>3</v>
      </c>
      <c r="DO33" s="376">
        <f t="shared" si="57"/>
        <v>39</v>
      </c>
      <c r="DP33" s="373">
        <f t="shared" si="58"/>
        <v>9.5768749999999994</v>
      </c>
      <c r="DQ33" s="374" t="str">
        <f t="shared" si="59"/>
        <v>(0.89)</v>
      </c>
      <c r="DR33" s="375">
        <v>2</v>
      </c>
      <c r="DS33" s="375">
        <f t="shared" si="60"/>
        <v>3</v>
      </c>
      <c r="DT33" s="375">
        <v>0</v>
      </c>
      <c r="DU33" s="375">
        <f t="shared" si="61"/>
        <v>0</v>
      </c>
      <c r="DV33" s="375">
        <v>0</v>
      </c>
      <c r="DW33" s="375">
        <f t="shared" si="62"/>
        <v>0</v>
      </c>
      <c r="DX33" s="375">
        <f t="shared" si="94"/>
        <v>3</v>
      </c>
      <c r="DY33" s="376">
        <f t="shared" si="63"/>
        <v>45</v>
      </c>
      <c r="DZ33" s="373">
        <f t="shared" si="64"/>
        <v>10.640972222222222</v>
      </c>
      <c r="EA33" s="374" t="str">
        <f t="shared" si="95"/>
        <v>(0.99)</v>
      </c>
      <c r="EB33" s="375">
        <v>2</v>
      </c>
      <c r="EC33" s="375">
        <f t="shared" si="65"/>
        <v>3</v>
      </c>
      <c r="ED33" s="375">
        <v>0</v>
      </c>
      <c r="EE33" s="375">
        <f t="shared" si="66"/>
        <v>0</v>
      </c>
      <c r="EF33" s="375">
        <v>1</v>
      </c>
      <c r="EG33" s="375">
        <f t="shared" si="67"/>
        <v>1</v>
      </c>
      <c r="EH33" s="375">
        <f t="shared" si="96"/>
        <v>4</v>
      </c>
      <c r="EI33" s="376">
        <f t="shared" si="68"/>
        <v>50</v>
      </c>
      <c r="EJ33" s="373">
        <f t="shared" si="69"/>
        <v>11.917888888888889</v>
      </c>
      <c r="EK33" s="374" t="str">
        <f t="shared" si="106"/>
        <v>(1.11)</v>
      </c>
      <c r="EL33" s="375">
        <v>2</v>
      </c>
      <c r="EM33" s="375">
        <f t="shared" si="70"/>
        <v>3</v>
      </c>
      <c r="EN33" s="375">
        <v>0</v>
      </c>
      <c r="EO33" s="375">
        <f t="shared" si="71"/>
        <v>0</v>
      </c>
      <c r="EP33" s="375">
        <v>1</v>
      </c>
      <c r="EQ33" s="375">
        <f t="shared" si="72"/>
        <v>1</v>
      </c>
      <c r="ER33" s="375">
        <f t="shared" si="98"/>
        <v>4</v>
      </c>
      <c r="ES33" s="376">
        <f t="shared" si="73"/>
        <v>56</v>
      </c>
      <c r="ET33" s="373">
        <f t="shared" si="74"/>
        <v>13.194805555555556</v>
      </c>
      <c r="EU33" s="374" t="str">
        <f t="shared" si="107"/>
        <v>(1.23)</v>
      </c>
      <c r="EV33" s="375">
        <v>2</v>
      </c>
      <c r="EW33" s="375">
        <f t="shared" si="75"/>
        <v>3</v>
      </c>
      <c r="EX33" s="375">
        <v>0</v>
      </c>
      <c r="EY33" s="375">
        <f t="shared" si="76"/>
        <v>0</v>
      </c>
      <c r="EZ33" s="375">
        <v>1</v>
      </c>
      <c r="FA33" s="375">
        <f t="shared" si="77"/>
        <v>1</v>
      </c>
      <c r="FB33" s="375">
        <f t="shared" si="100"/>
        <v>4</v>
      </c>
      <c r="FC33" s="376">
        <f t="shared" si="78"/>
        <v>62</v>
      </c>
      <c r="FD33" s="373">
        <f t="shared" si="79"/>
        <v>14.445119791666668</v>
      </c>
      <c r="FE33" s="374" t="str">
        <f t="shared" si="101"/>
        <v>(1.34)</v>
      </c>
      <c r="FF33" s="22">
        <v>2</v>
      </c>
      <c r="FG33" s="22">
        <f t="shared" si="80"/>
        <v>3</v>
      </c>
      <c r="FH33" s="22">
        <v>1</v>
      </c>
      <c r="FI33" s="22">
        <f t="shared" si="81"/>
        <v>1.125</v>
      </c>
      <c r="FJ33" s="22">
        <v>0</v>
      </c>
      <c r="FK33" s="22">
        <f t="shared" si="82"/>
        <v>0</v>
      </c>
      <c r="FL33" s="22">
        <f t="shared" si="102"/>
        <v>4.125</v>
      </c>
      <c r="FM33" s="23">
        <f t="shared" si="83"/>
        <v>67.875</v>
      </c>
      <c r="FN33" s="239"/>
      <c r="FO33" s="240"/>
      <c r="FP33" s="241"/>
      <c r="FQ33" s="241"/>
      <c r="FR33" s="241"/>
      <c r="FS33" s="241"/>
      <c r="FT33" s="241"/>
      <c r="FU33" s="241"/>
      <c r="FV33" s="241"/>
      <c r="FW33" s="242"/>
      <c r="FX33" s="239"/>
      <c r="FY33" s="240"/>
      <c r="FZ33" s="241"/>
      <c r="GA33" s="241"/>
      <c r="GB33" s="241"/>
      <c r="GC33" s="241"/>
      <c r="GD33" s="241"/>
      <c r="GE33" s="241"/>
      <c r="GF33" s="241"/>
      <c r="GG33" s="242"/>
      <c r="GH33" s="239"/>
      <c r="GI33" s="240"/>
      <c r="GJ33" s="241"/>
      <c r="GK33" s="241"/>
      <c r="GL33" s="241"/>
      <c r="GM33" s="241"/>
      <c r="GN33" s="241"/>
      <c r="GO33" s="241"/>
      <c r="GP33" s="241"/>
      <c r="GQ33" s="242"/>
      <c r="GR33" s="239"/>
      <c r="GS33" s="240"/>
      <c r="GT33" s="241"/>
      <c r="GU33" s="241"/>
      <c r="GV33" s="241"/>
      <c r="GW33" s="241"/>
      <c r="GX33" s="241"/>
      <c r="GY33" s="241"/>
      <c r="GZ33" s="241"/>
      <c r="HA33" s="242"/>
      <c r="HB33" s="239"/>
      <c r="HC33" s="240"/>
      <c r="HD33" s="241"/>
      <c r="HE33" s="241"/>
      <c r="HF33" s="241"/>
      <c r="HG33" s="241"/>
      <c r="HH33" s="241"/>
      <c r="HI33" s="241"/>
      <c r="HJ33" s="241"/>
      <c r="HK33" s="242"/>
      <c r="HL33" s="239"/>
      <c r="HM33" s="240"/>
      <c r="HN33" s="241"/>
      <c r="HO33" s="241"/>
      <c r="HP33" s="241"/>
      <c r="HQ33" s="241"/>
      <c r="HR33" s="241"/>
      <c r="HS33" s="241"/>
      <c r="HT33" s="241"/>
      <c r="HU33" s="242"/>
      <c r="HV33" s="239"/>
      <c r="HW33" s="240"/>
      <c r="HX33" s="241"/>
      <c r="HY33" s="241"/>
      <c r="HZ33" s="241"/>
      <c r="IA33" s="241"/>
      <c r="IB33" s="241"/>
      <c r="IC33" s="241"/>
      <c r="ID33" s="241"/>
      <c r="IE33" s="242"/>
      <c r="IF33" s="239"/>
      <c r="IG33" s="240"/>
      <c r="IH33" s="241"/>
      <c r="II33" s="241"/>
      <c r="IJ33" s="241"/>
      <c r="IK33" s="241"/>
      <c r="IL33" s="241"/>
      <c r="IM33" s="241"/>
      <c r="IN33" s="241"/>
      <c r="IO33" s="242"/>
      <c r="IP33" s="24"/>
      <c r="IQ33" s="25">
        <v>34</v>
      </c>
      <c r="IR33" s="26">
        <v>0.88200000000000001</v>
      </c>
      <c r="IS33" s="26">
        <v>0.88900000000000001</v>
      </c>
      <c r="IT33" s="26">
        <v>0.42699999999999999</v>
      </c>
      <c r="IU33" s="26">
        <v>1.5</v>
      </c>
      <c r="IV33" s="26">
        <v>1</v>
      </c>
      <c r="IW33" s="26">
        <v>1.125</v>
      </c>
      <c r="IX33" s="8"/>
    </row>
    <row r="34" spans="2:258" ht="15.75" thickBot="1" x14ac:dyDescent="0.3">
      <c r="B34" s="103">
        <f t="shared" si="17"/>
        <v>96</v>
      </c>
      <c r="C34" s="226">
        <v>17</v>
      </c>
      <c r="D34" s="98">
        <f t="shared" si="1"/>
        <v>0.26897135416666668</v>
      </c>
      <c r="E34" s="96">
        <f t="shared" si="2"/>
        <v>0.322765625</v>
      </c>
      <c r="F34" s="96">
        <f t="shared" si="3"/>
        <v>0.35862847222222222</v>
      </c>
      <c r="G34" s="96">
        <f t="shared" si="4"/>
        <v>0.37655989583333338</v>
      </c>
      <c r="H34" s="96">
        <f t="shared" si="5"/>
        <v>0.38731875000000004</v>
      </c>
      <c r="I34" s="96">
        <f t="shared" si="6"/>
        <v>0.39449131944444443</v>
      </c>
      <c r="J34" s="96">
        <f t="shared" si="7"/>
        <v>0.39961458333333333</v>
      </c>
      <c r="K34" s="96">
        <f t="shared" si="8"/>
        <v>0.40345703125000004</v>
      </c>
      <c r="L34" s="96">
        <f t="shared" si="9"/>
        <v>0.39847608024691356</v>
      </c>
      <c r="M34" s="96">
        <f t="shared" si="10"/>
        <v>0.40166388888888882</v>
      </c>
      <c r="N34" s="96">
        <f t="shared" si="11"/>
        <v>0.40427209595959596</v>
      </c>
      <c r="O34" s="96">
        <f t="shared" si="12"/>
        <v>0.40569845920138886</v>
      </c>
      <c r="P34" s="238"/>
      <c r="Q34" s="238"/>
      <c r="R34" s="238"/>
      <c r="S34" s="238"/>
      <c r="T34" s="238"/>
      <c r="U34" s="238"/>
      <c r="V34" s="238"/>
      <c r="W34" s="238"/>
      <c r="X34" s="96"/>
      <c r="Y34" s="65"/>
      <c r="AT34" s="4"/>
      <c r="AU34" s="14">
        <f t="shared" si="103"/>
        <v>78</v>
      </c>
      <c r="AV34" s="12" t="str">
        <f t="shared" si="84"/>
        <v>(2000)</v>
      </c>
      <c r="AW34" s="19">
        <f t="shared" si="104"/>
        <v>19</v>
      </c>
      <c r="AX34" s="20">
        <f t="shared" si="18"/>
        <v>1.1567013888888886</v>
      </c>
      <c r="AY34" s="21" t="str">
        <f t="shared" si="105"/>
        <v>(0.11)</v>
      </c>
      <c r="AZ34" s="22">
        <v>2</v>
      </c>
      <c r="BA34" s="22">
        <f t="shared" si="19"/>
        <v>3</v>
      </c>
      <c r="BB34" s="22">
        <v>0</v>
      </c>
      <c r="BC34" s="22">
        <f t="shared" si="20"/>
        <v>0</v>
      </c>
      <c r="BD34" s="22">
        <v>0</v>
      </c>
      <c r="BE34" s="22">
        <f t="shared" si="21"/>
        <v>0</v>
      </c>
      <c r="BF34" s="22">
        <f t="shared" si="86"/>
        <v>3</v>
      </c>
      <c r="BG34" s="23">
        <f t="shared" si="22"/>
        <v>5</v>
      </c>
      <c r="BH34" s="373">
        <f t="shared" si="23"/>
        <v>2.0820624999999997</v>
      </c>
      <c r="BI34" s="374" t="str">
        <f t="shared" si="87"/>
        <v>(0.19)</v>
      </c>
      <c r="BJ34" s="375">
        <v>2</v>
      </c>
      <c r="BK34" s="375">
        <f t="shared" si="24"/>
        <v>3</v>
      </c>
      <c r="BL34" s="375">
        <v>0</v>
      </c>
      <c r="BM34" s="375">
        <f t="shared" si="25"/>
        <v>0</v>
      </c>
      <c r="BN34" s="375">
        <v>0</v>
      </c>
      <c r="BO34" s="375">
        <f t="shared" si="26"/>
        <v>0</v>
      </c>
      <c r="BP34" s="375">
        <f t="shared" si="88"/>
        <v>3</v>
      </c>
      <c r="BQ34" s="376">
        <f t="shared" si="27"/>
        <v>9</v>
      </c>
      <c r="BR34" s="373">
        <f t="shared" si="28"/>
        <v>3.4701041666666663</v>
      </c>
      <c r="BS34" s="374" t="str">
        <f t="shared" si="29"/>
        <v>(0.32)</v>
      </c>
      <c r="BT34" s="375">
        <v>2</v>
      </c>
      <c r="BU34" s="375">
        <f t="shared" si="30"/>
        <v>3</v>
      </c>
      <c r="BV34" s="375">
        <v>0</v>
      </c>
      <c r="BW34" s="375">
        <f t="shared" si="31"/>
        <v>0</v>
      </c>
      <c r="BX34" s="375">
        <v>0</v>
      </c>
      <c r="BY34" s="375">
        <f t="shared" si="32"/>
        <v>0</v>
      </c>
      <c r="BZ34" s="375">
        <f t="shared" si="89"/>
        <v>3</v>
      </c>
      <c r="CA34" s="376">
        <f t="shared" si="33"/>
        <v>15</v>
      </c>
      <c r="CB34" s="373">
        <f t="shared" si="34"/>
        <v>4.8581458333333325</v>
      </c>
      <c r="CC34" s="374" t="str">
        <f t="shared" si="35"/>
        <v>(0.45)</v>
      </c>
      <c r="CD34" s="375">
        <v>2</v>
      </c>
      <c r="CE34" s="375">
        <f t="shared" si="36"/>
        <v>3</v>
      </c>
      <c r="CF34" s="375">
        <v>0</v>
      </c>
      <c r="CG34" s="375">
        <f t="shared" si="37"/>
        <v>0</v>
      </c>
      <c r="CH34" s="375">
        <v>0</v>
      </c>
      <c r="CI34" s="375">
        <f t="shared" si="38"/>
        <v>0</v>
      </c>
      <c r="CJ34" s="375">
        <f t="shared" si="90"/>
        <v>3</v>
      </c>
      <c r="CK34" s="376">
        <f t="shared" si="39"/>
        <v>21</v>
      </c>
      <c r="CL34" s="373">
        <f t="shared" si="40"/>
        <v>6.2461874999999996</v>
      </c>
      <c r="CM34" s="374" t="str">
        <f t="shared" si="41"/>
        <v>(0.58)</v>
      </c>
      <c r="CN34" s="375">
        <v>2</v>
      </c>
      <c r="CO34" s="375">
        <f t="shared" si="42"/>
        <v>3</v>
      </c>
      <c r="CP34" s="375">
        <v>0</v>
      </c>
      <c r="CQ34" s="375">
        <f t="shared" si="43"/>
        <v>0</v>
      </c>
      <c r="CR34" s="375">
        <v>0</v>
      </c>
      <c r="CS34" s="375">
        <f t="shared" si="44"/>
        <v>0</v>
      </c>
      <c r="CT34" s="375">
        <f t="shared" si="91"/>
        <v>3</v>
      </c>
      <c r="CU34" s="376">
        <f t="shared" si="45"/>
        <v>27</v>
      </c>
      <c r="CV34" s="373">
        <f t="shared" si="46"/>
        <v>7.6342291666666666</v>
      </c>
      <c r="CW34" s="374" t="str">
        <f t="shared" si="47"/>
        <v>(0.71)</v>
      </c>
      <c r="CX34" s="375">
        <v>2</v>
      </c>
      <c r="CY34" s="375">
        <f t="shared" si="48"/>
        <v>3</v>
      </c>
      <c r="CZ34" s="375">
        <v>0</v>
      </c>
      <c r="DA34" s="375">
        <f t="shared" si="49"/>
        <v>0</v>
      </c>
      <c r="DB34" s="375">
        <v>0</v>
      </c>
      <c r="DC34" s="375">
        <f t="shared" si="50"/>
        <v>0</v>
      </c>
      <c r="DD34" s="375">
        <f t="shared" si="92"/>
        <v>3</v>
      </c>
      <c r="DE34" s="376">
        <f t="shared" si="51"/>
        <v>33</v>
      </c>
      <c r="DF34" s="373">
        <f t="shared" si="52"/>
        <v>9.0222708333333319</v>
      </c>
      <c r="DG34" s="374" t="str">
        <f t="shared" si="53"/>
        <v>(0.84)</v>
      </c>
      <c r="DH34" s="375">
        <v>2</v>
      </c>
      <c r="DI34" s="375">
        <f t="shared" si="54"/>
        <v>3</v>
      </c>
      <c r="DJ34" s="375">
        <v>0</v>
      </c>
      <c r="DK34" s="375">
        <f t="shared" si="55"/>
        <v>0</v>
      </c>
      <c r="DL34" s="375">
        <v>0</v>
      </c>
      <c r="DM34" s="375">
        <f t="shared" si="56"/>
        <v>0</v>
      </c>
      <c r="DN34" s="375">
        <f t="shared" si="93"/>
        <v>3</v>
      </c>
      <c r="DO34" s="376">
        <f t="shared" si="57"/>
        <v>39</v>
      </c>
      <c r="DP34" s="373">
        <f t="shared" si="58"/>
        <v>10.410312499999998</v>
      </c>
      <c r="DQ34" s="374" t="str">
        <f t="shared" si="59"/>
        <v>(0.97)</v>
      </c>
      <c r="DR34" s="375">
        <v>2</v>
      </c>
      <c r="DS34" s="375">
        <f t="shared" si="60"/>
        <v>3</v>
      </c>
      <c r="DT34" s="375">
        <v>0</v>
      </c>
      <c r="DU34" s="375">
        <f t="shared" si="61"/>
        <v>0</v>
      </c>
      <c r="DV34" s="375">
        <v>0</v>
      </c>
      <c r="DW34" s="375">
        <f t="shared" si="62"/>
        <v>0</v>
      </c>
      <c r="DX34" s="375">
        <f t="shared" si="94"/>
        <v>3</v>
      </c>
      <c r="DY34" s="376">
        <f t="shared" si="63"/>
        <v>45</v>
      </c>
      <c r="DZ34" s="373">
        <f t="shared" si="64"/>
        <v>11.567013888888887</v>
      </c>
      <c r="EA34" s="374" t="str">
        <f t="shared" si="95"/>
        <v>(1.07)</v>
      </c>
      <c r="EB34" s="375">
        <v>2</v>
      </c>
      <c r="EC34" s="375">
        <f t="shared" si="65"/>
        <v>3</v>
      </c>
      <c r="ED34" s="375">
        <v>0</v>
      </c>
      <c r="EE34" s="375">
        <f t="shared" si="66"/>
        <v>0</v>
      </c>
      <c r="EF34" s="375">
        <v>1</v>
      </c>
      <c r="EG34" s="375">
        <f t="shared" si="67"/>
        <v>1</v>
      </c>
      <c r="EH34" s="375">
        <f t="shared" si="96"/>
        <v>4</v>
      </c>
      <c r="EI34" s="376">
        <f t="shared" si="68"/>
        <v>50</v>
      </c>
      <c r="EJ34" s="373">
        <f t="shared" si="69"/>
        <v>12.955055555555553</v>
      </c>
      <c r="EK34" s="374" t="str">
        <f t="shared" si="106"/>
        <v>(1.20)</v>
      </c>
      <c r="EL34" s="375">
        <v>2</v>
      </c>
      <c r="EM34" s="375">
        <f t="shared" si="70"/>
        <v>3</v>
      </c>
      <c r="EN34" s="375">
        <v>0</v>
      </c>
      <c r="EO34" s="375">
        <f t="shared" si="71"/>
        <v>0</v>
      </c>
      <c r="EP34" s="375">
        <v>1</v>
      </c>
      <c r="EQ34" s="375">
        <f t="shared" si="72"/>
        <v>1</v>
      </c>
      <c r="ER34" s="375">
        <f t="shared" si="98"/>
        <v>4</v>
      </c>
      <c r="ES34" s="376">
        <f t="shared" si="73"/>
        <v>56</v>
      </c>
      <c r="ET34" s="373">
        <f t="shared" si="74"/>
        <v>14.34309722222222</v>
      </c>
      <c r="EU34" s="374" t="str">
        <f t="shared" si="107"/>
        <v>(1.33)</v>
      </c>
      <c r="EV34" s="375">
        <v>2</v>
      </c>
      <c r="EW34" s="375">
        <f t="shared" si="75"/>
        <v>3</v>
      </c>
      <c r="EX34" s="375">
        <v>0</v>
      </c>
      <c r="EY34" s="375">
        <f t="shared" si="76"/>
        <v>0</v>
      </c>
      <c r="EZ34" s="375">
        <v>1</v>
      </c>
      <c r="FA34" s="375">
        <f t="shared" si="77"/>
        <v>1</v>
      </c>
      <c r="FB34" s="375">
        <f t="shared" si="100"/>
        <v>4</v>
      </c>
      <c r="FC34" s="376">
        <f t="shared" si="78"/>
        <v>62</v>
      </c>
      <c r="FD34" s="373">
        <f t="shared" si="79"/>
        <v>15.702221354166666</v>
      </c>
      <c r="FE34" s="374" t="str">
        <f t="shared" si="101"/>
        <v>(1.46)</v>
      </c>
      <c r="FF34" s="22">
        <v>2</v>
      </c>
      <c r="FG34" s="22">
        <f t="shared" si="80"/>
        <v>3</v>
      </c>
      <c r="FH34" s="22">
        <v>1</v>
      </c>
      <c r="FI34" s="22">
        <f t="shared" si="81"/>
        <v>1.125</v>
      </c>
      <c r="FJ34" s="22">
        <v>0</v>
      </c>
      <c r="FK34" s="22">
        <f t="shared" si="82"/>
        <v>0</v>
      </c>
      <c r="FL34" s="22">
        <f t="shared" si="102"/>
        <v>4.125</v>
      </c>
      <c r="FM34" s="23">
        <f t="shared" si="83"/>
        <v>67.875</v>
      </c>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v>37</v>
      </c>
      <c r="IR34" s="26">
        <v>0.88200000000000001</v>
      </c>
      <c r="IS34" s="26">
        <v>0.88900000000000001</v>
      </c>
      <c r="IT34" s="26">
        <v>0.42699999999999999</v>
      </c>
      <c r="IU34" s="26">
        <v>1.5</v>
      </c>
      <c r="IV34" s="26">
        <v>1</v>
      </c>
      <c r="IW34" s="26">
        <v>1.125</v>
      </c>
      <c r="IX34" s="8"/>
    </row>
    <row r="35" spans="2:258" ht="15.75" thickBot="1" x14ac:dyDescent="0.3">
      <c r="B35" s="103">
        <f t="shared" si="17"/>
        <v>102</v>
      </c>
      <c r="C35" s="221">
        <v>18</v>
      </c>
      <c r="D35" s="98">
        <f t="shared" si="1"/>
        <v>0.26949142156862743</v>
      </c>
      <c r="E35" s="96">
        <f t="shared" si="2"/>
        <v>0.32338970588235288</v>
      </c>
      <c r="F35" s="96">
        <f t="shared" si="3"/>
        <v>0.35932189542483656</v>
      </c>
      <c r="G35" s="96">
        <f t="shared" si="4"/>
        <v>0.37728799019607839</v>
      </c>
      <c r="H35" s="96">
        <f t="shared" si="5"/>
        <v>0.38806764705882346</v>
      </c>
      <c r="I35" s="96">
        <f t="shared" si="6"/>
        <v>0.39525408496732017</v>
      </c>
      <c r="J35" s="96">
        <f t="shared" si="7"/>
        <v>0.40038725490196075</v>
      </c>
      <c r="K35" s="96">
        <f t="shared" si="8"/>
        <v>0.40423713235294112</v>
      </c>
      <c r="L35" s="96">
        <f t="shared" si="9"/>
        <v>0.39924655047204061</v>
      </c>
      <c r="M35" s="96">
        <f t="shared" si="10"/>
        <v>0.40244052287581694</v>
      </c>
      <c r="N35" s="96">
        <f t="shared" si="11"/>
        <v>0.40505377302436124</v>
      </c>
      <c r="O35" s="96">
        <f t="shared" si="12"/>
        <v>0.40648289419934636</v>
      </c>
      <c r="P35" s="238"/>
      <c r="Q35" s="238"/>
      <c r="R35" s="238"/>
      <c r="S35" s="238"/>
      <c r="T35" s="238"/>
      <c r="U35" s="238"/>
      <c r="V35" s="238"/>
      <c r="W35" s="238"/>
      <c r="X35" s="96"/>
      <c r="Y35" s="65"/>
      <c r="AT35" s="4"/>
      <c r="AU35" s="14">
        <f t="shared" si="103"/>
        <v>84</v>
      </c>
      <c r="AV35" s="12" t="str">
        <f t="shared" si="84"/>
        <v>(2150)</v>
      </c>
      <c r="AW35" s="19">
        <f t="shared" si="104"/>
        <v>20</v>
      </c>
      <c r="AX35" s="20">
        <f t="shared" si="18"/>
        <v>1.2493055555555554</v>
      </c>
      <c r="AY35" s="21" t="str">
        <f t="shared" si="105"/>
        <v>(0.12)</v>
      </c>
      <c r="AZ35" s="22">
        <v>2</v>
      </c>
      <c r="BA35" s="22">
        <f t="shared" si="19"/>
        <v>3</v>
      </c>
      <c r="BB35" s="22">
        <v>0</v>
      </c>
      <c r="BC35" s="22">
        <f t="shared" si="20"/>
        <v>0</v>
      </c>
      <c r="BD35" s="22">
        <v>0</v>
      </c>
      <c r="BE35" s="22">
        <f t="shared" si="21"/>
        <v>0</v>
      </c>
      <c r="BF35" s="22">
        <f t="shared" si="86"/>
        <v>3</v>
      </c>
      <c r="BG35" s="23">
        <f t="shared" si="22"/>
        <v>5</v>
      </c>
      <c r="BH35" s="373">
        <f t="shared" si="23"/>
        <v>2.2487499999999998</v>
      </c>
      <c r="BI35" s="374" t="str">
        <f t="shared" si="87"/>
        <v>(0.21)</v>
      </c>
      <c r="BJ35" s="375">
        <v>2</v>
      </c>
      <c r="BK35" s="375">
        <f t="shared" si="24"/>
        <v>3</v>
      </c>
      <c r="BL35" s="375">
        <v>0</v>
      </c>
      <c r="BM35" s="375">
        <f t="shared" si="25"/>
        <v>0</v>
      </c>
      <c r="BN35" s="375">
        <v>0</v>
      </c>
      <c r="BO35" s="375">
        <f t="shared" si="26"/>
        <v>0</v>
      </c>
      <c r="BP35" s="375">
        <f t="shared" si="88"/>
        <v>3</v>
      </c>
      <c r="BQ35" s="376">
        <f t="shared" si="27"/>
        <v>9</v>
      </c>
      <c r="BR35" s="373">
        <f t="shared" si="28"/>
        <v>3.7479166666666663</v>
      </c>
      <c r="BS35" s="374" t="str">
        <f t="shared" si="29"/>
        <v>(0.35)</v>
      </c>
      <c r="BT35" s="375">
        <v>2</v>
      </c>
      <c r="BU35" s="375">
        <f t="shared" si="30"/>
        <v>3</v>
      </c>
      <c r="BV35" s="375">
        <v>0</v>
      </c>
      <c r="BW35" s="375">
        <f t="shared" si="31"/>
        <v>0</v>
      </c>
      <c r="BX35" s="375">
        <v>0</v>
      </c>
      <c r="BY35" s="375">
        <f t="shared" si="32"/>
        <v>0</v>
      </c>
      <c r="BZ35" s="375">
        <f t="shared" si="89"/>
        <v>3</v>
      </c>
      <c r="CA35" s="376">
        <f t="shared" si="33"/>
        <v>15</v>
      </c>
      <c r="CB35" s="373">
        <f t="shared" si="34"/>
        <v>5.2470833333333324</v>
      </c>
      <c r="CC35" s="374" t="str">
        <f t="shared" si="35"/>
        <v>(0.49)</v>
      </c>
      <c r="CD35" s="375">
        <v>2</v>
      </c>
      <c r="CE35" s="375">
        <f t="shared" si="36"/>
        <v>3</v>
      </c>
      <c r="CF35" s="375">
        <v>0</v>
      </c>
      <c r="CG35" s="375">
        <f t="shared" si="37"/>
        <v>0</v>
      </c>
      <c r="CH35" s="375">
        <v>0</v>
      </c>
      <c r="CI35" s="375">
        <f t="shared" si="38"/>
        <v>0</v>
      </c>
      <c r="CJ35" s="375">
        <f t="shared" si="90"/>
        <v>3</v>
      </c>
      <c r="CK35" s="376">
        <f t="shared" si="39"/>
        <v>21</v>
      </c>
      <c r="CL35" s="373">
        <f t="shared" si="40"/>
        <v>6.7462499999999999</v>
      </c>
      <c r="CM35" s="374" t="str">
        <f t="shared" si="41"/>
        <v>(0.63)</v>
      </c>
      <c r="CN35" s="375">
        <v>2</v>
      </c>
      <c r="CO35" s="375">
        <f t="shared" si="42"/>
        <v>3</v>
      </c>
      <c r="CP35" s="375">
        <v>0</v>
      </c>
      <c r="CQ35" s="375">
        <f t="shared" si="43"/>
        <v>0</v>
      </c>
      <c r="CR35" s="375">
        <v>0</v>
      </c>
      <c r="CS35" s="375">
        <f t="shared" si="44"/>
        <v>0</v>
      </c>
      <c r="CT35" s="375">
        <f t="shared" si="91"/>
        <v>3</v>
      </c>
      <c r="CU35" s="376">
        <f t="shared" si="45"/>
        <v>27</v>
      </c>
      <c r="CV35" s="373">
        <f t="shared" si="46"/>
        <v>8.2454166666666655</v>
      </c>
      <c r="CW35" s="374" t="str">
        <f t="shared" si="47"/>
        <v>(0.77)</v>
      </c>
      <c r="CX35" s="375">
        <v>2</v>
      </c>
      <c r="CY35" s="375">
        <f t="shared" si="48"/>
        <v>3</v>
      </c>
      <c r="CZ35" s="375">
        <v>0</v>
      </c>
      <c r="DA35" s="375">
        <f t="shared" si="49"/>
        <v>0</v>
      </c>
      <c r="DB35" s="375">
        <v>0</v>
      </c>
      <c r="DC35" s="375">
        <f t="shared" si="50"/>
        <v>0</v>
      </c>
      <c r="DD35" s="375">
        <f t="shared" si="92"/>
        <v>3</v>
      </c>
      <c r="DE35" s="376">
        <f t="shared" si="51"/>
        <v>33</v>
      </c>
      <c r="DF35" s="373">
        <f t="shared" si="52"/>
        <v>9.7445833333333312</v>
      </c>
      <c r="DG35" s="374" t="str">
        <f t="shared" si="53"/>
        <v>(0.91)</v>
      </c>
      <c r="DH35" s="375">
        <v>2</v>
      </c>
      <c r="DI35" s="375">
        <f t="shared" si="54"/>
        <v>3</v>
      </c>
      <c r="DJ35" s="375">
        <v>0</v>
      </c>
      <c r="DK35" s="375">
        <f t="shared" si="55"/>
        <v>0</v>
      </c>
      <c r="DL35" s="375">
        <v>0</v>
      </c>
      <c r="DM35" s="375">
        <f t="shared" si="56"/>
        <v>0</v>
      </c>
      <c r="DN35" s="375">
        <f t="shared" si="93"/>
        <v>3</v>
      </c>
      <c r="DO35" s="376">
        <f t="shared" si="57"/>
        <v>39</v>
      </c>
      <c r="DP35" s="373">
        <f t="shared" si="58"/>
        <v>11.243749999999999</v>
      </c>
      <c r="DQ35" s="374" t="str">
        <f t="shared" si="59"/>
        <v>(1.04)</v>
      </c>
      <c r="DR35" s="375">
        <v>2</v>
      </c>
      <c r="DS35" s="375">
        <f t="shared" si="60"/>
        <v>3</v>
      </c>
      <c r="DT35" s="375">
        <v>0</v>
      </c>
      <c r="DU35" s="375">
        <f t="shared" si="61"/>
        <v>0</v>
      </c>
      <c r="DV35" s="375">
        <v>0</v>
      </c>
      <c r="DW35" s="375">
        <f t="shared" si="62"/>
        <v>0</v>
      </c>
      <c r="DX35" s="375">
        <f t="shared" si="94"/>
        <v>3</v>
      </c>
      <c r="DY35" s="376">
        <f t="shared" si="63"/>
        <v>45</v>
      </c>
      <c r="DZ35" s="373">
        <f t="shared" si="64"/>
        <v>12.493055555555554</v>
      </c>
      <c r="EA35" s="374" t="str">
        <f t="shared" si="95"/>
        <v>(1.16)</v>
      </c>
      <c r="EB35" s="375">
        <v>2</v>
      </c>
      <c r="EC35" s="375">
        <f t="shared" si="65"/>
        <v>3</v>
      </c>
      <c r="ED35" s="375">
        <v>0</v>
      </c>
      <c r="EE35" s="375">
        <f t="shared" si="66"/>
        <v>0</v>
      </c>
      <c r="EF35" s="375">
        <v>1</v>
      </c>
      <c r="EG35" s="375">
        <f t="shared" si="67"/>
        <v>1</v>
      </c>
      <c r="EH35" s="375">
        <f t="shared" si="96"/>
        <v>4</v>
      </c>
      <c r="EI35" s="376">
        <f t="shared" si="68"/>
        <v>50</v>
      </c>
      <c r="EJ35" s="373">
        <f t="shared" si="69"/>
        <v>13.992222222222221</v>
      </c>
      <c r="EK35" s="374" t="str">
        <f t="shared" si="106"/>
        <v>(1.30)</v>
      </c>
      <c r="EL35" s="375">
        <v>2</v>
      </c>
      <c r="EM35" s="375">
        <f t="shared" si="70"/>
        <v>3</v>
      </c>
      <c r="EN35" s="375">
        <v>0</v>
      </c>
      <c r="EO35" s="375">
        <f t="shared" si="71"/>
        <v>0</v>
      </c>
      <c r="EP35" s="375">
        <v>1</v>
      </c>
      <c r="EQ35" s="375">
        <f t="shared" si="72"/>
        <v>1</v>
      </c>
      <c r="ER35" s="375">
        <f t="shared" si="98"/>
        <v>4</v>
      </c>
      <c r="ES35" s="376">
        <f t="shared" si="73"/>
        <v>56</v>
      </c>
      <c r="ET35" s="373">
        <f t="shared" si="74"/>
        <v>15.491388888888887</v>
      </c>
      <c r="EU35" s="374" t="str">
        <f t="shared" si="107"/>
        <v>(1.44)</v>
      </c>
      <c r="EV35" s="375">
        <v>2</v>
      </c>
      <c r="EW35" s="375">
        <f t="shared" si="75"/>
        <v>3</v>
      </c>
      <c r="EX35" s="375">
        <v>0</v>
      </c>
      <c r="EY35" s="375">
        <f t="shared" si="76"/>
        <v>0</v>
      </c>
      <c r="EZ35" s="375">
        <v>1</v>
      </c>
      <c r="FA35" s="375">
        <f t="shared" si="77"/>
        <v>1</v>
      </c>
      <c r="FB35" s="375">
        <f t="shared" si="100"/>
        <v>4</v>
      </c>
      <c r="FC35" s="376">
        <f t="shared" si="78"/>
        <v>62</v>
      </c>
      <c r="FD35" s="373">
        <f t="shared" si="79"/>
        <v>16.959322916666665</v>
      </c>
      <c r="FE35" s="374" t="str">
        <f t="shared" si="101"/>
        <v>(1.58)</v>
      </c>
      <c r="FF35" s="22">
        <v>2</v>
      </c>
      <c r="FG35" s="22">
        <f t="shared" si="80"/>
        <v>3</v>
      </c>
      <c r="FH35" s="22">
        <v>1</v>
      </c>
      <c r="FI35" s="22">
        <f t="shared" si="81"/>
        <v>1.125</v>
      </c>
      <c r="FJ35" s="22">
        <v>0</v>
      </c>
      <c r="FK35" s="22">
        <f t="shared" si="82"/>
        <v>0</v>
      </c>
      <c r="FL35" s="22">
        <f t="shared" si="102"/>
        <v>4.125</v>
      </c>
      <c r="FM35" s="23">
        <f t="shared" si="83"/>
        <v>67.875</v>
      </c>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5">
        <v>40</v>
      </c>
      <c r="IR35" s="26">
        <v>0.88200000000000001</v>
      </c>
      <c r="IS35" s="26">
        <v>0.88900000000000001</v>
      </c>
      <c r="IT35" s="26">
        <v>0.42699999999999999</v>
      </c>
      <c r="IU35" s="26">
        <v>1.5</v>
      </c>
      <c r="IV35" s="26">
        <v>1</v>
      </c>
      <c r="IW35" s="26">
        <v>1.125</v>
      </c>
      <c r="IX35" s="8"/>
    </row>
    <row r="36" spans="2:258" ht="15.75" thickBot="1" x14ac:dyDescent="0.3">
      <c r="B36" s="103">
        <f t="shared" si="17"/>
        <v>108</v>
      </c>
      <c r="C36" s="226">
        <v>19</v>
      </c>
      <c r="D36" s="98">
        <f t="shared" si="1"/>
        <v>0.2699537037037037</v>
      </c>
      <c r="E36" s="96">
        <f t="shared" si="2"/>
        <v>0.32394444444444442</v>
      </c>
      <c r="F36" s="96">
        <f t="shared" si="3"/>
        <v>0.35993827160493824</v>
      </c>
      <c r="G36" s="96">
        <f t="shared" si="4"/>
        <v>0.37793518518518515</v>
      </c>
      <c r="H36" s="96">
        <f t="shared" si="5"/>
        <v>0.38873333333333332</v>
      </c>
      <c r="I36" s="96">
        <f t="shared" si="6"/>
        <v>0.39593209876543201</v>
      </c>
      <c r="J36" s="96">
        <f t="shared" si="7"/>
        <v>0.40107407407407408</v>
      </c>
      <c r="K36" s="96">
        <f t="shared" si="8"/>
        <v>0.40493055555555552</v>
      </c>
      <c r="L36" s="96">
        <f t="shared" si="9"/>
        <v>0.39993141289437578</v>
      </c>
      <c r="M36" s="96">
        <f t="shared" si="10"/>
        <v>0.40313086419753075</v>
      </c>
      <c r="N36" s="96">
        <f t="shared" si="11"/>
        <v>0.4057485970819304</v>
      </c>
      <c r="O36" s="96">
        <f t="shared" si="12"/>
        <v>0.40718016975308635</v>
      </c>
      <c r="P36" s="238"/>
      <c r="Q36" s="238"/>
      <c r="R36" s="238"/>
      <c r="S36" s="238"/>
      <c r="T36" s="238"/>
      <c r="U36" s="238"/>
      <c r="V36" s="238"/>
      <c r="W36" s="238"/>
      <c r="X36" s="96"/>
      <c r="Y36" s="65"/>
      <c r="AT36" s="4"/>
      <c r="AU36" s="27">
        <f t="shared" si="103"/>
        <v>90</v>
      </c>
      <c r="AV36" s="28" t="str">
        <f t="shared" si="84"/>
        <v>(2300)</v>
      </c>
      <c r="AW36" s="19">
        <f t="shared" si="104"/>
        <v>21</v>
      </c>
      <c r="AX36" s="20">
        <f t="shared" si="18"/>
        <v>1.341909722222222</v>
      </c>
      <c r="AY36" s="29" t="str">
        <f t="shared" si="105"/>
        <v>(0.12)</v>
      </c>
      <c r="AZ36" s="22">
        <v>2</v>
      </c>
      <c r="BA36" s="22">
        <f t="shared" si="19"/>
        <v>3</v>
      </c>
      <c r="BB36" s="30">
        <v>0</v>
      </c>
      <c r="BC36" s="22">
        <f t="shared" si="20"/>
        <v>0</v>
      </c>
      <c r="BD36" s="30">
        <v>0</v>
      </c>
      <c r="BE36" s="22">
        <f t="shared" si="21"/>
        <v>0</v>
      </c>
      <c r="BF36" s="22">
        <f t="shared" si="86"/>
        <v>3</v>
      </c>
      <c r="BG36" s="23">
        <f t="shared" si="22"/>
        <v>5</v>
      </c>
      <c r="BH36" s="373">
        <f t="shared" si="23"/>
        <v>2.4154374999999999</v>
      </c>
      <c r="BI36" s="374" t="str">
        <f t="shared" si="87"/>
        <v>(0.22)</v>
      </c>
      <c r="BJ36" s="375">
        <v>2</v>
      </c>
      <c r="BK36" s="375">
        <f t="shared" si="24"/>
        <v>3</v>
      </c>
      <c r="BL36" s="375">
        <v>0</v>
      </c>
      <c r="BM36" s="375">
        <f t="shared" si="25"/>
        <v>0</v>
      </c>
      <c r="BN36" s="375">
        <v>0</v>
      </c>
      <c r="BO36" s="375">
        <f t="shared" si="26"/>
        <v>0</v>
      </c>
      <c r="BP36" s="375">
        <f t="shared" si="88"/>
        <v>3</v>
      </c>
      <c r="BQ36" s="376">
        <f t="shared" si="27"/>
        <v>9</v>
      </c>
      <c r="BR36" s="373">
        <f t="shared" si="28"/>
        <v>4.0257291666666664</v>
      </c>
      <c r="BS36" s="374" t="str">
        <f t="shared" si="29"/>
        <v>(0.37)</v>
      </c>
      <c r="BT36" s="375">
        <v>2</v>
      </c>
      <c r="BU36" s="375">
        <f t="shared" si="30"/>
        <v>3</v>
      </c>
      <c r="BV36" s="375">
        <v>0</v>
      </c>
      <c r="BW36" s="375">
        <f t="shared" si="31"/>
        <v>0</v>
      </c>
      <c r="BX36" s="375">
        <v>0</v>
      </c>
      <c r="BY36" s="375">
        <f t="shared" si="32"/>
        <v>0</v>
      </c>
      <c r="BZ36" s="375">
        <f t="shared" si="89"/>
        <v>3</v>
      </c>
      <c r="CA36" s="376">
        <f t="shared" si="33"/>
        <v>15</v>
      </c>
      <c r="CB36" s="373">
        <f t="shared" si="34"/>
        <v>5.6360208333333333</v>
      </c>
      <c r="CC36" s="374" t="str">
        <f t="shared" si="35"/>
        <v>(0.52)</v>
      </c>
      <c r="CD36" s="375">
        <v>2</v>
      </c>
      <c r="CE36" s="375">
        <f t="shared" si="36"/>
        <v>3</v>
      </c>
      <c r="CF36" s="375">
        <v>0</v>
      </c>
      <c r="CG36" s="375">
        <f t="shared" si="37"/>
        <v>0</v>
      </c>
      <c r="CH36" s="375">
        <v>0</v>
      </c>
      <c r="CI36" s="375">
        <f t="shared" si="38"/>
        <v>0</v>
      </c>
      <c r="CJ36" s="375">
        <f t="shared" si="90"/>
        <v>3</v>
      </c>
      <c r="CK36" s="376">
        <f t="shared" si="39"/>
        <v>21</v>
      </c>
      <c r="CL36" s="373">
        <f t="shared" si="40"/>
        <v>7.2463125000000002</v>
      </c>
      <c r="CM36" s="374" t="str">
        <f t="shared" si="41"/>
        <v>(0.67)</v>
      </c>
      <c r="CN36" s="375">
        <v>2</v>
      </c>
      <c r="CO36" s="375">
        <f t="shared" si="42"/>
        <v>3</v>
      </c>
      <c r="CP36" s="375">
        <v>0</v>
      </c>
      <c r="CQ36" s="375">
        <f t="shared" si="43"/>
        <v>0</v>
      </c>
      <c r="CR36" s="375">
        <v>0</v>
      </c>
      <c r="CS36" s="375">
        <f t="shared" si="44"/>
        <v>0</v>
      </c>
      <c r="CT36" s="375">
        <f t="shared" si="91"/>
        <v>3</v>
      </c>
      <c r="CU36" s="376">
        <f t="shared" si="45"/>
        <v>27</v>
      </c>
      <c r="CV36" s="373">
        <f t="shared" si="46"/>
        <v>8.8566041666666653</v>
      </c>
      <c r="CW36" s="374" t="str">
        <f t="shared" si="47"/>
        <v>(0.82)</v>
      </c>
      <c r="CX36" s="375">
        <v>2</v>
      </c>
      <c r="CY36" s="375">
        <f t="shared" si="48"/>
        <v>3</v>
      </c>
      <c r="CZ36" s="375">
        <v>0</v>
      </c>
      <c r="DA36" s="375">
        <f t="shared" si="49"/>
        <v>0</v>
      </c>
      <c r="DB36" s="375">
        <v>0</v>
      </c>
      <c r="DC36" s="375">
        <f t="shared" si="50"/>
        <v>0</v>
      </c>
      <c r="DD36" s="375">
        <f t="shared" si="92"/>
        <v>3</v>
      </c>
      <c r="DE36" s="376">
        <f t="shared" si="51"/>
        <v>33</v>
      </c>
      <c r="DF36" s="373">
        <f t="shared" si="52"/>
        <v>10.466895833333332</v>
      </c>
      <c r="DG36" s="374" t="str">
        <f t="shared" si="53"/>
        <v>(0.97)</v>
      </c>
      <c r="DH36" s="375">
        <v>2</v>
      </c>
      <c r="DI36" s="375">
        <f t="shared" si="54"/>
        <v>3</v>
      </c>
      <c r="DJ36" s="375">
        <v>0</v>
      </c>
      <c r="DK36" s="375">
        <f t="shared" si="55"/>
        <v>0</v>
      </c>
      <c r="DL36" s="375">
        <v>0</v>
      </c>
      <c r="DM36" s="375">
        <f t="shared" si="56"/>
        <v>0</v>
      </c>
      <c r="DN36" s="375">
        <f t="shared" si="93"/>
        <v>3</v>
      </c>
      <c r="DO36" s="376">
        <f t="shared" si="57"/>
        <v>39</v>
      </c>
      <c r="DP36" s="373">
        <f t="shared" si="58"/>
        <v>12.077187500000001</v>
      </c>
      <c r="DQ36" s="374" t="str">
        <f t="shared" si="59"/>
        <v>(1.12)</v>
      </c>
      <c r="DR36" s="375">
        <v>2</v>
      </c>
      <c r="DS36" s="375">
        <f t="shared" si="60"/>
        <v>3</v>
      </c>
      <c r="DT36" s="375">
        <v>0</v>
      </c>
      <c r="DU36" s="375">
        <f t="shared" si="61"/>
        <v>0</v>
      </c>
      <c r="DV36" s="375">
        <v>0</v>
      </c>
      <c r="DW36" s="375">
        <f t="shared" si="62"/>
        <v>0</v>
      </c>
      <c r="DX36" s="375">
        <f t="shared" si="94"/>
        <v>3</v>
      </c>
      <c r="DY36" s="376">
        <f t="shared" si="63"/>
        <v>45</v>
      </c>
      <c r="DZ36" s="373">
        <f t="shared" si="64"/>
        <v>13.419097222222222</v>
      </c>
      <c r="EA36" s="374" t="str">
        <f t="shared" si="95"/>
        <v>(1.25)</v>
      </c>
      <c r="EB36" s="375">
        <v>2</v>
      </c>
      <c r="EC36" s="375">
        <f t="shared" si="65"/>
        <v>3</v>
      </c>
      <c r="ED36" s="375">
        <v>0</v>
      </c>
      <c r="EE36" s="375">
        <f t="shared" si="66"/>
        <v>0</v>
      </c>
      <c r="EF36" s="375">
        <v>1</v>
      </c>
      <c r="EG36" s="375">
        <f t="shared" si="67"/>
        <v>1</v>
      </c>
      <c r="EH36" s="375">
        <f t="shared" si="96"/>
        <v>4</v>
      </c>
      <c r="EI36" s="376">
        <f t="shared" si="68"/>
        <v>50</v>
      </c>
      <c r="EJ36" s="373">
        <f t="shared" si="69"/>
        <v>15.029388888888889</v>
      </c>
      <c r="EK36" s="374" t="str">
        <f t="shared" si="106"/>
        <v>(1.40)</v>
      </c>
      <c r="EL36" s="375">
        <v>2</v>
      </c>
      <c r="EM36" s="375">
        <f t="shared" si="70"/>
        <v>3</v>
      </c>
      <c r="EN36" s="375">
        <v>0</v>
      </c>
      <c r="EO36" s="375">
        <f t="shared" si="71"/>
        <v>0</v>
      </c>
      <c r="EP36" s="375">
        <v>1</v>
      </c>
      <c r="EQ36" s="375">
        <f t="shared" si="72"/>
        <v>1</v>
      </c>
      <c r="ER36" s="375">
        <f t="shared" si="98"/>
        <v>4</v>
      </c>
      <c r="ES36" s="376">
        <f t="shared" si="73"/>
        <v>56</v>
      </c>
      <c r="ET36" s="373">
        <f t="shared" si="74"/>
        <v>16.639680555555557</v>
      </c>
      <c r="EU36" s="374" t="str">
        <f t="shared" si="107"/>
        <v>(1.55)</v>
      </c>
      <c r="EV36" s="375">
        <v>2</v>
      </c>
      <c r="EW36" s="375">
        <f t="shared" si="75"/>
        <v>3</v>
      </c>
      <c r="EX36" s="375">
        <v>0</v>
      </c>
      <c r="EY36" s="375">
        <f t="shared" si="76"/>
        <v>0</v>
      </c>
      <c r="EZ36" s="375">
        <v>1</v>
      </c>
      <c r="FA36" s="375">
        <f t="shared" si="77"/>
        <v>1</v>
      </c>
      <c r="FB36" s="375">
        <f t="shared" si="100"/>
        <v>4</v>
      </c>
      <c r="FC36" s="376">
        <f t="shared" si="78"/>
        <v>62</v>
      </c>
      <c r="FD36" s="373">
        <f t="shared" si="79"/>
        <v>18.216424479166665</v>
      </c>
      <c r="FE36" s="374" t="str">
        <f t="shared" si="101"/>
        <v>(1.69)</v>
      </c>
      <c r="FF36" s="22">
        <v>2</v>
      </c>
      <c r="FG36" s="22">
        <f t="shared" si="80"/>
        <v>3</v>
      </c>
      <c r="FH36" s="30">
        <v>1</v>
      </c>
      <c r="FI36" s="22">
        <f t="shared" si="81"/>
        <v>1.125</v>
      </c>
      <c r="FJ36" s="30">
        <v>0</v>
      </c>
      <c r="FK36" s="22">
        <f t="shared" si="82"/>
        <v>0</v>
      </c>
      <c r="FL36" s="22">
        <f t="shared" si="102"/>
        <v>4.125</v>
      </c>
      <c r="FM36" s="23">
        <f t="shared" si="83"/>
        <v>67.875</v>
      </c>
      <c r="FN36" s="31"/>
      <c r="FO36" s="31"/>
      <c r="FP36" s="32"/>
      <c r="FQ36" s="32"/>
      <c r="FR36" s="34"/>
      <c r="FS36" s="32"/>
      <c r="FT36" s="34"/>
      <c r="FU36" s="32"/>
      <c r="FV36" s="31"/>
      <c r="FW36" s="31"/>
      <c r="FX36" s="31"/>
      <c r="FY36" s="31"/>
      <c r="FZ36" s="31"/>
      <c r="GA36" s="31"/>
      <c r="GB36" s="31"/>
      <c r="GC36" s="31"/>
      <c r="GD36" s="31"/>
      <c r="GE36" s="31"/>
      <c r="GF36" s="31"/>
      <c r="GG36" s="31"/>
      <c r="GH36" s="31"/>
      <c r="GI36" s="31"/>
      <c r="GJ36" s="32"/>
      <c r="GK36" s="32"/>
      <c r="GL36" s="34"/>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4"/>
      <c r="HQ36" s="32"/>
      <c r="HR36" s="32"/>
      <c r="HS36" s="32"/>
      <c r="HT36" s="32"/>
      <c r="HU36" s="32"/>
      <c r="HV36" s="32"/>
      <c r="HW36" s="32"/>
      <c r="HX36" s="32"/>
      <c r="HY36" s="32"/>
      <c r="HZ36" s="32"/>
      <c r="IA36" s="32"/>
      <c r="IB36" s="32"/>
      <c r="IC36" s="32"/>
      <c r="ID36" s="32"/>
      <c r="IE36" s="32"/>
      <c r="IF36" s="31"/>
      <c r="IG36" s="31"/>
      <c r="IH36" s="32"/>
      <c r="II36" s="32"/>
      <c r="IJ36" s="34"/>
      <c r="IK36" s="32"/>
      <c r="IL36" s="32"/>
      <c r="IM36" s="32"/>
      <c r="IN36" s="33"/>
      <c r="IO36" s="33"/>
      <c r="IP36" s="33"/>
      <c r="IQ36" s="25">
        <v>43</v>
      </c>
      <c r="IR36" s="26">
        <v>0.88200000000000001</v>
      </c>
      <c r="IS36" s="26">
        <v>0.88900000000000001</v>
      </c>
      <c r="IT36" s="26">
        <v>0.42699999999999999</v>
      </c>
      <c r="IU36" s="26">
        <v>1.5</v>
      </c>
      <c r="IV36" s="26">
        <v>1</v>
      </c>
      <c r="IW36" s="26">
        <v>1.125</v>
      </c>
      <c r="IX36" s="8"/>
    </row>
    <row r="37" spans="2:258" ht="15.75" thickBot="1" x14ac:dyDescent="0.3">
      <c r="B37" s="103">
        <f>B36+6</f>
        <v>114</v>
      </c>
      <c r="C37" s="221">
        <v>20</v>
      </c>
      <c r="D37" s="98">
        <f t="shared" si="1"/>
        <v>0.2703673245614035</v>
      </c>
      <c r="E37" s="96">
        <f t="shared" si="2"/>
        <v>0.32444078947368421</v>
      </c>
      <c r="F37" s="96">
        <f t="shared" si="3"/>
        <v>0.36048976608187133</v>
      </c>
      <c r="G37" s="96">
        <f t="shared" si="4"/>
        <v>0.37851425438596492</v>
      </c>
      <c r="H37" s="96">
        <f t="shared" si="5"/>
        <v>0.38932894736842105</v>
      </c>
      <c r="I37" s="96">
        <f t="shared" si="6"/>
        <v>0.39653874269005845</v>
      </c>
      <c r="J37" s="96">
        <f t="shared" si="7"/>
        <v>0.40168859649122807</v>
      </c>
      <c r="K37" s="96">
        <f t="shared" si="8"/>
        <v>0.40555098684210522</v>
      </c>
      <c r="L37" s="96">
        <f t="shared" si="9"/>
        <v>0.40054418453541263</v>
      </c>
      <c r="M37" s="96">
        <f t="shared" si="10"/>
        <v>0.40374853801169591</v>
      </c>
      <c r="N37" s="96">
        <f t="shared" si="11"/>
        <v>0.40637028176501855</v>
      </c>
      <c r="O37" s="96">
        <f t="shared" si="12"/>
        <v>0.40780404788011693</v>
      </c>
      <c r="P37" s="238"/>
      <c r="Q37" s="238"/>
      <c r="R37" s="238"/>
      <c r="S37" s="238"/>
      <c r="T37" s="238"/>
      <c r="U37" s="238"/>
      <c r="V37" s="238"/>
      <c r="W37" s="238"/>
      <c r="X37" s="96"/>
      <c r="Y37" s="65"/>
      <c r="AT37" s="4"/>
      <c r="AU37" s="27">
        <f t="shared" si="103"/>
        <v>96</v>
      </c>
      <c r="AV37" s="28" t="str">
        <f t="shared" si="84"/>
        <v>(2450)</v>
      </c>
      <c r="AW37" s="19">
        <f t="shared" si="104"/>
        <v>22</v>
      </c>
      <c r="AX37" s="20">
        <f t="shared" si="18"/>
        <v>1.4345138888888889</v>
      </c>
      <c r="AY37" s="21" t="str">
        <f t="shared" si="105"/>
        <v>(0.13)</v>
      </c>
      <c r="AZ37" s="22">
        <v>2</v>
      </c>
      <c r="BA37" s="22">
        <f t="shared" si="19"/>
        <v>3</v>
      </c>
      <c r="BB37" s="22">
        <v>0</v>
      </c>
      <c r="BC37" s="22">
        <f t="shared" si="20"/>
        <v>0</v>
      </c>
      <c r="BD37" s="22">
        <v>0</v>
      </c>
      <c r="BE37" s="22">
        <f t="shared" si="21"/>
        <v>0</v>
      </c>
      <c r="BF37" s="22">
        <f t="shared" si="86"/>
        <v>3</v>
      </c>
      <c r="BG37" s="23">
        <f t="shared" si="22"/>
        <v>5</v>
      </c>
      <c r="BH37" s="373">
        <f t="shared" si="23"/>
        <v>2.582125</v>
      </c>
      <c r="BI37" s="374" t="str">
        <f t="shared" si="87"/>
        <v>(0.24)</v>
      </c>
      <c r="BJ37" s="375">
        <v>2</v>
      </c>
      <c r="BK37" s="375">
        <f t="shared" si="24"/>
        <v>3</v>
      </c>
      <c r="BL37" s="375">
        <v>0</v>
      </c>
      <c r="BM37" s="375">
        <f t="shared" si="25"/>
        <v>0</v>
      </c>
      <c r="BN37" s="375">
        <v>0</v>
      </c>
      <c r="BO37" s="375">
        <f t="shared" si="26"/>
        <v>0</v>
      </c>
      <c r="BP37" s="375">
        <f t="shared" si="88"/>
        <v>3</v>
      </c>
      <c r="BQ37" s="376">
        <f t="shared" si="27"/>
        <v>9</v>
      </c>
      <c r="BR37" s="373">
        <f t="shared" si="28"/>
        <v>4.3035416666666668</v>
      </c>
      <c r="BS37" s="374" t="str">
        <f t="shared" si="29"/>
        <v>(0.4)</v>
      </c>
      <c r="BT37" s="375">
        <v>2</v>
      </c>
      <c r="BU37" s="375">
        <f t="shared" si="30"/>
        <v>3</v>
      </c>
      <c r="BV37" s="375">
        <v>0</v>
      </c>
      <c r="BW37" s="375">
        <f t="shared" si="31"/>
        <v>0</v>
      </c>
      <c r="BX37" s="375">
        <v>0</v>
      </c>
      <c r="BY37" s="375">
        <f t="shared" si="32"/>
        <v>0</v>
      </c>
      <c r="BZ37" s="375">
        <f t="shared" si="89"/>
        <v>3</v>
      </c>
      <c r="CA37" s="376">
        <f t="shared" si="33"/>
        <v>15</v>
      </c>
      <c r="CB37" s="373">
        <f t="shared" si="34"/>
        <v>6.0249583333333341</v>
      </c>
      <c r="CC37" s="374" t="str">
        <f t="shared" si="35"/>
        <v>(0.56)</v>
      </c>
      <c r="CD37" s="375">
        <v>2</v>
      </c>
      <c r="CE37" s="375">
        <f t="shared" si="36"/>
        <v>3</v>
      </c>
      <c r="CF37" s="375">
        <v>0</v>
      </c>
      <c r="CG37" s="375">
        <f t="shared" si="37"/>
        <v>0</v>
      </c>
      <c r="CH37" s="375">
        <v>0</v>
      </c>
      <c r="CI37" s="375">
        <f t="shared" si="38"/>
        <v>0</v>
      </c>
      <c r="CJ37" s="375">
        <f t="shared" si="90"/>
        <v>3</v>
      </c>
      <c r="CK37" s="376">
        <f t="shared" si="39"/>
        <v>21</v>
      </c>
      <c r="CL37" s="373">
        <f t="shared" si="40"/>
        <v>7.7463750000000005</v>
      </c>
      <c r="CM37" s="374" t="str">
        <f t="shared" si="41"/>
        <v>(0.72)</v>
      </c>
      <c r="CN37" s="375">
        <v>2</v>
      </c>
      <c r="CO37" s="375">
        <f t="shared" si="42"/>
        <v>3</v>
      </c>
      <c r="CP37" s="375">
        <v>0</v>
      </c>
      <c r="CQ37" s="375">
        <f t="shared" si="43"/>
        <v>0</v>
      </c>
      <c r="CR37" s="375">
        <v>0</v>
      </c>
      <c r="CS37" s="375">
        <f t="shared" si="44"/>
        <v>0</v>
      </c>
      <c r="CT37" s="375">
        <f t="shared" si="91"/>
        <v>3</v>
      </c>
      <c r="CU37" s="376">
        <f t="shared" si="45"/>
        <v>27</v>
      </c>
      <c r="CV37" s="373">
        <f t="shared" si="46"/>
        <v>9.4677916666666668</v>
      </c>
      <c r="CW37" s="374" t="str">
        <f t="shared" si="47"/>
        <v>(0.88)</v>
      </c>
      <c r="CX37" s="375">
        <v>2</v>
      </c>
      <c r="CY37" s="375">
        <f t="shared" si="48"/>
        <v>3</v>
      </c>
      <c r="CZ37" s="375">
        <v>0</v>
      </c>
      <c r="DA37" s="375">
        <f t="shared" si="49"/>
        <v>0</v>
      </c>
      <c r="DB37" s="375">
        <v>0</v>
      </c>
      <c r="DC37" s="375">
        <f t="shared" si="50"/>
        <v>0</v>
      </c>
      <c r="DD37" s="375">
        <f t="shared" si="92"/>
        <v>3</v>
      </c>
      <c r="DE37" s="376">
        <f t="shared" si="51"/>
        <v>33</v>
      </c>
      <c r="DF37" s="373">
        <f t="shared" si="52"/>
        <v>11.189208333333333</v>
      </c>
      <c r="DG37" s="374" t="str">
        <f t="shared" si="53"/>
        <v>(1.04)</v>
      </c>
      <c r="DH37" s="375">
        <v>2</v>
      </c>
      <c r="DI37" s="375">
        <f t="shared" si="54"/>
        <v>3</v>
      </c>
      <c r="DJ37" s="375">
        <v>0</v>
      </c>
      <c r="DK37" s="375">
        <f t="shared" si="55"/>
        <v>0</v>
      </c>
      <c r="DL37" s="375">
        <v>0</v>
      </c>
      <c r="DM37" s="375">
        <f t="shared" si="56"/>
        <v>0</v>
      </c>
      <c r="DN37" s="375">
        <f t="shared" si="93"/>
        <v>3</v>
      </c>
      <c r="DO37" s="376">
        <f t="shared" si="57"/>
        <v>39</v>
      </c>
      <c r="DP37" s="373">
        <f t="shared" si="58"/>
        <v>12.910625000000001</v>
      </c>
      <c r="DQ37" s="374" t="str">
        <f t="shared" si="59"/>
        <v>(1.2)</v>
      </c>
      <c r="DR37" s="375">
        <v>2</v>
      </c>
      <c r="DS37" s="375">
        <f t="shared" si="60"/>
        <v>3</v>
      </c>
      <c r="DT37" s="375">
        <v>0</v>
      </c>
      <c r="DU37" s="375">
        <f t="shared" si="61"/>
        <v>0</v>
      </c>
      <c r="DV37" s="375">
        <v>0</v>
      </c>
      <c r="DW37" s="375">
        <f t="shared" si="62"/>
        <v>0</v>
      </c>
      <c r="DX37" s="375">
        <f t="shared" si="94"/>
        <v>3</v>
      </c>
      <c r="DY37" s="376">
        <f t="shared" si="63"/>
        <v>45</v>
      </c>
      <c r="DZ37" s="373">
        <f t="shared" si="64"/>
        <v>14.345138888888888</v>
      </c>
      <c r="EA37" s="374" t="str">
        <f t="shared" si="95"/>
        <v>(1.33)</v>
      </c>
      <c r="EB37" s="375">
        <v>2</v>
      </c>
      <c r="EC37" s="375">
        <f t="shared" si="65"/>
        <v>3</v>
      </c>
      <c r="ED37" s="375">
        <v>0</v>
      </c>
      <c r="EE37" s="375">
        <f t="shared" si="66"/>
        <v>0</v>
      </c>
      <c r="EF37" s="375">
        <v>1</v>
      </c>
      <c r="EG37" s="375">
        <f t="shared" si="67"/>
        <v>1</v>
      </c>
      <c r="EH37" s="375">
        <f t="shared" si="96"/>
        <v>4</v>
      </c>
      <c r="EI37" s="376">
        <f t="shared" si="68"/>
        <v>50</v>
      </c>
      <c r="EJ37" s="373">
        <f t="shared" si="69"/>
        <v>16.066555555555553</v>
      </c>
      <c r="EK37" s="374" t="str">
        <f t="shared" si="106"/>
        <v>(1.49)</v>
      </c>
      <c r="EL37" s="375">
        <v>2</v>
      </c>
      <c r="EM37" s="375">
        <f t="shared" si="70"/>
        <v>3</v>
      </c>
      <c r="EN37" s="375">
        <v>0</v>
      </c>
      <c r="EO37" s="375">
        <f t="shared" si="71"/>
        <v>0</v>
      </c>
      <c r="EP37" s="375">
        <v>1</v>
      </c>
      <c r="EQ37" s="375">
        <f t="shared" si="72"/>
        <v>1</v>
      </c>
      <c r="ER37" s="375">
        <f t="shared" si="98"/>
        <v>4</v>
      </c>
      <c r="ES37" s="376">
        <f t="shared" si="73"/>
        <v>56</v>
      </c>
      <c r="ET37" s="373">
        <f t="shared" si="74"/>
        <v>17.787972222222223</v>
      </c>
      <c r="EU37" s="374" t="str">
        <f t="shared" si="107"/>
        <v>(1.65)</v>
      </c>
      <c r="EV37" s="375">
        <v>2</v>
      </c>
      <c r="EW37" s="375">
        <f t="shared" si="75"/>
        <v>3</v>
      </c>
      <c r="EX37" s="375">
        <v>0</v>
      </c>
      <c r="EY37" s="375">
        <f t="shared" si="76"/>
        <v>0</v>
      </c>
      <c r="EZ37" s="375">
        <v>1</v>
      </c>
      <c r="FA37" s="375">
        <f t="shared" si="77"/>
        <v>1</v>
      </c>
      <c r="FB37" s="375">
        <f t="shared" si="100"/>
        <v>4</v>
      </c>
      <c r="FC37" s="376">
        <f t="shared" si="78"/>
        <v>62</v>
      </c>
      <c r="FD37" s="373">
        <f t="shared" si="79"/>
        <v>19.473526041666666</v>
      </c>
      <c r="FE37" s="374" t="str">
        <f t="shared" si="101"/>
        <v>(1.81)</v>
      </c>
      <c r="FF37" s="22">
        <v>2</v>
      </c>
      <c r="FG37" s="22">
        <f t="shared" si="80"/>
        <v>3</v>
      </c>
      <c r="FH37" s="22">
        <v>1</v>
      </c>
      <c r="FI37" s="22">
        <f t="shared" si="81"/>
        <v>1.125</v>
      </c>
      <c r="FJ37" s="22">
        <v>0</v>
      </c>
      <c r="FK37" s="22">
        <f t="shared" si="82"/>
        <v>0</v>
      </c>
      <c r="FL37" s="22">
        <f t="shared" si="102"/>
        <v>4.125</v>
      </c>
      <c r="FM37" s="23">
        <f t="shared" si="83"/>
        <v>67.875</v>
      </c>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5">
        <v>46</v>
      </c>
      <c r="IR37" s="26">
        <v>0.88200000000000001</v>
      </c>
      <c r="IS37" s="26">
        <v>0.88900000000000001</v>
      </c>
      <c r="IT37" s="26">
        <v>0.42699999999999999</v>
      </c>
      <c r="IU37" s="26">
        <v>1.5</v>
      </c>
      <c r="IV37" s="26">
        <v>1</v>
      </c>
      <c r="IW37" s="26">
        <v>1.125</v>
      </c>
      <c r="IX37" s="8"/>
    </row>
    <row r="38" spans="2:258" ht="15.75" thickBot="1" x14ac:dyDescent="0.3">
      <c r="B38" s="103">
        <f t="shared" si="17"/>
        <v>120</v>
      </c>
      <c r="C38" s="227">
        <v>21</v>
      </c>
      <c r="D38" s="98">
        <f t="shared" si="1"/>
        <v>0.27073958333333326</v>
      </c>
      <c r="E38" s="96">
        <f t="shared" si="2"/>
        <v>0.3248875</v>
      </c>
      <c r="F38" s="96">
        <f t="shared" si="3"/>
        <v>0.36098611111111112</v>
      </c>
      <c r="G38" s="96">
        <f t="shared" si="4"/>
        <v>0.37903541666666668</v>
      </c>
      <c r="H38" s="96">
        <f t="shared" si="5"/>
        <v>0.38986500000000002</v>
      </c>
      <c r="I38" s="96">
        <f t="shared" si="6"/>
        <v>0.39708472222222219</v>
      </c>
      <c r="J38" s="96">
        <f t="shared" si="7"/>
        <v>0.40224166666666666</v>
      </c>
      <c r="K38" s="96">
        <f t="shared" si="8"/>
        <v>0.40610937500000005</v>
      </c>
      <c r="L38" s="96">
        <f t="shared" si="9"/>
        <v>0.40109567901234566</v>
      </c>
      <c r="M38" s="96">
        <f t="shared" si="10"/>
        <v>0.40430444444444447</v>
      </c>
      <c r="N38" s="96">
        <f t="shared" si="11"/>
        <v>0.40692979797979795</v>
      </c>
      <c r="O38" s="96">
        <f t="shared" si="12"/>
        <v>0.40836553819444443</v>
      </c>
      <c r="P38" s="238"/>
      <c r="Q38" s="238"/>
      <c r="R38" s="238"/>
      <c r="S38" s="238"/>
      <c r="T38" s="238"/>
      <c r="U38" s="238"/>
      <c r="V38" s="238"/>
      <c r="W38" s="238"/>
      <c r="X38" s="96"/>
      <c r="Y38" s="65"/>
      <c r="AT38" s="4"/>
      <c r="AU38" s="27">
        <f t="shared" si="103"/>
        <v>102</v>
      </c>
      <c r="AV38" s="28" t="str">
        <f t="shared" si="84"/>
        <v>(2600)</v>
      </c>
      <c r="AW38" s="19">
        <f t="shared" si="104"/>
        <v>23</v>
      </c>
      <c r="AX38" s="20">
        <f t="shared" si="18"/>
        <v>1.5271180555555555</v>
      </c>
      <c r="AY38" s="21" t="str">
        <f t="shared" si="105"/>
        <v>(0.14)</v>
      </c>
      <c r="AZ38" s="22">
        <v>2</v>
      </c>
      <c r="BA38" s="22">
        <f t="shared" si="19"/>
        <v>3</v>
      </c>
      <c r="BB38" s="22">
        <v>0</v>
      </c>
      <c r="BC38" s="22">
        <f t="shared" si="20"/>
        <v>0</v>
      </c>
      <c r="BD38" s="22">
        <v>0</v>
      </c>
      <c r="BE38" s="22">
        <f t="shared" si="21"/>
        <v>0</v>
      </c>
      <c r="BF38" s="22">
        <f t="shared" si="86"/>
        <v>3</v>
      </c>
      <c r="BG38" s="23">
        <f t="shared" si="22"/>
        <v>5</v>
      </c>
      <c r="BH38" s="373">
        <f t="shared" si="23"/>
        <v>2.7488124999999997</v>
      </c>
      <c r="BI38" s="374" t="str">
        <f t="shared" si="87"/>
        <v>(0.26)</v>
      </c>
      <c r="BJ38" s="375">
        <v>2</v>
      </c>
      <c r="BK38" s="375">
        <f t="shared" si="24"/>
        <v>3</v>
      </c>
      <c r="BL38" s="375">
        <v>0</v>
      </c>
      <c r="BM38" s="375">
        <f t="shared" si="25"/>
        <v>0</v>
      </c>
      <c r="BN38" s="375">
        <v>0</v>
      </c>
      <c r="BO38" s="375">
        <f t="shared" si="26"/>
        <v>0</v>
      </c>
      <c r="BP38" s="375">
        <f t="shared" si="88"/>
        <v>3</v>
      </c>
      <c r="BQ38" s="376">
        <f t="shared" si="27"/>
        <v>9</v>
      </c>
      <c r="BR38" s="373">
        <f t="shared" si="28"/>
        <v>4.5813541666666664</v>
      </c>
      <c r="BS38" s="374" t="str">
        <f t="shared" si="29"/>
        <v>(0.43)</v>
      </c>
      <c r="BT38" s="375">
        <v>2</v>
      </c>
      <c r="BU38" s="375">
        <f t="shared" si="30"/>
        <v>3</v>
      </c>
      <c r="BV38" s="375">
        <v>0</v>
      </c>
      <c r="BW38" s="375">
        <f t="shared" si="31"/>
        <v>0</v>
      </c>
      <c r="BX38" s="375">
        <v>0</v>
      </c>
      <c r="BY38" s="375">
        <f t="shared" si="32"/>
        <v>0</v>
      </c>
      <c r="BZ38" s="375">
        <f t="shared" si="89"/>
        <v>3</v>
      </c>
      <c r="CA38" s="376">
        <f t="shared" si="33"/>
        <v>15</v>
      </c>
      <c r="CB38" s="373">
        <f t="shared" si="34"/>
        <v>6.4138958333333322</v>
      </c>
      <c r="CC38" s="374" t="str">
        <f t="shared" si="35"/>
        <v>(0.6)</v>
      </c>
      <c r="CD38" s="375">
        <v>2</v>
      </c>
      <c r="CE38" s="375">
        <f t="shared" si="36"/>
        <v>3</v>
      </c>
      <c r="CF38" s="375">
        <v>0</v>
      </c>
      <c r="CG38" s="375">
        <f t="shared" si="37"/>
        <v>0</v>
      </c>
      <c r="CH38" s="375">
        <v>0</v>
      </c>
      <c r="CI38" s="375">
        <f t="shared" si="38"/>
        <v>0</v>
      </c>
      <c r="CJ38" s="375">
        <f t="shared" si="90"/>
        <v>3</v>
      </c>
      <c r="CK38" s="376">
        <f t="shared" si="39"/>
        <v>21</v>
      </c>
      <c r="CL38" s="373">
        <f t="shared" si="40"/>
        <v>8.246437499999999</v>
      </c>
      <c r="CM38" s="374" t="str">
        <f t="shared" si="41"/>
        <v>(0.77)</v>
      </c>
      <c r="CN38" s="375">
        <v>2</v>
      </c>
      <c r="CO38" s="375">
        <f t="shared" si="42"/>
        <v>3</v>
      </c>
      <c r="CP38" s="375">
        <v>0</v>
      </c>
      <c r="CQ38" s="375">
        <f t="shared" si="43"/>
        <v>0</v>
      </c>
      <c r="CR38" s="375">
        <v>0</v>
      </c>
      <c r="CS38" s="375">
        <f t="shared" si="44"/>
        <v>0</v>
      </c>
      <c r="CT38" s="375">
        <f t="shared" si="91"/>
        <v>3</v>
      </c>
      <c r="CU38" s="376">
        <f t="shared" si="45"/>
        <v>27</v>
      </c>
      <c r="CV38" s="373">
        <f t="shared" si="46"/>
        <v>10.078979166666665</v>
      </c>
      <c r="CW38" s="374" t="str">
        <f t="shared" si="47"/>
        <v>(0.94)</v>
      </c>
      <c r="CX38" s="375">
        <v>2</v>
      </c>
      <c r="CY38" s="375">
        <f t="shared" si="48"/>
        <v>3</v>
      </c>
      <c r="CZ38" s="375">
        <v>0</v>
      </c>
      <c r="DA38" s="375">
        <f t="shared" si="49"/>
        <v>0</v>
      </c>
      <c r="DB38" s="375">
        <v>0</v>
      </c>
      <c r="DC38" s="375">
        <f t="shared" si="50"/>
        <v>0</v>
      </c>
      <c r="DD38" s="375">
        <f t="shared" si="92"/>
        <v>3</v>
      </c>
      <c r="DE38" s="376">
        <f t="shared" si="51"/>
        <v>33</v>
      </c>
      <c r="DF38" s="373">
        <f t="shared" si="52"/>
        <v>11.911520833333332</v>
      </c>
      <c r="DG38" s="374" t="str">
        <f t="shared" si="53"/>
        <v>(1.11)</v>
      </c>
      <c r="DH38" s="375">
        <v>2</v>
      </c>
      <c r="DI38" s="375">
        <f t="shared" si="54"/>
        <v>3</v>
      </c>
      <c r="DJ38" s="375">
        <v>0</v>
      </c>
      <c r="DK38" s="375">
        <f t="shared" si="55"/>
        <v>0</v>
      </c>
      <c r="DL38" s="375">
        <v>0</v>
      </c>
      <c r="DM38" s="375">
        <f t="shared" si="56"/>
        <v>0</v>
      </c>
      <c r="DN38" s="375">
        <f t="shared" si="93"/>
        <v>3</v>
      </c>
      <c r="DO38" s="376">
        <f t="shared" si="57"/>
        <v>39</v>
      </c>
      <c r="DP38" s="373">
        <f t="shared" si="58"/>
        <v>13.744062499999998</v>
      </c>
      <c r="DQ38" s="374" t="str">
        <f t="shared" si="59"/>
        <v>(1.28)</v>
      </c>
      <c r="DR38" s="375">
        <v>2</v>
      </c>
      <c r="DS38" s="375">
        <f t="shared" si="60"/>
        <v>3</v>
      </c>
      <c r="DT38" s="375">
        <v>0</v>
      </c>
      <c r="DU38" s="375">
        <f t="shared" si="61"/>
        <v>0</v>
      </c>
      <c r="DV38" s="375">
        <v>0</v>
      </c>
      <c r="DW38" s="375">
        <f t="shared" si="62"/>
        <v>0</v>
      </c>
      <c r="DX38" s="375">
        <f t="shared" si="94"/>
        <v>3</v>
      </c>
      <c r="DY38" s="376">
        <f t="shared" si="63"/>
        <v>45</v>
      </c>
      <c r="DZ38" s="373">
        <f t="shared" si="64"/>
        <v>15.271180555555553</v>
      </c>
      <c r="EA38" s="374" t="str">
        <f t="shared" si="95"/>
        <v>(1.42)</v>
      </c>
      <c r="EB38" s="375">
        <v>2</v>
      </c>
      <c r="EC38" s="375">
        <f t="shared" si="65"/>
        <v>3</v>
      </c>
      <c r="ED38" s="375">
        <v>0</v>
      </c>
      <c r="EE38" s="375">
        <f t="shared" si="66"/>
        <v>0</v>
      </c>
      <c r="EF38" s="375">
        <v>1</v>
      </c>
      <c r="EG38" s="375">
        <f t="shared" si="67"/>
        <v>1</v>
      </c>
      <c r="EH38" s="375">
        <f t="shared" si="96"/>
        <v>4</v>
      </c>
      <c r="EI38" s="376">
        <f t="shared" si="68"/>
        <v>50</v>
      </c>
      <c r="EJ38" s="373">
        <f t="shared" si="69"/>
        <v>17.10372222222222</v>
      </c>
      <c r="EK38" s="374" t="str">
        <f t="shared" si="106"/>
        <v>(1.59)</v>
      </c>
      <c r="EL38" s="375">
        <v>2</v>
      </c>
      <c r="EM38" s="375">
        <f t="shared" si="70"/>
        <v>3</v>
      </c>
      <c r="EN38" s="375">
        <v>0</v>
      </c>
      <c r="EO38" s="375">
        <f t="shared" si="71"/>
        <v>0</v>
      </c>
      <c r="EP38" s="375">
        <v>1</v>
      </c>
      <c r="EQ38" s="375">
        <f t="shared" si="72"/>
        <v>1</v>
      </c>
      <c r="ER38" s="375">
        <f t="shared" si="98"/>
        <v>4</v>
      </c>
      <c r="ES38" s="376">
        <f t="shared" si="73"/>
        <v>56</v>
      </c>
      <c r="ET38" s="373">
        <f t="shared" si="74"/>
        <v>18.936263888888888</v>
      </c>
      <c r="EU38" s="374" t="str">
        <f t="shared" si="107"/>
        <v>(1.76)</v>
      </c>
      <c r="EV38" s="375">
        <v>2</v>
      </c>
      <c r="EW38" s="375">
        <f t="shared" si="75"/>
        <v>3</v>
      </c>
      <c r="EX38" s="375">
        <v>0</v>
      </c>
      <c r="EY38" s="375">
        <f t="shared" si="76"/>
        <v>0</v>
      </c>
      <c r="EZ38" s="375">
        <v>1</v>
      </c>
      <c r="FA38" s="375">
        <f t="shared" si="77"/>
        <v>1</v>
      </c>
      <c r="FB38" s="375">
        <f t="shared" si="100"/>
        <v>4</v>
      </c>
      <c r="FC38" s="376">
        <f t="shared" si="78"/>
        <v>62</v>
      </c>
      <c r="FD38" s="373">
        <f t="shared" si="79"/>
        <v>20.730627604166664</v>
      </c>
      <c r="FE38" s="374" t="str">
        <f t="shared" si="101"/>
        <v>(1.93)</v>
      </c>
      <c r="FF38" s="22">
        <v>2</v>
      </c>
      <c r="FG38" s="22">
        <f t="shared" si="80"/>
        <v>3</v>
      </c>
      <c r="FH38" s="22">
        <v>1</v>
      </c>
      <c r="FI38" s="22">
        <f t="shared" si="81"/>
        <v>1.125</v>
      </c>
      <c r="FJ38" s="22">
        <v>0</v>
      </c>
      <c r="FK38" s="22">
        <f t="shared" si="82"/>
        <v>0</v>
      </c>
      <c r="FL38" s="22">
        <f t="shared" si="102"/>
        <v>4.125</v>
      </c>
      <c r="FM38" s="23">
        <f t="shared" si="83"/>
        <v>67.875</v>
      </c>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5">
        <v>49</v>
      </c>
      <c r="IR38" s="26">
        <v>0.88200000000000001</v>
      </c>
      <c r="IS38" s="26">
        <v>0.88900000000000001</v>
      </c>
      <c r="IT38" s="26">
        <v>0.42699999999999999</v>
      </c>
      <c r="IU38" s="26">
        <v>1.5</v>
      </c>
      <c r="IV38" s="26">
        <v>1</v>
      </c>
      <c r="IW38" s="26">
        <v>1.125</v>
      </c>
      <c r="IX38" s="8"/>
    </row>
    <row r="39" spans="2: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96"/>
      <c r="Y39" s="65"/>
      <c r="AT39" s="4"/>
      <c r="AU39" s="27">
        <f t="shared" si="103"/>
        <v>108</v>
      </c>
      <c r="AV39" s="28" t="str">
        <f t="shared" si="84"/>
        <v>(2750)</v>
      </c>
      <c r="AW39" s="19">
        <f t="shared" si="104"/>
        <v>24</v>
      </c>
      <c r="AX39" s="20">
        <f t="shared" si="18"/>
        <v>1.6197222222222221</v>
      </c>
      <c r="AY39" s="21" t="str">
        <f t="shared" si="105"/>
        <v>(0.15)</v>
      </c>
      <c r="AZ39" s="22">
        <v>2</v>
      </c>
      <c r="BA39" s="22">
        <f t="shared" si="19"/>
        <v>3</v>
      </c>
      <c r="BB39" s="22">
        <v>0</v>
      </c>
      <c r="BC39" s="22">
        <f t="shared" si="20"/>
        <v>0</v>
      </c>
      <c r="BD39" s="22">
        <v>0</v>
      </c>
      <c r="BE39" s="22">
        <f t="shared" si="21"/>
        <v>0</v>
      </c>
      <c r="BF39" s="22">
        <f t="shared" si="86"/>
        <v>3</v>
      </c>
      <c r="BG39" s="23">
        <f t="shared" si="22"/>
        <v>5</v>
      </c>
      <c r="BH39" s="373">
        <f t="shared" si="23"/>
        <v>2.9154999999999998</v>
      </c>
      <c r="BI39" s="374" t="str">
        <f t="shared" si="87"/>
        <v>(0.27)</v>
      </c>
      <c r="BJ39" s="375">
        <v>2</v>
      </c>
      <c r="BK39" s="375">
        <f t="shared" si="24"/>
        <v>3</v>
      </c>
      <c r="BL39" s="375">
        <v>0</v>
      </c>
      <c r="BM39" s="375">
        <f t="shared" si="25"/>
        <v>0</v>
      </c>
      <c r="BN39" s="375">
        <v>0</v>
      </c>
      <c r="BO39" s="375">
        <f t="shared" si="26"/>
        <v>0</v>
      </c>
      <c r="BP39" s="375">
        <f t="shared" si="88"/>
        <v>3</v>
      </c>
      <c r="BQ39" s="376">
        <f t="shared" si="27"/>
        <v>9</v>
      </c>
      <c r="BR39" s="373">
        <f t="shared" si="28"/>
        <v>4.859166666666666</v>
      </c>
      <c r="BS39" s="374" t="str">
        <f t="shared" si="29"/>
        <v>(0.45)</v>
      </c>
      <c r="BT39" s="375">
        <v>2</v>
      </c>
      <c r="BU39" s="375">
        <f t="shared" si="30"/>
        <v>3</v>
      </c>
      <c r="BV39" s="375">
        <v>0</v>
      </c>
      <c r="BW39" s="375">
        <f t="shared" si="31"/>
        <v>0</v>
      </c>
      <c r="BX39" s="375">
        <v>0</v>
      </c>
      <c r="BY39" s="375">
        <f t="shared" si="32"/>
        <v>0</v>
      </c>
      <c r="BZ39" s="375">
        <f t="shared" si="89"/>
        <v>3</v>
      </c>
      <c r="CA39" s="376">
        <f t="shared" si="33"/>
        <v>15</v>
      </c>
      <c r="CB39" s="373">
        <f t="shared" si="34"/>
        <v>6.8028333333333331</v>
      </c>
      <c r="CC39" s="374" t="str">
        <f t="shared" si="35"/>
        <v>(0.63)</v>
      </c>
      <c r="CD39" s="375">
        <v>2</v>
      </c>
      <c r="CE39" s="375">
        <f t="shared" si="36"/>
        <v>3</v>
      </c>
      <c r="CF39" s="375">
        <v>0</v>
      </c>
      <c r="CG39" s="375">
        <f t="shared" si="37"/>
        <v>0</v>
      </c>
      <c r="CH39" s="375">
        <v>0</v>
      </c>
      <c r="CI39" s="375">
        <f t="shared" si="38"/>
        <v>0</v>
      </c>
      <c r="CJ39" s="375">
        <f t="shared" si="90"/>
        <v>3</v>
      </c>
      <c r="CK39" s="376">
        <f t="shared" si="39"/>
        <v>21</v>
      </c>
      <c r="CL39" s="373">
        <f t="shared" si="40"/>
        <v>8.7464999999999993</v>
      </c>
      <c r="CM39" s="374" t="str">
        <f t="shared" si="41"/>
        <v>(0.81)</v>
      </c>
      <c r="CN39" s="375">
        <v>2</v>
      </c>
      <c r="CO39" s="375">
        <f t="shared" si="42"/>
        <v>3</v>
      </c>
      <c r="CP39" s="375">
        <v>0</v>
      </c>
      <c r="CQ39" s="375">
        <f t="shared" si="43"/>
        <v>0</v>
      </c>
      <c r="CR39" s="375">
        <v>0</v>
      </c>
      <c r="CS39" s="375">
        <f t="shared" si="44"/>
        <v>0</v>
      </c>
      <c r="CT39" s="375">
        <f t="shared" si="91"/>
        <v>3</v>
      </c>
      <c r="CU39" s="376">
        <f t="shared" si="45"/>
        <v>27</v>
      </c>
      <c r="CV39" s="373">
        <f t="shared" si="46"/>
        <v>10.690166666666665</v>
      </c>
      <c r="CW39" s="374" t="str">
        <f t="shared" si="47"/>
        <v>(0.99)</v>
      </c>
      <c r="CX39" s="375">
        <v>2</v>
      </c>
      <c r="CY39" s="375">
        <f t="shared" si="48"/>
        <v>3</v>
      </c>
      <c r="CZ39" s="375">
        <v>0</v>
      </c>
      <c r="DA39" s="375">
        <f t="shared" si="49"/>
        <v>0</v>
      </c>
      <c r="DB39" s="375">
        <v>0</v>
      </c>
      <c r="DC39" s="375">
        <f t="shared" si="50"/>
        <v>0</v>
      </c>
      <c r="DD39" s="375">
        <f t="shared" si="92"/>
        <v>3</v>
      </c>
      <c r="DE39" s="376">
        <f t="shared" si="51"/>
        <v>33</v>
      </c>
      <c r="DF39" s="373">
        <f t="shared" si="52"/>
        <v>12.633833333333333</v>
      </c>
      <c r="DG39" s="374" t="str">
        <f t="shared" si="53"/>
        <v>(1.17)</v>
      </c>
      <c r="DH39" s="375">
        <v>2</v>
      </c>
      <c r="DI39" s="375">
        <f t="shared" si="54"/>
        <v>3</v>
      </c>
      <c r="DJ39" s="375">
        <v>0</v>
      </c>
      <c r="DK39" s="375">
        <f t="shared" si="55"/>
        <v>0</v>
      </c>
      <c r="DL39" s="375">
        <v>0</v>
      </c>
      <c r="DM39" s="375">
        <f t="shared" si="56"/>
        <v>0</v>
      </c>
      <c r="DN39" s="375">
        <f t="shared" si="93"/>
        <v>3</v>
      </c>
      <c r="DO39" s="376">
        <f t="shared" si="57"/>
        <v>39</v>
      </c>
      <c r="DP39" s="373">
        <f t="shared" si="58"/>
        <v>14.577499999999999</v>
      </c>
      <c r="DQ39" s="374" t="str">
        <f t="shared" si="59"/>
        <v>(1.35)</v>
      </c>
      <c r="DR39" s="375">
        <v>2</v>
      </c>
      <c r="DS39" s="375">
        <f t="shared" si="60"/>
        <v>3</v>
      </c>
      <c r="DT39" s="375">
        <v>0</v>
      </c>
      <c r="DU39" s="375">
        <f t="shared" si="61"/>
        <v>0</v>
      </c>
      <c r="DV39" s="375">
        <v>0</v>
      </c>
      <c r="DW39" s="375">
        <f t="shared" si="62"/>
        <v>0</v>
      </c>
      <c r="DX39" s="375">
        <f t="shared" si="94"/>
        <v>3</v>
      </c>
      <c r="DY39" s="376">
        <f t="shared" si="63"/>
        <v>45</v>
      </c>
      <c r="DZ39" s="373">
        <f t="shared" si="64"/>
        <v>16.197222222222219</v>
      </c>
      <c r="EA39" s="374" t="str">
        <f t="shared" si="95"/>
        <v>(1.50)</v>
      </c>
      <c r="EB39" s="375">
        <v>2</v>
      </c>
      <c r="EC39" s="375">
        <f t="shared" si="65"/>
        <v>3</v>
      </c>
      <c r="ED39" s="375">
        <v>0</v>
      </c>
      <c r="EE39" s="375">
        <f t="shared" si="66"/>
        <v>0</v>
      </c>
      <c r="EF39" s="375">
        <v>1</v>
      </c>
      <c r="EG39" s="375">
        <f t="shared" si="67"/>
        <v>1</v>
      </c>
      <c r="EH39" s="375">
        <f t="shared" si="96"/>
        <v>4</v>
      </c>
      <c r="EI39" s="376">
        <f t="shared" si="68"/>
        <v>50</v>
      </c>
      <c r="EJ39" s="373">
        <f t="shared" si="69"/>
        <v>18.140888888888885</v>
      </c>
      <c r="EK39" s="374" t="str">
        <f t="shared" si="106"/>
        <v>(1.69)</v>
      </c>
      <c r="EL39" s="375">
        <v>2</v>
      </c>
      <c r="EM39" s="375">
        <f t="shared" si="70"/>
        <v>3</v>
      </c>
      <c r="EN39" s="375">
        <v>0</v>
      </c>
      <c r="EO39" s="375">
        <f t="shared" si="71"/>
        <v>0</v>
      </c>
      <c r="EP39" s="375">
        <v>1</v>
      </c>
      <c r="EQ39" s="375">
        <f t="shared" si="72"/>
        <v>1</v>
      </c>
      <c r="ER39" s="375">
        <f t="shared" si="98"/>
        <v>4</v>
      </c>
      <c r="ES39" s="376">
        <f t="shared" si="73"/>
        <v>56</v>
      </c>
      <c r="ET39" s="373">
        <f t="shared" si="74"/>
        <v>20.084555555555553</v>
      </c>
      <c r="EU39" s="374" t="str">
        <f t="shared" si="107"/>
        <v>(1.87)</v>
      </c>
      <c r="EV39" s="375">
        <v>2</v>
      </c>
      <c r="EW39" s="375">
        <f t="shared" si="75"/>
        <v>3</v>
      </c>
      <c r="EX39" s="375">
        <v>0</v>
      </c>
      <c r="EY39" s="375">
        <f t="shared" si="76"/>
        <v>0</v>
      </c>
      <c r="EZ39" s="375">
        <v>1</v>
      </c>
      <c r="FA39" s="375">
        <f t="shared" si="77"/>
        <v>1</v>
      </c>
      <c r="FB39" s="375">
        <f t="shared" si="100"/>
        <v>4</v>
      </c>
      <c r="FC39" s="376">
        <f t="shared" si="78"/>
        <v>62</v>
      </c>
      <c r="FD39" s="373">
        <f t="shared" si="79"/>
        <v>21.987729166666664</v>
      </c>
      <c r="FE39" s="374" t="str">
        <f t="shared" si="101"/>
        <v>(2.04)</v>
      </c>
      <c r="FF39" s="22">
        <v>2</v>
      </c>
      <c r="FG39" s="22">
        <f t="shared" si="80"/>
        <v>3</v>
      </c>
      <c r="FH39" s="22">
        <v>1</v>
      </c>
      <c r="FI39" s="22">
        <f t="shared" si="81"/>
        <v>1.125</v>
      </c>
      <c r="FJ39" s="22">
        <v>0</v>
      </c>
      <c r="FK39" s="22">
        <f t="shared" si="82"/>
        <v>0</v>
      </c>
      <c r="FL39" s="22">
        <f t="shared" si="102"/>
        <v>4.125</v>
      </c>
      <c r="FM39" s="23">
        <f t="shared" si="83"/>
        <v>67.875</v>
      </c>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5">
        <v>52</v>
      </c>
      <c r="IR39" s="26">
        <v>0.88200000000000001</v>
      </c>
      <c r="IS39" s="26">
        <v>0.88900000000000001</v>
      </c>
      <c r="IT39" s="26">
        <v>0.42699999999999999</v>
      </c>
      <c r="IU39" s="26">
        <v>1.5</v>
      </c>
      <c r="IV39" s="26">
        <v>1</v>
      </c>
      <c r="IW39" s="26">
        <v>1.125</v>
      </c>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4"/>
      <c r="AU40" s="27">
        <f t="shared" si="103"/>
        <v>114</v>
      </c>
      <c r="AV40" s="28" t="str">
        <f t="shared" si="84"/>
        <v>(2900)</v>
      </c>
      <c r="AW40" s="19">
        <f t="shared" si="104"/>
        <v>25</v>
      </c>
      <c r="AX40" s="20">
        <f t="shared" si="18"/>
        <v>1.7123263888888889</v>
      </c>
      <c r="AY40" s="21" t="str">
        <f t="shared" si="105"/>
        <v>(0.16)</v>
      </c>
      <c r="AZ40" s="22">
        <v>2</v>
      </c>
      <c r="BA40" s="22">
        <f t="shared" si="19"/>
        <v>3</v>
      </c>
      <c r="BB40" s="22">
        <v>0</v>
      </c>
      <c r="BC40" s="22">
        <f t="shared" si="20"/>
        <v>0</v>
      </c>
      <c r="BD40" s="22">
        <v>0</v>
      </c>
      <c r="BE40" s="22">
        <f t="shared" si="21"/>
        <v>0</v>
      </c>
      <c r="BF40" s="22">
        <f t="shared" si="86"/>
        <v>3</v>
      </c>
      <c r="BG40" s="23">
        <f t="shared" si="22"/>
        <v>5</v>
      </c>
      <c r="BH40" s="373">
        <f t="shared" si="23"/>
        <v>3.0821874999999999</v>
      </c>
      <c r="BI40" s="374" t="str">
        <f t="shared" si="87"/>
        <v>(0.29)</v>
      </c>
      <c r="BJ40" s="375">
        <v>2</v>
      </c>
      <c r="BK40" s="375">
        <f t="shared" si="24"/>
        <v>3</v>
      </c>
      <c r="BL40" s="375">
        <v>0</v>
      </c>
      <c r="BM40" s="375">
        <f t="shared" si="25"/>
        <v>0</v>
      </c>
      <c r="BN40" s="375">
        <v>0</v>
      </c>
      <c r="BO40" s="375">
        <f t="shared" si="26"/>
        <v>0</v>
      </c>
      <c r="BP40" s="375">
        <f t="shared" si="88"/>
        <v>3</v>
      </c>
      <c r="BQ40" s="376">
        <f t="shared" si="27"/>
        <v>9</v>
      </c>
      <c r="BR40" s="373">
        <f t="shared" si="28"/>
        <v>5.1369791666666664</v>
      </c>
      <c r="BS40" s="374" t="str">
        <f t="shared" si="29"/>
        <v>(0.48)</v>
      </c>
      <c r="BT40" s="375">
        <v>2</v>
      </c>
      <c r="BU40" s="375">
        <f t="shared" si="30"/>
        <v>3</v>
      </c>
      <c r="BV40" s="375">
        <v>0</v>
      </c>
      <c r="BW40" s="375">
        <f t="shared" si="31"/>
        <v>0</v>
      </c>
      <c r="BX40" s="375">
        <v>0</v>
      </c>
      <c r="BY40" s="375">
        <f t="shared" si="32"/>
        <v>0</v>
      </c>
      <c r="BZ40" s="375">
        <f t="shared" si="89"/>
        <v>3</v>
      </c>
      <c r="CA40" s="376">
        <f t="shared" si="33"/>
        <v>15</v>
      </c>
      <c r="CB40" s="373">
        <f t="shared" si="34"/>
        <v>7.191770833333333</v>
      </c>
      <c r="CC40" s="374" t="str">
        <f t="shared" si="35"/>
        <v>(0.67)</v>
      </c>
      <c r="CD40" s="375">
        <v>2</v>
      </c>
      <c r="CE40" s="375">
        <f t="shared" si="36"/>
        <v>3</v>
      </c>
      <c r="CF40" s="375">
        <v>0</v>
      </c>
      <c r="CG40" s="375">
        <f t="shared" si="37"/>
        <v>0</v>
      </c>
      <c r="CH40" s="375">
        <v>0</v>
      </c>
      <c r="CI40" s="375">
        <f t="shared" si="38"/>
        <v>0</v>
      </c>
      <c r="CJ40" s="375">
        <f t="shared" si="90"/>
        <v>3</v>
      </c>
      <c r="CK40" s="376">
        <f t="shared" si="39"/>
        <v>21</v>
      </c>
      <c r="CL40" s="373">
        <f t="shared" si="40"/>
        <v>9.2465624999999996</v>
      </c>
      <c r="CM40" s="374" t="str">
        <f t="shared" si="41"/>
        <v>(0.86)</v>
      </c>
      <c r="CN40" s="375">
        <v>2</v>
      </c>
      <c r="CO40" s="375">
        <f t="shared" si="42"/>
        <v>3</v>
      </c>
      <c r="CP40" s="375">
        <v>0</v>
      </c>
      <c r="CQ40" s="375">
        <f t="shared" si="43"/>
        <v>0</v>
      </c>
      <c r="CR40" s="375">
        <v>0</v>
      </c>
      <c r="CS40" s="375">
        <f t="shared" si="44"/>
        <v>0</v>
      </c>
      <c r="CT40" s="375">
        <f t="shared" si="91"/>
        <v>3</v>
      </c>
      <c r="CU40" s="376">
        <f t="shared" si="45"/>
        <v>27</v>
      </c>
      <c r="CV40" s="373">
        <f t="shared" si="46"/>
        <v>11.301354166666666</v>
      </c>
      <c r="CW40" s="374" t="str">
        <f t="shared" si="47"/>
        <v>(1.05)</v>
      </c>
      <c r="CX40" s="375">
        <v>2</v>
      </c>
      <c r="CY40" s="375">
        <f t="shared" si="48"/>
        <v>3</v>
      </c>
      <c r="CZ40" s="375">
        <v>0</v>
      </c>
      <c r="DA40" s="375">
        <f t="shared" si="49"/>
        <v>0</v>
      </c>
      <c r="DB40" s="375">
        <v>0</v>
      </c>
      <c r="DC40" s="375">
        <f t="shared" si="50"/>
        <v>0</v>
      </c>
      <c r="DD40" s="375">
        <f t="shared" si="92"/>
        <v>3</v>
      </c>
      <c r="DE40" s="376">
        <f t="shared" si="51"/>
        <v>33</v>
      </c>
      <c r="DF40" s="373">
        <f t="shared" si="52"/>
        <v>13.356145833333333</v>
      </c>
      <c r="DG40" s="374" t="str">
        <f t="shared" si="53"/>
        <v>(1.24)</v>
      </c>
      <c r="DH40" s="375">
        <v>2</v>
      </c>
      <c r="DI40" s="375">
        <f t="shared" si="54"/>
        <v>3</v>
      </c>
      <c r="DJ40" s="375">
        <v>0</v>
      </c>
      <c r="DK40" s="375">
        <f t="shared" si="55"/>
        <v>0</v>
      </c>
      <c r="DL40" s="375">
        <v>0</v>
      </c>
      <c r="DM40" s="375">
        <f t="shared" si="56"/>
        <v>0</v>
      </c>
      <c r="DN40" s="375">
        <f t="shared" si="93"/>
        <v>3</v>
      </c>
      <c r="DO40" s="376">
        <f t="shared" si="57"/>
        <v>39</v>
      </c>
      <c r="DP40" s="373">
        <f t="shared" si="58"/>
        <v>15.410937499999998</v>
      </c>
      <c r="DQ40" s="374" t="str">
        <f t="shared" si="59"/>
        <v>(1.43)</v>
      </c>
      <c r="DR40" s="375">
        <v>2</v>
      </c>
      <c r="DS40" s="375">
        <f t="shared" si="60"/>
        <v>3</v>
      </c>
      <c r="DT40" s="375">
        <v>0</v>
      </c>
      <c r="DU40" s="375">
        <f t="shared" si="61"/>
        <v>0</v>
      </c>
      <c r="DV40" s="375">
        <v>0</v>
      </c>
      <c r="DW40" s="375">
        <f t="shared" si="62"/>
        <v>0</v>
      </c>
      <c r="DX40" s="375">
        <f t="shared" si="94"/>
        <v>3</v>
      </c>
      <c r="DY40" s="376">
        <f t="shared" si="63"/>
        <v>45</v>
      </c>
      <c r="DZ40" s="373">
        <f t="shared" si="64"/>
        <v>17.123263888888889</v>
      </c>
      <c r="EA40" s="374" t="str">
        <f t="shared" si="95"/>
        <v>(1.59)</v>
      </c>
      <c r="EB40" s="375">
        <v>2</v>
      </c>
      <c r="EC40" s="375">
        <f t="shared" si="65"/>
        <v>3</v>
      </c>
      <c r="ED40" s="375">
        <v>0</v>
      </c>
      <c r="EE40" s="375">
        <f t="shared" si="66"/>
        <v>0</v>
      </c>
      <c r="EF40" s="375">
        <v>1</v>
      </c>
      <c r="EG40" s="375">
        <f t="shared" si="67"/>
        <v>1</v>
      </c>
      <c r="EH40" s="375">
        <f t="shared" si="96"/>
        <v>4</v>
      </c>
      <c r="EI40" s="376">
        <f t="shared" si="68"/>
        <v>50</v>
      </c>
      <c r="EJ40" s="373">
        <f t="shared" si="69"/>
        <v>19.178055555555556</v>
      </c>
      <c r="EK40" s="374" t="str">
        <f t="shared" si="106"/>
        <v>(1.78)</v>
      </c>
      <c r="EL40" s="375">
        <v>2</v>
      </c>
      <c r="EM40" s="375">
        <f t="shared" si="70"/>
        <v>3</v>
      </c>
      <c r="EN40" s="375">
        <v>0</v>
      </c>
      <c r="EO40" s="375">
        <f t="shared" si="71"/>
        <v>0</v>
      </c>
      <c r="EP40" s="375">
        <v>1</v>
      </c>
      <c r="EQ40" s="375">
        <f t="shared" si="72"/>
        <v>1</v>
      </c>
      <c r="ER40" s="375">
        <f t="shared" si="98"/>
        <v>4</v>
      </c>
      <c r="ES40" s="376">
        <f t="shared" si="73"/>
        <v>56</v>
      </c>
      <c r="ET40" s="373">
        <f t="shared" si="74"/>
        <v>21.232847222222219</v>
      </c>
      <c r="EU40" s="374" t="str">
        <f t="shared" si="107"/>
        <v>(1.97)</v>
      </c>
      <c r="EV40" s="375">
        <v>2</v>
      </c>
      <c r="EW40" s="375">
        <f t="shared" si="75"/>
        <v>3</v>
      </c>
      <c r="EX40" s="375">
        <v>0</v>
      </c>
      <c r="EY40" s="375">
        <f t="shared" si="76"/>
        <v>0</v>
      </c>
      <c r="EZ40" s="375">
        <v>1</v>
      </c>
      <c r="FA40" s="375">
        <f t="shared" si="77"/>
        <v>1</v>
      </c>
      <c r="FB40" s="375">
        <f t="shared" si="100"/>
        <v>4</v>
      </c>
      <c r="FC40" s="376">
        <f t="shared" si="78"/>
        <v>62</v>
      </c>
      <c r="FD40" s="373">
        <f t="shared" si="79"/>
        <v>23.244830729166665</v>
      </c>
      <c r="FE40" s="374" t="str">
        <f t="shared" si="101"/>
        <v>(2.16)</v>
      </c>
      <c r="FF40" s="22">
        <v>2</v>
      </c>
      <c r="FG40" s="22">
        <f t="shared" si="80"/>
        <v>3</v>
      </c>
      <c r="FH40" s="22">
        <v>1</v>
      </c>
      <c r="FI40" s="22">
        <f t="shared" si="81"/>
        <v>1.125</v>
      </c>
      <c r="FJ40" s="22">
        <v>0</v>
      </c>
      <c r="FK40" s="22">
        <f t="shared" si="82"/>
        <v>0</v>
      </c>
      <c r="FL40" s="22">
        <f t="shared" si="102"/>
        <v>4.125</v>
      </c>
      <c r="FM40" s="23">
        <f t="shared" si="83"/>
        <v>67.875</v>
      </c>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5">
        <v>55</v>
      </c>
      <c r="IR40" s="26">
        <v>0.88200000000000001</v>
      </c>
      <c r="IS40" s="26">
        <v>0.88900000000000001</v>
      </c>
      <c r="IT40" s="26">
        <v>0.42699999999999999</v>
      </c>
      <c r="IU40" s="26">
        <v>1.5</v>
      </c>
      <c r="IV40" s="26">
        <v>1</v>
      </c>
      <c r="IW40" s="26">
        <v>1.125</v>
      </c>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103"/>
        <v>120</v>
      </c>
      <c r="AV41" s="28" t="str">
        <f t="shared" si="84"/>
        <v>(3050)</v>
      </c>
      <c r="AW41" s="19">
        <f t="shared" si="104"/>
        <v>26</v>
      </c>
      <c r="AX41" s="20">
        <f t="shared" si="18"/>
        <v>1.8049305555555553</v>
      </c>
      <c r="AY41" s="29" t="str">
        <f>"("&amp;FIXED(AX41*0.092903,2)&amp;")"</f>
        <v>(0.17)</v>
      </c>
      <c r="AZ41" s="22">
        <v>2</v>
      </c>
      <c r="BA41" s="22">
        <f t="shared" si="19"/>
        <v>3</v>
      </c>
      <c r="BB41" s="30">
        <v>0</v>
      </c>
      <c r="BC41" s="22">
        <f t="shared" si="20"/>
        <v>0</v>
      </c>
      <c r="BD41" s="30">
        <v>0</v>
      </c>
      <c r="BE41" s="22">
        <f t="shared" si="21"/>
        <v>0</v>
      </c>
      <c r="BF41" s="22">
        <f t="shared" si="86"/>
        <v>3</v>
      </c>
      <c r="BG41" s="23">
        <f t="shared" si="22"/>
        <v>5</v>
      </c>
      <c r="BH41" s="373">
        <f t="shared" si="23"/>
        <v>3.248875</v>
      </c>
      <c r="BI41" s="374" t="str">
        <f>"("&amp;FIXED(BH41*0.092903,2)&amp;")"</f>
        <v>(0.30)</v>
      </c>
      <c r="BJ41" s="375">
        <v>2</v>
      </c>
      <c r="BK41" s="375">
        <f t="shared" si="24"/>
        <v>3</v>
      </c>
      <c r="BL41" s="375">
        <v>0</v>
      </c>
      <c r="BM41" s="375">
        <f t="shared" si="25"/>
        <v>0</v>
      </c>
      <c r="BN41" s="375">
        <v>0</v>
      </c>
      <c r="BO41" s="375">
        <f t="shared" si="26"/>
        <v>0</v>
      </c>
      <c r="BP41" s="375">
        <f t="shared" si="88"/>
        <v>3</v>
      </c>
      <c r="BQ41" s="376">
        <f t="shared" si="27"/>
        <v>9</v>
      </c>
      <c r="BR41" s="373">
        <f t="shared" si="28"/>
        <v>5.4147916666666669</v>
      </c>
      <c r="BS41" s="374" t="str">
        <f t="shared" si="29"/>
        <v>(0.5)</v>
      </c>
      <c r="BT41" s="375">
        <v>2</v>
      </c>
      <c r="BU41" s="375">
        <f t="shared" si="30"/>
        <v>3</v>
      </c>
      <c r="BV41" s="375">
        <v>0</v>
      </c>
      <c r="BW41" s="375">
        <f t="shared" si="31"/>
        <v>0</v>
      </c>
      <c r="BX41" s="375">
        <v>0</v>
      </c>
      <c r="BY41" s="375">
        <f t="shared" si="32"/>
        <v>0</v>
      </c>
      <c r="BZ41" s="375">
        <f t="shared" si="89"/>
        <v>3</v>
      </c>
      <c r="CA41" s="376">
        <f t="shared" si="33"/>
        <v>15</v>
      </c>
      <c r="CB41" s="373">
        <f t="shared" si="34"/>
        <v>7.5807083333333338</v>
      </c>
      <c r="CC41" s="374" t="str">
        <f t="shared" si="35"/>
        <v>(0.7)</v>
      </c>
      <c r="CD41" s="375">
        <v>2</v>
      </c>
      <c r="CE41" s="375">
        <f t="shared" si="36"/>
        <v>3</v>
      </c>
      <c r="CF41" s="375">
        <v>0</v>
      </c>
      <c r="CG41" s="375">
        <f t="shared" si="37"/>
        <v>0</v>
      </c>
      <c r="CH41" s="375">
        <v>0</v>
      </c>
      <c r="CI41" s="375">
        <f t="shared" si="38"/>
        <v>0</v>
      </c>
      <c r="CJ41" s="375">
        <f t="shared" si="90"/>
        <v>3</v>
      </c>
      <c r="CK41" s="376">
        <f t="shared" si="39"/>
        <v>21</v>
      </c>
      <c r="CL41" s="373">
        <f t="shared" si="40"/>
        <v>9.7466249999999999</v>
      </c>
      <c r="CM41" s="374" t="str">
        <f t="shared" si="41"/>
        <v>(0.91)</v>
      </c>
      <c r="CN41" s="375">
        <v>2</v>
      </c>
      <c r="CO41" s="375">
        <f t="shared" si="42"/>
        <v>3</v>
      </c>
      <c r="CP41" s="375">
        <v>0</v>
      </c>
      <c r="CQ41" s="375">
        <f t="shared" si="43"/>
        <v>0</v>
      </c>
      <c r="CR41" s="375">
        <v>0</v>
      </c>
      <c r="CS41" s="375">
        <f t="shared" si="44"/>
        <v>0</v>
      </c>
      <c r="CT41" s="375">
        <f t="shared" si="91"/>
        <v>3</v>
      </c>
      <c r="CU41" s="376">
        <f t="shared" si="45"/>
        <v>27</v>
      </c>
      <c r="CV41" s="373">
        <f t="shared" si="46"/>
        <v>11.912541666666666</v>
      </c>
      <c r="CW41" s="374" t="str">
        <f t="shared" si="47"/>
        <v>(1.11)</v>
      </c>
      <c r="CX41" s="375">
        <v>2</v>
      </c>
      <c r="CY41" s="375">
        <f t="shared" si="48"/>
        <v>3</v>
      </c>
      <c r="CZ41" s="375">
        <v>0</v>
      </c>
      <c r="DA41" s="375">
        <f t="shared" si="49"/>
        <v>0</v>
      </c>
      <c r="DB41" s="375">
        <v>0</v>
      </c>
      <c r="DC41" s="375">
        <f t="shared" si="50"/>
        <v>0</v>
      </c>
      <c r="DD41" s="375">
        <f t="shared" si="92"/>
        <v>3</v>
      </c>
      <c r="DE41" s="376">
        <f t="shared" si="51"/>
        <v>33</v>
      </c>
      <c r="DF41" s="373">
        <f t="shared" si="52"/>
        <v>14.078458333333334</v>
      </c>
      <c r="DG41" s="374" t="str">
        <f t="shared" si="53"/>
        <v>(1.31)</v>
      </c>
      <c r="DH41" s="375">
        <v>2</v>
      </c>
      <c r="DI41" s="375">
        <f t="shared" si="54"/>
        <v>3</v>
      </c>
      <c r="DJ41" s="375">
        <v>0</v>
      </c>
      <c r="DK41" s="375">
        <f t="shared" si="55"/>
        <v>0</v>
      </c>
      <c r="DL41" s="375">
        <v>0</v>
      </c>
      <c r="DM41" s="375">
        <f t="shared" si="56"/>
        <v>0</v>
      </c>
      <c r="DN41" s="375">
        <f t="shared" si="93"/>
        <v>3</v>
      </c>
      <c r="DO41" s="376">
        <f t="shared" si="57"/>
        <v>39</v>
      </c>
      <c r="DP41" s="373">
        <f t="shared" si="58"/>
        <v>16.244375000000002</v>
      </c>
      <c r="DQ41" s="374" t="str">
        <f t="shared" si="59"/>
        <v>(1.51)</v>
      </c>
      <c r="DR41" s="375">
        <v>2</v>
      </c>
      <c r="DS41" s="375">
        <f t="shared" si="60"/>
        <v>3</v>
      </c>
      <c r="DT41" s="375">
        <v>0</v>
      </c>
      <c r="DU41" s="375">
        <f t="shared" si="61"/>
        <v>0</v>
      </c>
      <c r="DV41" s="375">
        <v>0</v>
      </c>
      <c r="DW41" s="375">
        <f t="shared" si="62"/>
        <v>0</v>
      </c>
      <c r="DX41" s="375">
        <f t="shared" si="94"/>
        <v>3</v>
      </c>
      <c r="DY41" s="376">
        <f t="shared" si="63"/>
        <v>45</v>
      </c>
      <c r="DZ41" s="373">
        <f t="shared" si="64"/>
        <v>18.049305555555556</v>
      </c>
      <c r="EA41" s="374" t="str">
        <f>"("&amp;FIXED(DZ41*0.092903,2)&amp;")"</f>
        <v>(1.68)</v>
      </c>
      <c r="EB41" s="375">
        <v>2</v>
      </c>
      <c r="EC41" s="375">
        <f t="shared" si="65"/>
        <v>3</v>
      </c>
      <c r="ED41" s="375">
        <v>0</v>
      </c>
      <c r="EE41" s="375">
        <f t="shared" si="66"/>
        <v>0</v>
      </c>
      <c r="EF41" s="375">
        <v>1</v>
      </c>
      <c r="EG41" s="375">
        <f t="shared" si="67"/>
        <v>1</v>
      </c>
      <c r="EH41" s="375">
        <f t="shared" si="96"/>
        <v>4</v>
      </c>
      <c r="EI41" s="376">
        <f t="shared" si="68"/>
        <v>50</v>
      </c>
      <c r="EJ41" s="373">
        <f t="shared" si="69"/>
        <v>20.215222222222224</v>
      </c>
      <c r="EK41" s="374" t="str">
        <f>"("&amp;FIXED(EJ41*0.092903,2)&amp;")"</f>
        <v>(1.88)</v>
      </c>
      <c r="EL41" s="375">
        <v>2</v>
      </c>
      <c r="EM41" s="375">
        <f t="shared" si="70"/>
        <v>3</v>
      </c>
      <c r="EN41" s="375">
        <v>0</v>
      </c>
      <c r="EO41" s="375">
        <f t="shared" si="71"/>
        <v>0</v>
      </c>
      <c r="EP41" s="375">
        <v>1</v>
      </c>
      <c r="EQ41" s="375">
        <f t="shared" si="72"/>
        <v>1</v>
      </c>
      <c r="ER41" s="375">
        <f t="shared" si="98"/>
        <v>4</v>
      </c>
      <c r="ES41" s="376">
        <f t="shared" si="73"/>
        <v>56</v>
      </c>
      <c r="ET41" s="373">
        <f t="shared" si="74"/>
        <v>22.381138888888888</v>
      </c>
      <c r="EU41" s="374" t="str">
        <f>"("&amp;FIXED(ET41*0.092903,2)&amp;")"</f>
        <v>(2.08)</v>
      </c>
      <c r="EV41" s="375">
        <v>2</v>
      </c>
      <c r="EW41" s="375">
        <f t="shared" si="75"/>
        <v>3</v>
      </c>
      <c r="EX41" s="375">
        <v>0</v>
      </c>
      <c r="EY41" s="375">
        <f t="shared" si="76"/>
        <v>0</v>
      </c>
      <c r="EZ41" s="375">
        <v>1</v>
      </c>
      <c r="FA41" s="375">
        <f t="shared" si="77"/>
        <v>1</v>
      </c>
      <c r="FB41" s="375">
        <f t="shared" si="100"/>
        <v>4</v>
      </c>
      <c r="FC41" s="376">
        <f t="shared" si="78"/>
        <v>62</v>
      </c>
      <c r="FD41" s="373">
        <f t="shared" si="79"/>
        <v>24.501932291666666</v>
      </c>
      <c r="FE41" s="374" t="str">
        <f>"("&amp;FIXED(FD41*0.092903,2)&amp;")"</f>
        <v>(2.28)</v>
      </c>
      <c r="FF41" s="22">
        <v>2</v>
      </c>
      <c r="FG41" s="22">
        <f t="shared" si="80"/>
        <v>3</v>
      </c>
      <c r="FH41" s="30">
        <v>1</v>
      </c>
      <c r="FI41" s="22">
        <f t="shared" si="81"/>
        <v>1.125</v>
      </c>
      <c r="FJ41" s="30">
        <v>0</v>
      </c>
      <c r="FK41" s="22">
        <f t="shared" si="82"/>
        <v>0</v>
      </c>
      <c r="FL41" s="22">
        <f t="shared" si="102"/>
        <v>4.125</v>
      </c>
      <c r="FM41" s="23">
        <f t="shared" si="83"/>
        <v>67.875</v>
      </c>
      <c r="FN41" s="31"/>
      <c r="FO41" s="31"/>
      <c r="FP41" s="32"/>
      <c r="FQ41" s="32"/>
      <c r="FR41" s="34"/>
      <c r="FS41" s="32"/>
      <c r="FT41" s="34"/>
      <c r="FU41" s="32"/>
      <c r="FV41" s="31"/>
      <c r="FW41" s="31"/>
      <c r="FX41" s="31"/>
      <c r="FY41" s="31"/>
      <c r="FZ41" s="31"/>
      <c r="GA41" s="31"/>
      <c r="GB41" s="31"/>
      <c r="GC41" s="31"/>
      <c r="GD41" s="31"/>
      <c r="GE41" s="31"/>
      <c r="GF41" s="31"/>
      <c r="GG41" s="31"/>
      <c r="GH41" s="31"/>
      <c r="GI41" s="31"/>
      <c r="GJ41" s="32"/>
      <c r="GK41" s="32"/>
      <c r="GL41" s="34"/>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4"/>
      <c r="HQ41" s="32"/>
      <c r="HR41" s="32"/>
      <c r="HS41" s="32"/>
      <c r="HT41" s="32"/>
      <c r="HU41" s="32"/>
      <c r="HV41" s="32"/>
      <c r="HW41" s="32"/>
      <c r="HX41" s="32"/>
      <c r="HY41" s="32"/>
      <c r="HZ41" s="32"/>
      <c r="IA41" s="32"/>
      <c r="IB41" s="32"/>
      <c r="IC41" s="32"/>
      <c r="ID41" s="32"/>
      <c r="IE41" s="32"/>
      <c r="IF41" s="31"/>
      <c r="IG41" s="31"/>
      <c r="IH41" s="32"/>
      <c r="II41" s="32"/>
      <c r="IJ41" s="34"/>
      <c r="IK41" s="32"/>
      <c r="IL41" s="32"/>
      <c r="IM41" s="32"/>
      <c r="IN41" s="33"/>
      <c r="IO41" s="33"/>
      <c r="IP41" s="33"/>
      <c r="IQ41" s="25">
        <v>58</v>
      </c>
      <c r="IR41" s="26">
        <v>0.88200000000000001</v>
      </c>
      <c r="IS41" s="26">
        <v>0.88900000000000001</v>
      </c>
      <c r="IT41" s="26">
        <v>0.42699999999999999</v>
      </c>
      <c r="IU41" s="26">
        <v>1.5</v>
      </c>
      <c r="IV41" s="26">
        <v>1</v>
      </c>
      <c r="IW41" s="26">
        <v>1.125</v>
      </c>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c r="BF44" s="7"/>
      <c r="BG44" s="7"/>
      <c r="BH44" s="7"/>
      <c r="BI44" s="7"/>
      <c r="BJ44" s="7"/>
      <c r="BK44" s="7"/>
      <c r="BL44" s="7"/>
      <c r="BM44" s="7"/>
      <c r="BN44" s="6"/>
      <c r="BO44" s="7"/>
      <c r="BP44" s="7"/>
      <c r="BQ44" s="7"/>
      <c r="BR44" s="7"/>
      <c r="BS44" s="7"/>
      <c r="BT44" s="7"/>
      <c r="BU44" s="7"/>
      <c r="BV44" s="7"/>
      <c r="BW44" s="7"/>
      <c r="BX44" s="6"/>
      <c r="BY44" s="7"/>
      <c r="BZ44" s="7"/>
      <c r="CA44" s="7"/>
      <c r="CB44" s="7"/>
      <c r="CC44" s="7"/>
      <c r="CD44" s="7"/>
      <c r="CE44" s="7"/>
      <c r="CF44" s="7"/>
      <c r="CG44" s="7"/>
      <c r="CH44" s="6"/>
      <c r="CI44" s="7"/>
      <c r="CJ44" s="7"/>
      <c r="CK44" s="7"/>
      <c r="CL44" s="7"/>
      <c r="CM44" s="7"/>
      <c r="CN44" s="7"/>
      <c r="CO44" s="7"/>
      <c r="CP44" s="7"/>
      <c r="CQ44" s="7"/>
      <c r="CR44" s="6"/>
      <c r="CS44" s="7"/>
      <c r="CT44" s="7"/>
      <c r="CU44" s="7"/>
      <c r="CV44" s="7"/>
      <c r="CW44" s="7"/>
      <c r="CX44" s="7"/>
      <c r="CY44" s="7"/>
      <c r="CZ44" s="7"/>
      <c r="DA44" s="7"/>
      <c r="DB44" s="6"/>
      <c r="DC44" s="7"/>
      <c r="DD44" s="7"/>
      <c r="DE44" s="7"/>
      <c r="DF44" s="7"/>
      <c r="DG44" s="7"/>
      <c r="DH44" s="7"/>
      <c r="DI44" s="7"/>
      <c r="DJ44" s="7"/>
      <c r="DK44" s="7"/>
      <c r="DL44" s="6"/>
      <c r="DM44" s="7"/>
      <c r="DN44" s="7"/>
      <c r="DO44" s="7"/>
      <c r="DP44" s="7"/>
      <c r="DQ44" s="7"/>
      <c r="DR44" s="7"/>
      <c r="DS44" s="7"/>
      <c r="DT44" s="7"/>
      <c r="DU44" s="7"/>
      <c r="DV44" s="6"/>
      <c r="DW44" s="7"/>
      <c r="DX44" s="7"/>
      <c r="DY44" s="7"/>
      <c r="DZ44" s="7"/>
      <c r="EA44" s="7"/>
      <c r="EB44" s="7"/>
      <c r="EC44" s="7"/>
      <c r="ED44" s="7"/>
      <c r="EE44" s="7"/>
      <c r="EF44" s="6"/>
      <c r="EG44" s="7"/>
      <c r="EH44" s="7"/>
      <c r="EI44" s="7"/>
      <c r="EJ44" s="7"/>
      <c r="EK44" s="7"/>
      <c r="EL44" s="7"/>
      <c r="EM44" s="7"/>
      <c r="EN44" s="7"/>
      <c r="EO44" s="7"/>
      <c r="EP44" s="6"/>
      <c r="EQ44" s="7"/>
      <c r="ER44" s="7"/>
      <c r="ES44" s="7"/>
      <c r="ET44" s="7"/>
      <c r="EU44" s="7"/>
      <c r="EV44" s="7"/>
      <c r="EW44" s="7"/>
      <c r="EX44" s="7"/>
      <c r="EY44" s="7"/>
      <c r="EZ44" s="6"/>
      <c r="FA44" s="7"/>
      <c r="FB44" s="7"/>
      <c r="FC44" s="7"/>
      <c r="FD44" s="7"/>
      <c r="FE44" s="7"/>
      <c r="FF44" s="7"/>
      <c r="FG44" s="7"/>
      <c r="FH44" s="7"/>
      <c r="FI44" s="7"/>
      <c r="FJ44" s="6"/>
      <c r="FK44" s="7"/>
      <c r="FL44" s="7"/>
      <c r="FM44" s="7"/>
      <c r="FN44" s="7"/>
      <c r="FO44" s="7"/>
      <c r="FP44" s="7"/>
      <c r="FQ44" s="7"/>
      <c r="FR44" s="7"/>
      <c r="FS44" s="7"/>
      <c r="FT44" s="6"/>
      <c r="FU44" s="7"/>
      <c r="FV44" s="7"/>
      <c r="FW44" s="7"/>
      <c r="FX44" s="7"/>
      <c r="FY44" s="7"/>
      <c r="FZ44" s="7"/>
      <c r="GA44" s="7"/>
      <c r="GB44" s="7"/>
      <c r="GC44" s="7"/>
      <c r="GD44" s="6"/>
      <c r="GE44" s="7"/>
      <c r="GF44" s="7"/>
      <c r="GG44" s="7"/>
      <c r="GH44" s="7"/>
      <c r="GI44" s="7"/>
      <c r="GJ44" s="7"/>
      <c r="GK44" s="7"/>
      <c r="GL44" s="7"/>
      <c r="GM44" s="7"/>
      <c r="GN44" s="6"/>
      <c r="GO44" s="7"/>
      <c r="GP44" s="7"/>
      <c r="GQ44" s="7"/>
      <c r="GR44" s="7"/>
      <c r="GS44" s="7"/>
      <c r="GT44" s="7"/>
      <c r="GU44" s="7"/>
      <c r="GV44" s="5"/>
      <c r="GW44" s="5"/>
      <c r="GX44" s="5"/>
      <c r="GY44" s="5"/>
      <c r="GZ44" s="5"/>
      <c r="HA44" s="5"/>
      <c r="HB44" s="5"/>
      <c r="HC44" s="5"/>
      <c r="HD44" s="5"/>
      <c r="HE44" s="5"/>
      <c r="HF44" s="5"/>
    </row>
    <row r="45" spans="2:258" ht="19.5" thickBot="1" x14ac:dyDescent="0.35">
      <c r="B45" s="272" t="s">
        <v>41</v>
      </c>
      <c r="C45" s="147" t="e">
        <f>C9</f>
        <v>#VALUE!</v>
      </c>
      <c r="D45" s="73"/>
      <c r="E45" s="73"/>
      <c r="F45" s="73"/>
      <c r="G45" s="73"/>
      <c r="H45" s="73"/>
      <c r="I45" s="73"/>
      <c r="J45" s="73"/>
      <c r="K45" s="73"/>
      <c r="L45" s="273"/>
      <c r="N45" s="879" t="s">
        <v>191</v>
      </c>
      <c r="O45" s="252"/>
      <c r="P45" s="95"/>
      <c r="Q45" s="253">
        <v>8</v>
      </c>
      <c r="R45" s="254">
        <v>12</v>
      </c>
      <c r="S45" s="254">
        <f t="shared" ref="S45:AJ45" si="108">R45+6</f>
        <v>18</v>
      </c>
      <c r="T45" s="254">
        <f t="shared" si="108"/>
        <v>24</v>
      </c>
      <c r="U45" s="254">
        <f t="shared" si="108"/>
        <v>30</v>
      </c>
      <c r="V45" s="254">
        <f t="shared" si="108"/>
        <v>36</v>
      </c>
      <c r="W45" s="254">
        <f t="shared" si="108"/>
        <v>42</v>
      </c>
      <c r="X45" s="254">
        <f t="shared" si="108"/>
        <v>48</v>
      </c>
      <c r="Y45" s="254">
        <f t="shared" si="108"/>
        <v>54</v>
      </c>
      <c r="Z45" s="254">
        <f t="shared" si="108"/>
        <v>60</v>
      </c>
      <c r="AA45" s="254">
        <f t="shared" si="108"/>
        <v>66</v>
      </c>
      <c r="AB45" s="254">
        <f t="shared" si="108"/>
        <v>72</v>
      </c>
      <c r="AC45" s="254">
        <f t="shared" si="108"/>
        <v>78</v>
      </c>
      <c r="AD45" s="254">
        <f t="shared" si="108"/>
        <v>84</v>
      </c>
      <c r="AE45" s="254">
        <f t="shared" si="108"/>
        <v>90</v>
      </c>
      <c r="AF45" s="254">
        <f t="shared" si="108"/>
        <v>96</v>
      </c>
      <c r="AG45" s="254">
        <f t="shared" si="108"/>
        <v>102</v>
      </c>
      <c r="AH45" s="254">
        <f t="shared" si="108"/>
        <v>108</v>
      </c>
      <c r="AI45" s="254">
        <f t="shared" si="108"/>
        <v>114</v>
      </c>
      <c r="AJ45" s="254">
        <f t="shared" si="108"/>
        <v>120</v>
      </c>
      <c r="AK45" s="94"/>
      <c r="AL45" s="94"/>
      <c r="AM45" s="94"/>
      <c r="AN45" s="94"/>
      <c r="AO45" s="94"/>
      <c r="AP45" s="94"/>
      <c r="AQ45" s="95"/>
    </row>
    <row r="46" spans="2:258" ht="18.75" customHeight="1" thickBot="1" x14ac:dyDescent="0.35">
      <c r="B46" s="228" t="s">
        <v>42</v>
      </c>
      <c r="C46" s="148" t="e">
        <f>F9</f>
        <v>#VALUE!</v>
      </c>
      <c r="E46" s="71"/>
      <c r="F46" s="71"/>
      <c r="G46" s="71"/>
      <c r="H46" s="71"/>
      <c r="I46" s="71"/>
      <c r="J46" s="71"/>
      <c r="K46" s="71"/>
      <c r="L46" s="75"/>
      <c r="N46" s="880"/>
      <c r="O46" s="67"/>
      <c r="P46" s="69">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18.75" customHeight="1" thickBot="1" x14ac:dyDescent="0.4">
      <c r="B47" s="234" t="s">
        <v>77</v>
      </c>
      <c r="C47" s="71"/>
      <c r="D47" s="71"/>
      <c r="E47" s="71"/>
      <c r="F47" s="71"/>
      <c r="G47" s="71"/>
      <c r="H47" s="71"/>
      <c r="I47" s="71"/>
      <c r="J47" s="71"/>
      <c r="K47" s="71"/>
      <c r="L47" s="75"/>
      <c r="N47" s="250"/>
      <c r="O47" s="251"/>
      <c r="P47" s="158">
        <v>2</v>
      </c>
      <c r="Q47" s="342"/>
      <c r="R47" s="343"/>
      <c r="S47" s="343"/>
      <c r="T47" s="343"/>
      <c r="U47" s="343"/>
      <c r="V47" s="343"/>
      <c r="W47" s="343"/>
      <c r="X47" s="343"/>
      <c r="Y47" s="343"/>
      <c r="Z47" s="343"/>
      <c r="AA47" s="343"/>
      <c r="AB47" s="343"/>
      <c r="AC47" s="343"/>
      <c r="AD47" s="343"/>
      <c r="AE47" s="343"/>
      <c r="AF47" s="343"/>
      <c r="AG47" s="343"/>
      <c r="AH47" s="343"/>
      <c r="AI47" s="343"/>
      <c r="AJ47" s="343"/>
      <c r="AK47" s="150"/>
      <c r="AL47" s="150"/>
      <c r="AM47" s="150"/>
      <c r="AN47" s="150"/>
      <c r="AO47" s="150"/>
      <c r="AP47" s="150"/>
      <c r="AQ47" s="158"/>
    </row>
    <row r="48" spans="2:258" ht="19.5" customHeight="1" thickBot="1" x14ac:dyDescent="0.3">
      <c r="B48" s="78"/>
      <c r="C48" s="47"/>
      <c r="D48" s="71"/>
      <c r="E48" s="71"/>
      <c r="F48" s="71"/>
      <c r="G48" s="71"/>
      <c r="H48" s="71"/>
      <c r="I48" s="71"/>
      <c r="J48" s="71"/>
      <c r="K48" s="71"/>
      <c r="L48" s="75"/>
      <c r="N48" s="297">
        <v>3.33</v>
      </c>
      <c r="O48" s="162">
        <f>F12</f>
        <v>14</v>
      </c>
      <c r="P48" s="65">
        <v>3</v>
      </c>
      <c r="Q48" s="336">
        <v>6.7</v>
      </c>
      <c r="R48" s="153">
        <v>9.2100000000000009</v>
      </c>
      <c r="S48" s="153">
        <v>12.99</v>
      </c>
      <c r="T48" s="153">
        <v>16.760000000000002</v>
      </c>
      <c r="U48" s="153">
        <v>20.53</v>
      </c>
      <c r="V48" s="153">
        <v>24.31</v>
      </c>
      <c r="W48" s="153">
        <v>28.08</v>
      </c>
      <c r="X48" s="153">
        <v>31.85</v>
      </c>
      <c r="Y48" s="153">
        <v>35.619999999999997</v>
      </c>
      <c r="Z48" s="153">
        <v>39.4</v>
      </c>
      <c r="AA48" s="153">
        <v>43.17</v>
      </c>
      <c r="AB48" s="153">
        <v>46.94</v>
      </c>
      <c r="AC48" s="306"/>
      <c r="AD48" s="306"/>
      <c r="AE48" s="306"/>
      <c r="AF48" s="306"/>
      <c r="AG48" s="306"/>
      <c r="AH48" s="306"/>
      <c r="AI48" s="306"/>
      <c r="AJ48" s="306"/>
      <c r="AK48" s="64"/>
      <c r="AL48" s="154"/>
      <c r="AM48" s="154" t="e">
        <f>D51</f>
        <v>#VALUE!</v>
      </c>
      <c r="AN48" s="155" t="e">
        <f>C45</f>
        <v>#VALUE!</v>
      </c>
      <c r="AO48" s="154" t="e">
        <f>E51</f>
        <v>#VALUE!</v>
      </c>
      <c r="AP48" s="64"/>
      <c r="AQ48" s="65"/>
      <c r="CL48" s="83"/>
      <c r="CM48" s="83"/>
      <c r="CN48" s="83"/>
      <c r="CO48" s="83"/>
      <c r="CP48" s="83"/>
      <c r="CQ48" s="83"/>
      <c r="CR48" s="83"/>
      <c r="CS48" s="83"/>
    </row>
    <row r="49" spans="2:98" ht="17.25" customHeight="1" thickBot="1" x14ac:dyDescent="0.3">
      <c r="B49" s="78"/>
      <c r="C49" s="124"/>
      <c r="D49" s="125" t="s">
        <v>35</v>
      </c>
      <c r="E49" s="126"/>
      <c r="F49" s="126"/>
      <c r="G49" s="128"/>
      <c r="H49" s="125" t="s">
        <v>36</v>
      </c>
      <c r="I49" s="127"/>
      <c r="J49" s="71"/>
      <c r="K49" s="71"/>
      <c r="L49" s="75"/>
      <c r="N49" s="103">
        <v>4.67</v>
      </c>
      <c r="O49" s="162">
        <v>18</v>
      </c>
      <c r="P49" s="158">
        <v>4</v>
      </c>
      <c r="Q49" s="336">
        <v>8.2899999999999991</v>
      </c>
      <c r="R49" s="153">
        <v>11.4</v>
      </c>
      <c r="S49" s="153">
        <v>16.07</v>
      </c>
      <c r="T49" s="153">
        <v>20.73</v>
      </c>
      <c r="U49" s="153">
        <f t="shared" ref="U49:AA58" si="109">T49+$N49</f>
        <v>25.4</v>
      </c>
      <c r="V49" s="153">
        <f t="shared" si="109"/>
        <v>30.07</v>
      </c>
      <c r="W49" s="153">
        <f t="shared" si="109"/>
        <v>34.74</v>
      </c>
      <c r="X49" s="153">
        <f t="shared" si="109"/>
        <v>39.410000000000004</v>
      </c>
      <c r="Y49" s="153">
        <f t="shared" si="109"/>
        <v>44.080000000000005</v>
      </c>
      <c r="Z49" s="153">
        <f t="shared" si="109"/>
        <v>48.750000000000007</v>
      </c>
      <c r="AA49" s="153">
        <f t="shared" si="109"/>
        <v>53.420000000000009</v>
      </c>
      <c r="AB49" s="153">
        <v>58.08</v>
      </c>
      <c r="AC49" s="306"/>
      <c r="AD49" s="306"/>
      <c r="AE49" s="306"/>
      <c r="AF49" s="306"/>
      <c r="AG49" s="306"/>
      <c r="AH49" s="306"/>
      <c r="AI49" s="306"/>
      <c r="AJ49" s="306"/>
      <c r="AK49" s="96"/>
      <c r="AL49" s="154" t="e">
        <f>H51</f>
        <v>#VALUE!</v>
      </c>
      <c r="AM49" s="155" t="e">
        <f>INDEX(P46:AJ66,$H$52,$D$52)</f>
        <v>#VALUE!</v>
      </c>
      <c r="AN49" s="155" t="e">
        <f>(((AN48-AM48)/(AO48-AM48))*(AO49-AM49))+AM49</f>
        <v>#VALUE!</v>
      </c>
      <c r="AO49" s="155" t="e">
        <f>INDEX(P46:AJ66,$H$52,$E$52)</f>
        <v>#VALUE!</v>
      </c>
      <c r="AP49" s="64"/>
      <c r="AQ49" s="65"/>
      <c r="CL49" s="83"/>
      <c r="CM49" s="83"/>
      <c r="CN49" s="83"/>
      <c r="CO49" s="83"/>
      <c r="CP49" s="83"/>
      <c r="CQ49" s="83"/>
      <c r="CR49" s="83"/>
      <c r="CS49" s="83"/>
    </row>
    <row r="50" spans="2:98" ht="16.5" thickBot="1" x14ac:dyDescent="0.3">
      <c r="B50" s="78"/>
      <c r="C50" s="120"/>
      <c r="D50" s="121" t="s">
        <v>78</v>
      </c>
      <c r="E50" s="122" t="s">
        <v>79</v>
      </c>
      <c r="F50" s="122"/>
      <c r="G50" s="129"/>
      <c r="H50" s="121" t="s">
        <v>78</v>
      </c>
      <c r="I50" s="123" t="s">
        <v>79</v>
      </c>
      <c r="J50" s="71"/>
      <c r="K50" s="71"/>
      <c r="L50" s="75"/>
      <c r="N50" s="103">
        <v>6.01</v>
      </c>
      <c r="O50" s="162">
        <f t="shared" ref="O50:O66" si="110">O49+6</f>
        <v>24</v>
      </c>
      <c r="P50" s="65">
        <v>5</v>
      </c>
      <c r="Q50" s="336">
        <v>10.67</v>
      </c>
      <c r="R50" s="153">
        <v>14.68</v>
      </c>
      <c r="S50" s="153">
        <v>20.69</v>
      </c>
      <c r="T50" s="153">
        <v>26.7</v>
      </c>
      <c r="U50" s="153">
        <f t="shared" si="109"/>
        <v>32.71</v>
      </c>
      <c r="V50" s="153">
        <f t="shared" si="109"/>
        <v>38.72</v>
      </c>
      <c r="W50" s="153">
        <f t="shared" si="109"/>
        <v>44.73</v>
      </c>
      <c r="X50" s="153">
        <f t="shared" si="109"/>
        <v>50.739999999999995</v>
      </c>
      <c r="Y50" s="153">
        <f t="shared" si="109"/>
        <v>56.749999999999993</v>
      </c>
      <c r="Z50" s="153">
        <f t="shared" si="109"/>
        <v>62.759999999999991</v>
      </c>
      <c r="AA50" s="153">
        <f t="shared" si="109"/>
        <v>68.77</v>
      </c>
      <c r="AB50" s="153">
        <f>AA50+$N50</f>
        <v>74.78</v>
      </c>
      <c r="AC50" s="306"/>
      <c r="AD50" s="306"/>
      <c r="AE50" s="306"/>
      <c r="AF50" s="306"/>
      <c r="AG50" s="306"/>
      <c r="AH50" s="306"/>
      <c r="AI50" s="306"/>
      <c r="AJ50" s="306"/>
      <c r="AK50" s="64"/>
      <c r="AL50" s="154" t="e">
        <f>C46</f>
        <v>#VALUE!</v>
      </c>
      <c r="AM50" s="155" t="e">
        <f>(((AL50-AL49)/(AL51-AL49))*(AM51-AM49))+AM49</f>
        <v>#VALUE!</v>
      </c>
      <c r="AN50" s="156" t="e">
        <f>IF(AND(AN48&gt;72,AL50&gt;72),5/0,IF(AN48=120,AM50,(((AN49-AM49)/(AO49-AM49))*(AO50-AM50))+AM50))</f>
        <v>#VALUE!</v>
      </c>
      <c r="AO50" s="155" t="e">
        <f>(((AL50-AL49)/(AL51-AL49))*(AO51-AO49))+AO49</f>
        <v>#VALUE!</v>
      </c>
      <c r="AP50" s="64"/>
      <c r="AQ50" s="65"/>
      <c r="CL50" s="83"/>
      <c r="CM50" s="83"/>
      <c r="CN50" s="83"/>
      <c r="CO50" s="83"/>
      <c r="CP50" s="83"/>
      <c r="CQ50" s="83"/>
      <c r="CR50" s="83"/>
      <c r="CS50" s="83"/>
    </row>
    <row r="51" spans="2:98" ht="16.5" thickBot="1" x14ac:dyDescent="0.3">
      <c r="B51" s="78"/>
      <c r="C51" s="118"/>
      <c r="D51" s="116" t="e">
        <f>IF(AND(C45&lt;12,C45&gt;=8),8,FLOOR(C45/6,1)*6)</f>
        <v>#VALUE!</v>
      </c>
      <c r="E51" s="112" t="e">
        <f>IF(D51&lt;12,12,D51+6)</f>
        <v>#VALUE!</v>
      </c>
      <c r="F51" s="112"/>
      <c r="G51" s="130"/>
      <c r="H51" s="116" t="e">
        <f>IF(AND(C46&lt;18,C46&gt;=F12),F12,FLOOR(C46/6,1)*6)</f>
        <v>#VALUE!</v>
      </c>
      <c r="I51" s="113" t="e">
        <f>IF(H51&lt;18,18,H51+6)</f>
        <v>#VALUE!</v>
      </c>
      <c r="J51" s="71"/>
      <c r="K51" s="71"/>
      <c r="L51" s="75"/>
      <c r="N51" s="103">
        <v>7.35</v>
      </c>
      <c r="O51" s="162">
        <f t="shared" si="110"/>
        <v>30</v>
      </c>
      <c r="P51" s="158">
        <v>6</v>
      </c>
      <c r="Q51" s="336">
        <v>13.05</v>
      </c>
      <c r="R51" s="153">
        <v>17.95</v>
      </c>
      <c r="S51" s="153">
        <v>25.3</v>
      </c>
      <c r="T51" s="153">
        <v>32.659999999999997</v>
      </c>
      <c r="U51" s="153">
        <f t="shared" si="109"/>
        <v>40.01</v>
      </c>
      <c r="V51" s="153">
        <f t="shared" si="109"/>
        <v>47.36</v>
      </c>
      <c r="W51" s="153">
        <f t="shared" si="109"/>
        <v>54.71</v>
      </c>
      <c r="X51" s="153">
        <f t="shared" si="109"/>
        <v>62.06</v>
      </c>
      <c r="Y51" s="153">
        <f t="shared" si="109"/>
        <v>69.41</v>
      </c>
      <c r="Z51" s="153">
        <f t="shared" si="109"/>
        <v>76.759999999999991</v>
      </c>
      <c r="AA51" s="153">
        <f t="shared" si="109"/>
        <v>84.109999999999985</v>
      </c>
      <c r="AB51" s="153">
        <f>AA51+$N51</f>
        <v>91.45999999999998</v>
      </c>
      <c r="AC51" s="306"/>
      <c r="AD51" s="306"/>
      <c r="AE51" s="306"/>
      <c r="AF51" s="306"/>
      <c r="AG51" s="306"/>
      <c r="AH51" s="306"/>
      <c r="AI51" s="306"/>
      <c r="AJ51" s="306"/>
      <c r="AK51" s="64"/>
      <c r="AL51" s="154" t="e">
        <f>I51</f>
        <v>#VALUE!</v>
      </c>
      <c r="AM51" s="155" t="e">
        <f>INDEX(P46:AJ66,$I$52,$D$52)</f>
        <v>#VALUE!</v>
      </c>
      <c r="AN51" s="155" t="e">
        <f>(((AN48-AM48)/(AO48-AM48))*(AO51-AM51))+AM51</f>
        <v>#VALUE!</v>
      </c>
      <c r="AO51" s="155" t="e">
        <f>INDEX(P46:AJ66,$I$52,$E$52)</f>
        <v>#VALUE!</v>
      </c>
      <c r="AP51" s="64"/>
      <c r="AQ51" s="65"/>
      <c r="CL51" s="83"/>
      <c r="CM51" s="83"/>
      <c r="CN51" s="83"/>
      <c r="CO51" s="83"/>
      <c r="CP51" s="83"/>
      <c r="CQ51" s="83"/>
      <c r="CR51" s="83"/>
      <c r="CS51" s="83"/>
    </row>
    <row r="52" spans="2:98"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8.6999999999999993</v>
      </c>
      <c r="O52" s="162">
        <f t="shared" si="110"/>
        <v>36</v>
      </c>
      <c r="P52" s="65">
        <v>7</v>
      </c>
      <c r="Q52" s="336">
        <v>15.43</v>
      </c>
      <c r="R52" s="153">
        <v>21.23</v>
      </c>
      <c r="S52" s="153">
        <v>29.92</v>
      </c>
      <c r="T52" s="153">
        <v>38.619999999999997</v>
      </c>
      <c r="U52" s="153">
        <f t="shared" si="109"/>
        <v>47.319999999999993</v>
      </c>
      <c r="V52" s="153">
        <f t="shared" si="109"/>
        <v>56.019999999999996</v>
      </c>
      <c r="W52" s="153">
        <f t="shared" si="109"/>
        <v>64.72</v>
      </c>
      <c r="X52" s="153">
        <f t="shared" si="109"/>
        <v>73.42</v>
      </c>
      <c r="Y52" s="153">
        <f t="shared" si="109"/>
        <v>82.12</v>
      </c>
      <c r="Z52" s="153">
        <f t="shared" si="109"/>
        <v>90.820000000000007</v>
      </c>
      <c r="AA52" s="153">
        <f t="shared" si="109"/>
        <v>99.52000000000001</v>
      </c>
      <c r="AB52" s="153">
        <f>AA52+$N52</f>
        <v>108.22000000000001</v>
      </c>
      <c r="AC52" s="306"/>
      <c r="AD52" s="306"/>
      <c r="AE52" s="306"/>
      <c r="AF52" s="306"/>
      <c r="AG52" s="306"/>
      <c r="AH52" s="306"/>
      <c r="AI52" s="306"/>
      <c r="AJ52" s="306"/>
      <c r="AK52" s="64"/>
      <c r="AL52" s="64"/>
      <c r="AM52" s="64"/>
      <c r="AN52" s="64"/>
      <c r="AO52" s="64"/>
      <c r="AP52" s="64"/>
      <c r="AQ52" s="65"/>
      <c r="CL52" s="83"/>
      <c r="CM52" s="83"/>
      <c r="CN52" s="83"/>
      <c r="CO52" s="83"/>
      <c r="CP52" s="83"/>
      <c r="CQ52" s="83"/>
      <c r="CR52" s="83"/>
      <c r="CS52" s="83"/>
    </row>
    <row r="53" spans="2:98" ht="24" thickBot="1" x14ac:dyDescent="0.4">
      <c r="B53" s="78"/>
      <c r="C53" s="119"/>
      <c r="D53" s="117"/>
      <c r="E53" s="114"/>
      <c r="F53" s="114"/>
      <c r="G53" s="131"/>
      <c r="H53" s="117"/>
      <c r="I53" s="115"/>
      <c r="J53" s="71"/>
      <c r="K53" s="71"/>
      <c r="L53" s="75"/>
      <c r="N53" s="103">
        <v>10.029999999999999</v>
      </c>
      <c r="O53" s="162">
        <f t="shared" si="110"/>
        <v>42</v>
      </c>
      <c r="P53" s="158">
        <v>8</v>
      </c>
      <c r="Q53" s="336">
        <v>17.809999999999999</v>
      </c>
      <c r="R53" s="153">
        <v>24.51</v>
      </c>
      <c r="S53" s="153">
        <v>34.54</v>
      </c>
      <c r="T53" s="153">
        <v>44.58</v>
      </c>
      <c r="U53" s="153">
        <f t="shared" si="109"/>
        <v>54.61</v>
      </c>
      <c r="V53" s="153">
        <f t="shared" si="109"/>
        <v>64.64</v>
      </c>
      <c r="W53" s="153">
        <f t="shared" si="109"/>
        <v>74.67</v>
      </c>
      <c r="X53" s="153">
        <f t="shared" si="109"/>
        <v>84.7</v>
      </c>
      <c r="Y53" s="153">
        <f t="shared" si="109"/>
        <v>94.73</v>
      </c>
      <c r="Z53" s="153">
        <f t="shared" si="109"/>
        <v>104.76</v>
      </c>
      <c r="AA53" s="153">
        <f t="shared" si="109"/>
        <v>114.79</v>
      </c>
      <c r="AB53" s="153">
        <v>124.88</v>
      </c>
      <c r="AC53" s="306"/>
      <c r="AD53" s="306"/>
      <c r="AE53" s="306"/>
      <c r="AF53" s="306"/>
      <c r="AG53" s="306"/>
      <c r="AH53" s="306"/>
      <c r="AI53" s="306"/>
      <c r="AJ53" s="306"/>
      <c r="AK53" s="64"/>
      <c r="AL53" s="64"/>
      <c r="AM53" s="64" t="s">
        <v>157</v>
      </c>
      <c r="AN53" s="64" t="e">
        <f>IF(AN48&gt;=72,1,0)</f>
        <v>#VALUE!</v>
      </c>
      <c r="AO53" s="64"/>
      <c r="AP53" s="64"/>
      <c r="AQ53" s="65"/>
      <c r="AS53" s="495"/>
      <c r="AT53" s="496"/>
      <c r="CL53" s="83"/>
      <c r="CM53" s="83"/>
      <c r="CN53" s="83"/>
      <c r="CO53" s="83"/>
      <c r="CP53" s="83"/>
      <c r="CQ53" s="83"/>
      <c r="CR53" s="83"/>
      <c r="CS53" s="83"/>
    </row>
    <row r="54" spans="2:98" ht="15.75" thickBot="1" x14ac:dyDescent="0.3">
      <c r="B54" s="78"/>
      <c r="C54" s="71"/>
      <c r="D54" s="71"/>
      <c r="E54" s="71"/>
      <c r="F54" s="71"/>
      <c r="G54" s="71"/>
      <c r="H54" s="71"/>
      <c r="I54" s="71"/>
      <c r="J54" s="71"/>
      <c r="K54" s="71"/>
      <c r="L54" s="75"/>
      <c r="N54" s="103">
        <v>11.38</v>
      </c>
      <c r="O54" s="162">
        <f t="shared" si="110"/>
        <v>48</v>
      </c>
      <c r="P54" s="65">
        <v>9</v>
      </c>
      <c r="Q54" s="336">
        <v>20.2</v>
      </c>
      <c r="R54" s="153">
        <v>27.78</v>
      </c>
      <c r="S54" s="153">
        <v>39.159999999999997</v>
      </c>
      <c r="T54" s="153">
        <v>50.54</v>
      </c>
      <c r="U54" s="153">
        <f t="shared" si="109"/>
        <v>61.92</v>
      </c>
      <c r="V54" s="153">
        <f t="shared" si="109"/>
        <v>73.3</v>
      </c>
      <c r="W54" s="153">
        <f t="shared" si="109"/>
        <v>84.679999999999993</v>
      </c>
      <c r="X54" s="153">
        <f t="shared" si="109"/>
        <v>96.059999999999988</v>
      </c>
      <c r="Y54" s="153">
        <f t="shared" si="109"/>
        <v>107.43999999999998</v>
      </c>
      <c r="Z54" s="153">
        <f t="shared" si="109"/>
        <v>118.81999999999998</v>
      </c>
      <c r="AA54" s="153">
        <f t="shared" si="109"/>
        <v>130.19999999999999</v>
      </c>
      <c r="AB54" s="153">
        <f t="shared" ref="AB54:AB65" si="111">AA54+$N54</f>
        <v>141.57999999999998</v>
      </c>
      <c r="AC54" s="306"/>
      <c r="AD54" s="306"/>
      <c r="AE54" s="306"/>
      <c r="AF54" s="306"/>
      <c r="AG54" s="306"/>
      <c r="AH54" s="306"/>
      <c r="AI54" s="306"/>
      <c r="AJ54" s="306"/>
      <c r="AK54" s="64"/>
      <c r="AL54" s="64"/>
      <c r="AM54" s="64" t="s">
        <v>158</v>
      </c>
      <c r="AN54" s="64" t="e">
        <f>AN53*(1.5+((AL50-12))*0.103)</f>
        <v>#VALUE!</v>
      </c>
      <c r="AO54" s="64"/>
      <c r="AP54" s="64"/>
      <c r="AQ54" s="65"/>
      <c r="CL54" s="83"/>
      <c r="CM54" s="83"/>
      <c r="CN54" s="83"/>
      <c r="CO54" s="83"/>
      <c r="CP54" s="83"/>
      <c r="CQ54" s="83"/>
      <c r="CR54" s="83"/>
      <c r="CS54" s="83"/>
    </row>
    <row r="55" spans="2:98" ht="21.75" thickBot="1" x14ac:dyDescent="0.4">
      <c r="B55" s="229" t="s">
        <v>71</v>
      </c>
      <c r="C55" s="71"/>
      <c r="E55" s="71"/>
      <c r="F55" s="71"/>
      <c r="G55" s="71"/>
      <c r="H55" s="71"/>
      <c r="I55" s="71"/>
      <c r="J55" s="71"/>
      <c r="K55" s="71"/>
      <c r="L55" s="75"/>
      <c r="N55" s="103">
        <v>12.72</v>
      </c>
      <c r="O55" s="162">
        <f t="shared" si="110"/>
        <v>54</v>
      </c>
      <c r="P55" s="158">
        <v>10</v>
      </c>
      <c r="Q55" s="336">
        <v>22.58</v>
      </c>
      <c r="R55" s="153">
        <v>31.06</v>
      </c>
      <c r="S55" s="153">
        <v>43.78</v>
      </c>
      <c r="T55" s="153">
        <v>56.5</v>
      </c>
      <c r="U55" s="153">
        <f t="shared" si="109"/>
        <v>69.22</v>
      </c>
      <c r="V55" s="153">
        <f t="shared" si="109"/>
        <v>81.94</v>
      </c>
      <c r="W55" s="153">
        <f t="shared" si="109"/>
        <v>94.66</v>
      </c>
      <c r="X55" s="153">
        <f t="shared" si="109"/>
        <v>107.38</v>
      </c>
      <c r="Y55" s="153">
        <f t="shared" si="109"/>
        <v>120.1</v>
      </c>
      <c r="Z55" s="153">
        <f t="shared" si="109"/>
        <v>132.82</v>
      </c>
      <c r="AA55" s="153">
        <f t="shared" si="109"/>
        <v>145.54</v>
      </c>
      <c r="AB55" s="153">
        <f t="shared" si="111"/>
        <v>158.26</v>
      </c>
      <c r="AC55" s="306"/>
      <c r="AD55" s="306"/>
      <c r="AE55" s="306"/>
      <c r="AF55" s="306"/>
      <c r="AG55" s="306"/>
      <c r="AH55" s="306"/>
      <c r="AI55" s="306"/>
      <c r="AJ55" s="306"/>
      <c r="AK55" s="64"/>
      <c r="AL55" s="64"/>
      <c r="AM55" s="64"/>
      <c r="AN55" s="64"/>
      <c r="AO55" s="64"/>
      <c r="AP55" s="64"/>
      <c r="AQ55" s="65"/>
      <c r="CL55" s="83"/>
      <c r="CM55" s="83"/>
      <c r="CN55" s="83"/>
      <c r="CO55" s="83"/>
      <c r="CP55" s="83"/>
      <c r="CQ55" s="83"/>
      <c r="CR55" s="83"/>
      <c r="CS55" s="83"/>
    </row>
    <row r="56" spans="2:98" ht="16.5" thickBot="1" x14ac:dyDescent="0.3">
      <c r="B56" s="78"/>
      <c r="C56" s="71"/>
      <c r="D56" s="109"/>
      <c r="E56" s="109" t="e">
        <f>D51</f>
        <v>#VALUE!</v>
      </c>
      <c r="F56" s="132" t="e">
        <f>C45</f>
        <v>#VALUE!</v>
      </c>
      <c r="G56" s="109" t="e">
        <f>E51</f>
        <v>#VALUE!</v>
      </c>
      <c r="H56" s="71"/>
      <c r="I56" s="71"/>
      <c r="J56" s="71"/>
      <c r="K56" s="71"/>
      <c r="L56" s="75"/>
      <c r="N56" s="103">
        <v>14.06</v>
      </c>
      <c r="O56" s="162">
        <f t="shared" si="110"/>
        <v>60</v>
      </c>
      <c r="P56" s="65">
        <v>11</v>
      </c>
      <c r="Q56" s="336">
        <v>24.96</v>
      </c>
      <c r="R56" s="153">
        <v>34.340000000000003</v>
      </c>
      <c r="S56" s="153">
        <v>48.4</v>
      </c>
      <c r="T56" s="153">
        <v>62.47</v>
      </c>
      <c r="U56" s="153">
        <f t="shared" si="109"/>
        <v>76.53</v>
      </c>
      <c r="V56" s="153">
        <f t="shared" si="109"/>
        <v>90.59</v>
      </c>
      <c r="W56" s="153">
        <f t="shared" si="109"/>
        <v>104.65</v>
      </c>
      <c r="X56" s="153">
        <f t="shared" si="109"/>
        <v>118.71000000000001</v>
      </c>
      <c r="Y56" s="153">
        <f t="shared" si="109"/>
        <v>132.77000000000001</v>
      </c>
      <c r="Z56" s="153">
        <f t="shared" si="109"/>
        <v>146.83000000000001</v>
      </c>
      <c r="AA56" s="153">
        <f t="shared" si="109"/>
        <v>160.89000000000001</v>
      </c>
      <c r="AB56" s="153">
        <f t="shared" si="111"/>
        <v>174.95000000000002</v>
      </c>
      <c r="AC56" s="306"/>
      <c r="AD56" s="306"/>
      <c r="AE56" s="306"/>
      <c r="AF56" s="306"/>
      <c r="AG56" s="306"/>
      <c r="AH56" s="306"/>
      <c r="AI56" s="306"/>
      <c r="AJ56" s="306"/>
      <c r="AK56" s="64"/>
      <c r="AL56" s="64"/>
      <c r="AM56" s="64"/>
      <c r="AN56" s="64"/>
      <c r="AO56" s="64"/>
      <c r="AP56" s="64"/>
      <c r="AQ56" s="65"/>
      <c r="CL56" s="83"/>
      <c r="CM56" s="83"/>
      <c r="CN56" s="83"/>
      <c r="CO56" s="83"/>
      <c r="CP56" s="83"/>
      <c r="CQ56" s="83"/>
      <c r="CR56" s="83"/>
      <c r="CS56" s="83"/>
    </row>
    <row r="57" spans="2:98"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03">
        <v>15.42</v>
      </c>
      <c r="O57" s="162">
        <f t="shared" si="110"/>
        <v>66</v>
      </c>
      <c r="P57" s="158">
        <v>12</v>
      </c>
      <c r="Q57" s="336">
        <v>27.34</v>
      </c>
      <c r="R57" s="153">
        <v>37.61</v>
      </c>
      <c r="S57" s="153">
        <v>53.02</v>
      </c>
      <c r="T57" s="153">
        <v>68.430000000000007</v>
      </c>
      <c r="U57" s="153">
        <f t="shared" si="109"/>
        <v>83.850000000000009</v>
      </c>
      <c r="V57" s="153">
        <f t="shared" si="109"/>
        <v>99.27000000000001</v>
      </c>
      <c r="W57" s="153">
        <f t="shared" si="109"/>
        <v>114.69000000000001</v>
      </c>
      <c r="X57" s="153">
        <f t="shared" si="109"/>
        <v>130.11000000000001</v>
      </c>
      <c r="Y57" s="153">
        <f t="shared" si="109"/>
        <v>145.53</v>
      </c>
      <c r="Z57" s="153">
        <f t="shared" si="109"/>
        <v>160.94999999999999</v>
      </c>
      <c r="AA57" s="153">
        <f t="shared" si="109"/>
        <v>176.36999999999998</v>
      </c>
      <c r="AB57" s="153">
        <f t="shared" si="111"/>
        <v>191.78999999999996</v>
      </c>
      <c r="AC57" s="306"/>
      <c r="AD57" s="306"/>
      <c r="AE57" s="306"/>
      <c r="AF57" s="306"/>
      <c r="AG57" s="306"/>
      <c r="AH57" s="306"/>
      <c r="AI57" s="306"/>
      <c r="AJ57" s="306"/>
      <c r="AK57" s="64"/>
      <c r="AL57" s="64"/>
      <c r="AM57" s="270" t="s">
        <v>212</v>
      </c>
      <c r="AN57" s="64"/>
      <c r="AO57" s="153" t="e">
        <f>(AN50+AN54)</f>
        <v>#VALUE!</v>
      </c>
      <c r="AP57" s="64" t="s">
        <v>86</v>
      </c>
      <c r="AQ57" s="65"/>
      <c r="CL57" s="83"/>
      <c r="CM57" s="83"/>
      <c r="CN57" s="83"/>
      <c r="CO57" s="83"/>
      <c r="CP57" s="83"/>
      <c r="CQ57" s="83"/>
      <c r="CR57" s="83"/>
      <c r="CS57" s="83"/>
    </row>
    <row r="58" spans="2:98"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16.75</v>
      </c>
      <c r="O58" s="162">
        <f t="shared" si="110"/>
        <v>72</v>
      </c>
      <c r="P58" s="65">
        <v>13</v>
      </c>
      <c r="Q58" s="336">
        <v>29.72</v>
      </c>
      <c r="R58" s="153">
        <v>40.89</v>
      </c>
      <c r="S58" s="153">
        <v>57.64</v>
      </c>
      <c r="T58" s="153">
        <v>74.39</v>
      </c>
      <c r="U58" s="153">
        <f t="shared" si="109"/>
        <v>91.14</v>
      </c>
      <c r="V58" s="153">
        <f t="shared" si="109"/>
        <v>107.89</v>
      </c>
      <c r="W58" s="153">
        <f t="shared" si="109"/>
        <v>124.64</v>
      </c>
      <c r="X58" s="153">
        <f t="shared" si="109"/>
        <v>141.38999999999999</v>
      </c>
      <c r="Y58" s="153">
        <f t="shared" si="109"/>
        <v>158.13999999999999</v>
      </c>
      <c r="Z58" s="153">
        <f t="shared" si="109"/>
        <v>174.89</v>
      </c>
      <c r="AA58" s="153">
        <f t="shared" si="109"/>
        <v>191.64</v>
      </c>
      <c r="AB58" s="153">
        <f t="shared" si="111"/>
        <v>208.39</v>
      </c>
      <c r="AC58" s="306"/>
      <c r="AD58" s="306"/>
      <c r="AE58" s="306"/>
      <c r="AF58" s="306"/>
      <c r="AG58" s="306"/>
      <c r="AH58" s="306"/>
      <c r="AI58" s="306"/>
      <c r="AJ58" s="306"/>
      <c r="AK58" s="64"/>
      <c r="AL58" s="64"/>
      <c r="AM58" s="270" t="s">
        <v>213</v>
      </c>
      <c r="AN58" s="64"/>
      <c r="AO58" s="64" t="e">
        <f>AO57*C11</f>
        <v>#VALUE!</v>
      </c>
      <c r="AP58" s="64" t="s">
        <v>86</v>
      </c>
      <c r="AQ58" s="65"/>
      <c r="CL58" s="83"/>
      <c r="CM58" s="83"/>
      <c r="CN58" s="83"/>
      <c r="CO58" s="83"/>
      <c r="CP58" s="83"/>
      <c r="CQ58" s="83"/>
      <c r="CR58" s="83"/>
      <c r="CS58" s="83"/>
    </row>
    <row r="59" spans="2:98"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03">
        <v>18.09</v>
      </c>
      <c r="O59" s="162">
        <f t="shared" si="110"/>
        <v>78</v>
      </c>
      <c r="P59" s="158">
        <v>14</v>
      </c>
      <c r="Q59" s="336">
        <v>32.11</v>
      </c>
      <c r="R59" s="153">
        <v>44.17</v>
      </c>
      <c r="S59" s="153">
        <v>62.26</v>
      </c>
      <c r="T59" s="153">
        <v>80.349999999999994</v>
      </c>
      <c r="U59" s="153">
        <f t="shared" ref="U59:AA66" si="112">T59+$N59</f>
        <v>98.44</v>
      </c>
      <c r="V59" s="153">
        <f t="shared" si="112"/>
        <v>116.53</v>
      </c>
      <c r="W59" s="153">
        <f t="shared" si="112"/>
        <v>134.62</v>
      </c>
      <c r="X59" s="153">
        <f t="shared" si="112"/>
        <v>152.71</v>
      </c>
      <c r="Y59" s="153">
        <f t="shared" si="112"/>
        <v>170.8</v>
      </c>
      <c r="Z59" s="153">
        <f t="shared" si="112"/>
        <v>188.89000000000001</v>
      </c>
      <c r="AA59" s="153">
        <f t="shared" si="112"/>
        <v>206.98000000000002</v>
      </c>
      <c r="AB59" s="153">
        <f t="shared" si="111"/>
        <v>225.07000000000002</v>
      </c>
      <c r="AC59" s="306"/>
      <c r="AD59" s="306"/>
      <c r="AE59" s="306"/>
      <c r="AF59" s="306"/>
      <c r="AG59" s="306"/>
      <c r="AH59" s="306"/>
      <c r="AI59" s="306"/>
      <c r="AJ59" s="306"/>
      <c r="AK59" s="64"/>
      <c r="AL59" s="64"/>
      <c r="AM59" s="64"/>
      <c r="AN59" s="64"/>
      <c r="AO59" s="64"/>
      <c r="AP59" s="64"/>
      <c r="AQ59" s="65"/>
      <c r="CL59" s="83"/>
      <c r="CM59" s="83"/>
      <c r="CN59" s="83"/>
      <c r="CO59" s="83"/>
      <c r="CP59" s="83"/>
      <c r="CQ59" s="83"/>
      <c r="CR59" s="83"/>
      <c r="CS59" s="83"/>
      <c r="CT59" s="83"/>
    </row>
    <row r="60" spans="2:98" ht="15.75" thickBot="1" x14ac:dyDescent="0.3">
      <c r="B60" s="78"/>
      <c r="C60" s="71"/>
      <c r="D60" s="71"/>
      <c r="E60" s="71"/>
      <c r="F60" s="71"/>
      <c r="G60" s="71"/>
      <c r="H60" s="71"/>
      <c r="I60" s="71"/>
      <c r="J60" s="71"/>
      <c r="K60" s="71"/>
      <c r="L60" s="75"/>
      <c r="N60" s="103">
        <v>19.440000000000001</v>
      </c>
      <c r="O60" s="162">
        <f t="shared" si="110"/>
        <v>84</v>
      </c>
      <c r="P60" s="65">
        <v>15</v>
      </c>
      <c r="Q60" s="336">
        <v>34.49</v>
      </c>
      <c r="R60" s="153">
        <v>47.44</v>
      </c>
      <c r="S60" s="153">
        <v>66.88</v>
      </c>
      <c r="T60" s="153">
        <v>86.31</v>
      </c>
      <c r="U60" s="153">
        <f t="shared" si="112"/>
        <v>105.75</v>
      </c>
      <c r="V60" s="153">
        <f t="shared" si="112"/>
        <v>125.19</v>
      </c>
      <c r="W60" s="153">
        <f t="shared" si="112"/>
        <v>144.63</v>
      </c>
      <c r="X60" s="153">
        <f t="shared" si="112"/>
        <v>164.07</v>
      </c>
      <c r="Y60" s="153">
        <f t="shared" si="112"/>
        <v>183.51</v>
      </c>
      <c r="Z60" s="153">
        <f t="shared" si="112"/>
        <v>202.95</v>
      </c>
      <c r="AA60" s="153">
        <f t="shared" si="112"/>
        <v>222.39</v>
      </c>
      <c r="AB60" s="153">
        <f t="shared" si="111"/>
        <v>241.82999999999998</v>
      </c>
      <c r="AC60" s="306"/>
      <c r="AD60" s="306"/>
      <c r="AE60" s="306"/>
      <c r="AF60" s="306"/>
      <c r="AG60" s="306"/>
      <c r="AH60" s="306"/>
      <c r="AI60" s="306"/>
      <c r="AJ60" s="306"/>
      <c r="AK60" s="64"/>
      <c r="AL60" s="64"/>
      <c r="AM60" s="64"/>
      <c r="AN60" s="64"/>
      <c r="AO60" s="64"/>
      <c r="AP60" s="64"/>
      <c r="AQ60" s="97"/>
      <c r="BZ60" s="83"/>
      <c r="CA60" s="83"/>
      <c r="CJ60" s="83"/>
      <c r="CK60" s="83"/>
      <c r="CL60" s="83"/>
      <c r="CM60" s="83"/>
      <c r="CN60" s="83"/>
      <c r="CO60" s="83"/>
      <c r="CP60" s="83"/>
      <c r="CQ60" s="83"/>
      <c r="CR60" s="83"/>
      <c r="CS60" s="83"/>
      <c r="CT60" s="83"/>
    </row>
    <row r="61" spans="2:98" ht="15.75" thickBot="1" x14ac:dyDescent="0.3">
      <c r="B61" s="78"/>
      <c r="C61" s="71"/>
      <c r="D61" s="71"/>
      <c r="E61" s="71"/>
      <c r="F61" s="71"/>
      <c r="G61" s="71"/>
      <c r="H61" s="71"/>
      <c r="I61" s="71"/>
      <c r="J61" s="71"/>
      <c r="K61" s="71"/>
      <c r="L61" s="75"/>
      <c r="N61" s="103">
        <v>20.78</v>
      </c>
      <c r="O61" s="162">
        <f t="shared" si="110"/>
        <v>90</v>
      </c>
      <c r="P61" s="158">
        <v>16</v>
      </c>
      <c r="Q61" s="336">
        <v>36.869999999999997</v>
      </c>
      <c r="R61" s="153">
        <v>50.72</v>
      </c>
      <c r="S61" s="153">
        <v>71.5</v>
      </c>
      <c r="T61" s="153">
        <v>92.27</v>
      </c>
      <c r="U61" s="153">
        <f t="shared" si="112"/>
        <v>113.05</v>
      </c>
      <c r="V61" s="153">
        <f t="shared" si="112"/>
        <v>133.82999999999998</v>
      </c>
      <c r="W61" s="153">
        <f t="shared" si="112"/>
        <v>154.60999999999999</v>
      </c>
      <c r="X61" s="153">
        <f t="shared" si="112"/>
        <v>175.39</v>
      </c>
      <c r="Y61" s="153">
        <f t="shared" si="112"/>
        <v>196.17</v>
      </c>
      <c r="Z61" s="153">
        <f t="shared" si="112"/>
        <v>216.95</v>
      </c>
      <c r="AA61" s="153">
        <f t="shared" si="112"/>
        <v>237.73</v>
      </c>
      <c r="AB61" s="153">
        <f t="shared" si="111"/>
        <v>258.51</v>
      </c>
      <c r="AC61" s="306"/>
      <c r="AD61" s="306"/>
      <c r="AE61" s="306"/>
      <c r="AF61" s="306"/>
      <c r="AG61" s="306"/>
      <c r="AH61" s="306"/>
      <c r="AI61" s="306"/>
      <c r="AJ61" s="306"/>
      <c r="AK61" s="64"/>
      <c r="AL61" s="64"/>
      <c r="AM61" s="64"/>
      <c r="AN61" s="64"/>
      <c r="AO61" s="64"/>
      <c r="AP61" s="64"/>
      <c r="AQ61" s="97"/>
      <c r="BG61" s="83"/>
      <c r="BZ61" s="83"/>
      <c r="CA61" s="83"/>
      <c r="CJ61" s="83"/>
      <c r="CK61" s="83"/>
      <c r="CL61" s="83"/>
      <c r="CM61" s="83"/>
      <c r="CN61" s="83"/>
      <c r="CO61" s="83"/>
      <c r="CP61" s="83"/>
      <c r="CQ61" s="83"/>
      <c r="CR61" s="83"/>
      <c r="CS61" s="83"/>
      <c r="CT61" s="83"/>
    </row>
    <row r="62" spans="2:98" ht="15.75" thickBot="1" x14ac:dyDescent="0.3">
      <c r="B62" s="78"/>
      <c r="C62" s="71"/>
      <c r="D62" s="71"/>
      <c r="E62" s="71"/>
      <c r="F62" s="71"/>
      <c r="G62" s="71"/>
      <c r="H62" s="71"/>
      <c r="I62" s="71"/>
      <c r="J62" s="71"/>
      <c r="K62" s="71"/>
      <c r="L62" s="75"/>
      <c r="N62" s="103">
        <v>22.12</v>
      </c>
      <c r="O62" s="162">
        <f t="shared" si="110"/>
        <v>96</v>
      </c>
      <c r="P62" s="65">
        <v>17</v>
      </c>
      <c r="Q62" s="336">
        <v>39.25</v>
      </c>
      <c r="R62" s="153">
        <v>54</v>
      </c>
      <c r="S62" s="153">
        <v>76.12</v>
      </c>
      <c r="T62" s="153">
        <v>98.24</v>
      </c>
      <c r="U62" s="153">
        <f t="shared" si="112"/>
        <v>120.36</v>
      </c>
      <c r="V62" s="153">
        <f t="shared" si="112"/>
        <v>142.47999999999999</v>
      </c>
      <c r="W62" s="153">
        <f t="shared" si="112"/>
        <v>164.6</v>
      </c>
      <c r="X62" s="153">
        <f t="shared" si="112"/>
        <v>186.72</v>
      </c>
      <c r="Y62" s="153">
        <f t="shared" si="112"/>
        <v>208.84</v>
      </c>
      <c r="Z62" s="153">
        <f t="shared" si="112"/>
        <v>230.96</v>
      </c>
      <c r="AA62" s="153">
        <f t="shared" si="112"/>
        <v>253.08</v>
      </c>
      <c r="AB62" s="153">
        <f t="shared" si="111"/>
        <v>275.2</v>
      </c>
      <c r="AC62" s="306"/>
      <c r="AD62" s="306"/>
      <c r="AE62" s="306"/>
      <c r="AF62" s="306"/>
      <c r="AG62" s="306"/>
      <c r="AH62" s="306"/>
      <c r="AI62" s="306"/>
      <c r="AJ62" s="306"/>
      <c r="AK62" s="64"/>
      <c r="AL62" s="64"/>
      <c r="AM62" s="64"/>
      <c r="AN62" s="64"/>
      <c r="AO62" s="64"/>
      <c r="AP62" s="64"/>
      <c r="AQ62" s="97"/>
      <c r="BG62" s="83"/>
      <c r="BZ62" s="83"/>
      <c r="CA62" s="83"/>
      <c r="CJ62" s="83"/>
      <c r="CK62" s="83"/>
      <c r="CL62" s="83"/>
      <c r="CM62" s="83"/>
      <c r="CN62" s="83"/>
      <c r="CO62" s="83"/>
      <c r="CP62" s="83"/>
      <c r="CQ62" s="83"/>
      <c r="CR62" s="83"/>
      <c r="CS62" s="83"/>
      <c r="CT62" s="83"/>
    </row>
    <row r="63" spans="2:98" ht="21.75" thickBot="1" x14ac:dyDescent="0.4">
      <c r="B63" s="229" t="s">
        <v>80</v>
      </c>
      <c r="C63" s="71"/>
      <c r="D63" s="71"/>
      <c r="E63" s="71"/>
      <c r="F63" s="71"/>
      <c r="G63" s="71"/>
      <c r="H63" s="71"/>
      <c r="I63" s="71"/>
      <c r="J63" s="71"/>
      <c r="K63" s="71"/>
      <c r="L63" s="75"/>
      <c r="N63" s="103">
        <v>23.46</v>
      </c>
      <c r="O63" s="162">
        <f t="shared" si="110"/>
        <v>102</v>
      </c>
      <c r="P63" s="158">
        <v>18</v>
      </c>
      <c r="Q63" s="336">
        <v>41.63</v>
      </c>
      <c r="R63" s="153">
        <v>57.28</v>
      </c>
      <c r="S63" s="153">
        <v>80.739999999999995</v>
      </c>
      <c r="T63" s="153">
        <v>104.2</v>
      </c>
      <c r="U63" s="153">
        <f t="shared" si="112"/>
        <v>127.66</v>
      </c>
      <c r="V63" s="153">
        <f t="shared" si="112"/>
        <v>151.12</v>
      </c>
      <c r="W63" s="153">
        <f t="shared" si="112"/>
        <v>174.58</v>
      </c>
      <c r="X63" s="153">
        <f t="shared" si="112"/>
        <v>198.04000000000002</v>
      </c>
      <c r="Y63" s="153">
        <f t="shared" si="112"/>
        <v>221.50000000000003</v>
      </c>
      <c r="Z63" s="153">
        <f t="shared" si="112"/>
        <v>244.96000000000004</v>
      </c>
      <c r="AA63" s="153">
        <f t="shared" si="112"/>
        <v>268.42</v>
      </c>
      <c r="AB63" s="153">
        <f t="shared" si="111"/>
        <v>291.88</v>
      </c>
      <c r="AC63" s="306"/>
      <c r="AD63" s="306"/>
      <c r="AE63" s="306"/>
      <c r="AF63" s="306"/>
      <c r="AG63" s="306"/>
      <c r="AH63" s="306"/>
      <c r="AI63" s="306"/>
      <c r="AJ63" s="306"/>
      <c r="AK63" s="64"/>
      <c r="AL63" s="64"/>
      <c r="AM63" s="64"/>
      <c r="AN63" s="64"/>
      <c r="AO63" s="64"/>
      <c r="AP63" s="64"/>
      <c r="AQ63" s="97"/>
      <c r="BG63" s="83"/>
      <c r="BZ63" s="83"/>
      <c r="CA63" s="83"/>
      <c r="CJ63" s="83"/>
      <c r="CK63" s="83"/>
      <c r="CL63" s="83"/>
      <c r="CM63" s="83"/>
      <c r="CN63" s="83"/>
      <c r="CO63" s="83"/>
      <c r="CP63" s="83"/>
      <c r="CQ63" s="83"/>
      <c r="CR63" s="83"/>
      <c r="CS63" s="83"/>
      <c r="CT63" s="83"/>
    </row>
    <row r="64" spans="2:98" ht="19.5" thickBot="1" x14ac:dyDescent="0.35">
      <c r="B64" s="230" t="s">
        <v>46</v>
      </c>
      <c r="C64" s="71"/>
      <c r="D64" s="141" t="e">
        <f>F58*(D3*D4)/144</f>
        <v>#VALUE!</v>
      </c>
      <c r="E64" s="256" t="s">
        <v>45</v>
      </c>
      <c r="F64" s="71"/>
      <c r="G64" s="71"/>
      <c r="H64" s="71"/>
      <c r="I64" s="71"/>
      <c r="J64" s="71"/>
      <c r="K64" s="71"/>
      <c r="L64" s="75"/>
      <c r="N64" s="103">
        <v>24.8</v>
      </c>
      <c r="O64" s="162">
        <f t="shared" si="110"/>
        <v>108</v>
      </c>
      <c r="P64" s="65">
        <v>19</v>
      </c>
      <c r="Q64" s="336">
        <v>44.02</v>
      </c>
      <c r="R64" s="153">
        <v>60.55</v>
      </c>
      <c r="S64" s="153">
        <v>85.36</v>
      </c>
      <c r="T64" s="153">
        <v>110.16</v>
      </c>
      <c r="U64" s="153">
        <f t="shared" si="112"/>
        <v>134.96</v>
      </c>
      <c r="V64" s="153">
        <f t="shared" si="112"/>
        <v>159.76000000000002</v>
      </c>
      <c r="W64" s="153">
        <f t="shared" si="112"/>
        <v>184.56000000000003</v>
      </c>
      <c r="X64" s="153">
        <f t="shared" si="112"/>
        <v>209.36000000000004</v>
      </c>
      <c r="Y64" s="153">
        <f t="shared" si="112"/>
        <v>234.16000000000005</v>
      </c>
      <c r="Z64" s="153">
        <f t="shared" si="112"/>
        <v>258.96000000000004</v>
      </c>
      <c r="AA64" s="153">
        <f t="shared" si="112"/>
        <v>283.76000000000005</v>
      </c>
      <c r="AB64" s="153">
        <f t="shared" si="111"/>
        <v>308.56000000000006</v>
      </c>
      <c r="AC64" s="306"/>
      <c r="AD64" s="306"/>
      <c r="AE64" s="306"/>
      <c r="AF64" s="306"/>
      <c r="AG64" s="306"/>
      <c r="AH64" s="306"/>
      <c r="AI64" s="306"/>
      <c r="AJ64" s="306"/>
      <c r="AK64" s="64"/>
      <c r="AL64" s="64"/>
      <c r="AM64" s="64"/>
      <c r="AN64" s="64"/>
      <c r="AO64" s="64"/>
      <c r="AP64" s="64"/>
      <c r="AQ64" s="97"/>
      <c r="BG64" s="83"/>
      <c r="BZ64" s="83"/>
      <c r="CA64" s="83"/>
      <c r="CJ64" s="83"/>
      <c r="CK64" s="83"/>
      <c r="CL64" s="83"/>
      <c r="CM64" s="83"/>
      <c r="CN64" s="83"/>
      <c r="CO64" s="83"/>
      <c r="CP64" s="83"/>
      <c r="CQ64" s="83"/>
      <c r="CR64" s="83"/>
      <c r="CS64" s="83"/>
      <c r="CT64" s="83"/>
    </row>
    <row r="65" spans="2:98" ht="19.5" thickBot="1" x14ac:dyDescent="0.35">
      <c r="B65" s="230" t="s">
        <v>47</v>
      </c>
      <c r="C65" s="71"/>
      <c r="D65" s="142" t="e">
        <f>(D3*D4)/144</f>
        <v>#VALUE!</v>
      </c>
      <c r="E65" s="256" t="s">
        <v>45</v>
      </c>
      <c r="F65" s="71"/>
      <c r="G65" s="71"/>
      <c r="H65" s="71"/>
      <c r="I65" s="71"/>
      <c r="J65" s="71"/>
      <c r="K65" s="71"/>
      <c r="L65" s="75"/>
      <c r="N65" s="103">
        <v>26.15</v>
      </c>
      <c r="O65" s="162">
        <f t="shared" si="110"/>
        <v>114</v>
      </c>
      <c r="P65" s="158">
        <v>20</v>
      </c>
      <c r="Q65" s="336">
        <v>46.4</v>
      </c>
      <c r="R65" s="153">
        <v>63.83</v>
      </c>
      <c r="S65" s="153">
        <v>89.98</v>
      </c>
      <c r="T65" s="153">
        <v>116.12</v>
      </c>
      <c r="U65" s="153">
        <f t="shared" si="112"/>
        <v>142.27000000000001</v>
      </c>
      <c r="V65" s="153">
        <f t="shared" si="112"/>
        <v>168.42000000000002</v>
      </c>
      <c r="W65" s="153">
        <f t="shared" si="112"/>
        <v>194.57000000000002</v>
      </c>
      <c r="X65" s="153">
        <f t="shared" si="112"/>
        <v>220.72000000000003</v>
      </c>
      <c r="Y65" s="153">
        <f t="shared" si="112"/>
        <v>246.87000000000003</v>
      </c>
      <c r="Z65" s="153">
        <f t="shared" si="112"/>
        <v>273.02000000000004</v>
      </c>
      <c r="AA65" s="153">
        <f t="shared" si="112"/>
        <v>299.17</v>
      </c>
      <c r="AB65" s="153">
        <f t="shared" si="111"/>
        <v>325.32</v>
      </c>
      <c r="AC65" s="306"/>
      <c r="AD65" s="306"/>
      <c r="AE65" s="306"/>
      <c r="AF65" s="306"/>
      <c r="AG65" s="306"/>
      <c r="AH65" s="306"/>
      <c r="AI65" s="306"/>
      <c r="AJ65" s="306"/>
      <c r="AK65" s="64"/>
      <c r="AL65" s="64"/>
      <c r="AM65" s="64"/>
      <c r="AN65" s="64"/>
      <c r="AO65" s="64"/>
      <c r="AP65" s="64"/>
      <c r="AQ65" s="97"/>
      <c r="BG65" s="83"/>
      <c r="BZ65" s="83"/>
      <c r="CA65" s="83"/>
      <c r="CJ65" s="83"/>
      <c r="CK65" s="83"/>
      <c r="CL65" s="83"/>
      <c r="CM65" s="83"/>
      <c r="CN65" s="83"/>
      <c r="CO65" s="83"/>
      <c r="CP65" s="83"/>
      <c r="CQ65" s="83"/>
      <c r="CR65" s="83"/>
      <c r="CS65" s="83"/>
      <c r="CT65" s="83"/>
    </row>
    <row r="66" spans="2:98" ht="19.5" thickBot="1" x14ac:dyDescent="0.35">
      <c r="B66" s="230" t="s">
        <v>81</v>
      </c>
      <c r="C66" s="71"/>
      <c r="D66" s="138" t="e">
        <f>F58*100</f>
        <v>#VALUE!</v>
      </c>
      <c r="E66" s="256" t="s">
        <v>16</v>
      </c>
      <c r="F66" s="71"/>
      <c r="G66" s="71"/>
      <c r="H66" s="71"/>
      <c r="I66" s="71"/>
      <c r="J66" s="71"/>
      <c r="K66" s="71"/>
      <c r="L66" s="75"/>
      <c r="N66" s="103">
        <v>27.48</v>
      </c>
      <c r="O66" s="162">
        <f t="shared" si="110"/>
        <v>120</v>
      </c>
      <c r="P66" s="65">
        <v>21</v>
      </c>
      <c r="Q66" s="336">
        <v>48.78</v>
      </c>
      <c r="R66" s="153">
        <v>67.11</v>
      </c>
      <c r="S66" s="153">
        <v>94.59</v>
      </c>
      <c r="T66" s="153">
        <v>122.08</v>
      </c>
      <c r="U66" s="153">
        <f t="shared" si="112"/>
        <v>149.56</v>
      </c>
      <c r="V66" s="153">
        <f t="shared" si="112"/>
        <v>177.04</v>
      </c>
      <c r="W66" s="153">
        <f t="shared" si="112"/>
        <v>204.51999999999998</v>
      </c>
      <c r="X66" s="153">
        <f t="shared" si="112"/>
        <v>231.99999999999997</v>
      </c>
      <c r="Y66" s="153">
        <f t="shared" si="112"/>
        <v>259.47999999999996</v>
      </c>
      <c r="Z66" s="153">
        <f t="shared" si="112"/>
        <v>286.95999999999998</v>
      </c>
      <c r="AA66" s="153">
        <f t="shared" si="112"/>
        <v>314.44</v>
      </c>
      <c r="AB66" s="153">
        <v>341.99</v>
      </c>
      <c r="AC66" s="306"/>
      <c r="AD66" s="306"/>
      <c r="AE66" s="306"/>
      <c r="AF66" s="306"/>
      <c r="AG66" s="306"/>
      <c r="AH66" s="306"/>
      <c r="AI66" s="306"/>
      <c r="AJ66" s="306"/>
      <c r="AK66" s="64"/>
      <c r="AL66" s="64"/>
      <c r="AM66" s="64"/>
      <c r="AN66" s="64"/>
      <c r="AO66" s="64"/>
      <c r="AP66" s="64"/>
      <c r="AQ66" s="97"/>
      <c r="BG66" s="83"/>
      <c r="BZ66" s="83"/>
      <c r="CA66" s="83"/>
      <c r="CJ66" s="83"/>
      <c r="CK66" s="83"/>
      <c r="CL66" s="83"/>
      <c r="CM66" s="83"/>
      <c r="CN66" s="83"/>
      <c r="CO66" s="83"/>
      <c r="CP66" s="83"/>
      <c r="CQ66" s="83"/>
      <c r="CR66" s="83"/>
      <c r="CS66" s="83"/>
      <c r="CT66" s="83"/>
    </row>
    <row r="67" spans="2:98" ht="19.5" thickBot="1" x14ac:dyDescent="0.35">
      <c r="B67" s="78"/>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2:98" ht="19.5" thickBot="1" x14ac:dyDescent="0.35">
      <c r="B68" s="231" t="s">
        <v>82</v>
      </c>
      <c r="D68" s="311"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2:98" ht="19.5" thickBot="1" x14ac:dyDescent="0.35">
      <c r="B69" s="232" t="s">
        <v>83</v>
      </c>
      <c r="C69" s="136" t="s">
        <v>9</v>
      </c>
      <c r="D69" s="311" t="e">
        <f>1.84116575014719E-07*D68^2 + 3.279711571769E-18*D68 - 2.96290769696839E-15</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98" ht="18.75" x14ac:dyDescent="0.3">
      <c r="B70" s="233"/>
      <c r="C70" s="136" t="s">
        <v>10</v>
      </c>
      <c r="D70" s="311" t="e">
        <f>1.84116575014719E-07*D68^2 + 3.279711571769E-18*D68 - 2.96290769696839E-15</f>
        <v>#VALUE!</v>
      </c>
      <c r="E70" s="256" t="s">
        <v>99</v>
      </c>
      <c r="F70" s="72"/>
      <c r="G70" s="72"/>
      <c r="H70" s="72"/>
      <c r="I70" s="72"/>
      <c r="J70" s="72"/>
      <c r="K70" s="72"/>
      <c r="L70" s="81"/>
    </row>
    <row r="71" spans="2:98" ht="15.75" thickBot="1" x14ac:dyDescent="0.3">
      <c r="B71" s="79"/>
      <c r="C71" s="76"/>
      <c r="D71" s="76"/>
      <c r="E71" s="76"/>
      <c r="F71" s="76"/>
      <c r="G71" s="76"/>
      <c r="H71" s="76"/>
      <c r="I71" s="76"/>
      <c r="J71" s="76"/>
      <c r="K71" s="76"/>
      <c r="L71" s="77"/>
    </row>
    <row r="72" spans="2:98"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2:98"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2:98" ht="15.75" thickBot="1" x14ac:dyDescent="0.3">
      <c r="N74" s="477"/>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row>
    <row r="75" spans="2:98" ht="15.75" thickBot="1" x14ac:dyDescent="0.3">
      <c r="N75" s="476"/>
      <c r="O75" s="47" t="s">
        <v>185</v>
      </c>
      <c r="P75" s="64">
        <v>1.83E-2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row>
    <row r="76" spans="2:98" ht="16.5" thickBot="1" x14ac:dyDescent="0.3">
      <c r="N76" s="477"/>
      <c r="O76" s="47" t="s">
        <v>195</v>
      </c>
      <c r="P76" s="64"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c r="AL76" s="313"/>
      <c r="AM76" s="313"/>
      <c r="AN76" s="485"/>
      <c r="AO76" s="313"/>
    </row>
    <row r="77" spans="2:98" ht="16.5" thickBot="1" x14ac:dyDescent="0.3">
      <c r="N77" s="48"/>
      <c r="O77" s="47"/>
      <c r="P77" s="47"/>
      <c r="Q77" s="47"/>
      <c r="R77" s="47"/>
      <c r="S77" s="47"/>
      <c r="T77" s="47"/>
      <c r="U77" s="47"/>
      <c r="V77" s="47"/>
      <c r="W77" s="278"/>
      <c r="Y77" s="48"/>
      <c r="Z77" s="47"/>
      <c r="AA77" s="47"/>
      <c r="AB77" s="47"/>
      <c r="AC77" s="47"/>
      <c r="AD77" s="47"/>
      <c r="AE77" s="47"/>
      <c r="AF77" s="47"/>
      <c r="AG77" s="47"/>
      <c r="AH77" s="47"/>
      <c r="AI77" s="47"/>
      <c r="AJ77" s="278"/>
      <c r="AK77" s="83"/>
      <c r="AL77" s="313"/>
      <c r="AM77" s="485"/>
      <c r="AN77" s="485"/>
      <c r="AO77" s="485"/>
    </row>
    <row r="78" spans="2:98" ht="16.5" thickBot="1" x14ac:dyDescent="0.3">
      <c r="N78" s="48"/>
      <c r="O78" s="492" t="s">
        <v>183</v>
      </c>
      <c r="P78" s="153" t="e">
        <f>P76*P75</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c r="AL78" s="486"/>
      <c r="AM78" s="485"/>
      <c r="AN78" s="487"/>
      <c r="AO78" s="485"/>
    </row>
    <row r="79" spans="2:98" ht="15.75"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c r="AL79" s="313"/>
      <c r="AM79" s="485"/>
      <c r="AN79" s="485"/>
      <c r="AO79" s="485"/>
    </row>
    <row r="80" spans="2:98" x14ac:dyDescent="0.25">
      <c r="N80" s="48"/>
      <c r="O80" s="480"/>
      <c r="P80" s="47"/>
      <c r="Q80" s="47"/>
      <c r="R80" s="47"/>
      <c r="S80" s="47"/>
      <c r="T80" s="47"/>
      <c r="U80" s="47"/>
      <c r="V80" s="47"/>
      <c r="W80" s="278"/>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Y82" s="48"/>
      <c r="Z82" s="47"/>
      <c r="AA82" s="47"/>
      <c r="AB82" s="47"/>
      <c r="AC82" s="47"/>
      <c r="AD82" s="47"/>
      <c r="AE82" s="47"/>
      <c r="AF82" s="47"/>
      <c r="AG82" s="47"/>
      <c r="AH82" s="47"/>
      <c r="AI82" s="47"/>
      <c r="AJ82" s="278"/>
      <c r="AM82" s="146"/>
    </row>
    <row r="83" spans="14:43" ht="15.75" thickBot="1" x14ac:dyDescent="0.3">
      <c r="N83" s="48"/>
      <c r="O83" s="47" t="s">
        <v>197</v>
      </c>
      <c r="P83" s="64" t="e">
        <f>(D3*D4)</f>
        <v>#VALUE!</v>
      </c>
      <c r="Q83" s="47" t="s">
        <v>198</v>
      </c>
      <c r="R83" s="64"/>
      <c r="S83" s="47"/>
      <c r="T83" s="47"/>
      <c r="U83" s="47"/>
      <c r="V83" s="47"/>
      <c r="W83" s="278"/>
      <c r="Y83" s="48"/>
      <c r="Z83" s="47"/>
      <c r="AA83" s="47"/>
      <c r="AB83" s="47"/>
      <c r="AC83" s="47"/>
      <c r="AD83" s="47"/>
      <c r="AE83" s="47"/>
      <c r="AF83" s="47"/>
      <c r="AG83" s="47"/>
      <c r="AH83" s="47"/>
      <c r="AI83" s="47"/>
      <c r="AJ83" s="278"/>
      <c r="AM83" s="146"/>
    </row>
    <row r="84" spans="14:43"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c r="AQ88" s="83"/>
    </row>
    <row r="89" spans="14:43" x14ac:dyDescent="0.25">
      <c r="O89" s="481"/>
      <c r="P89" s="482"/>
      <c r="AC89" s="175"/>
      <c r="AD89" s="175"/>
      <c r="AE89" s="175"/>
      <c r="AF89" s="175"/>
      <c r="AG89" s="175"/>
      <c r="AH89" s="175"/>
      <c r="AI89" s="175"/>
      <c r="AJ89" s="175"/>
      <c r="AK89" s="175"/>
      <c r="AQ89" s="83"/>
    </row>
    <row r="90" spans="14:43" x14ac:dyDescent="0.25">
      <c r="O90" s="481"/>
      <c r="P90" s="482"/>
      <c r="AC90" s="175"/>
      <c r="AD90" s="175"/>
      <c r="AE90" s="175"/>
      <c r="AF90" s="175"/>
      <c r="AG90" s="175"/>
      <c r="AH90" s="175"/>
      <c r="AI90" s="175"/>
      <c r="AJ90" s="175"/>
      <c r="AK90" s="175"/>
      <c r="AQ90" s="83"/>
    </row>
    <row r="91" spans="14:43" x14ac:dyDescent="0.25">
      <c r="O91" s="481"/>
      <c r="P91" s="482"/>
      <c r="AC91" s="175"/>
      <c r="AD91" s="175"/>
      <c r="AE91" s="175"/>
      <c r="AF91" s="175"/>
      <c r="AG91" s="175"/>
      <c r="AH91" s="175"/>
      <c r="AI91" s="175"/>
      <c r="AJ91" s="175"/>
      <c r="AK91" s="175"/>
      <c r="AQ91" s="83"/>
    </row>
    <row r="92" spans="14:43" x14ac:dyDescent="0.25">
      <c r="O92" s="481"/>
      <c r="P92" s="482"/>
      <c r="AC92" s="175"/>
      <c r="AD92" s="175"/>
      <c r="AE92" s="175"/>
      <c r="AF92" s="175"/>
      <c r="AG92" s="175"/>
      <c r="AH92" s="175"/>
      <c r="AI92" s="175"/>
      <c r="AJ92" s="175"/>
      <c r="AK92" s="175"/>
      <c r="AQ92" s="83"/>
    </row>
    <row r="93" spans="14:43" ht="18.75" customHeight="1" x14ac:dyDescent="0.25">
      <c r="O93" s="481"/>
      <c r="P93" s="482"/>
      <c r="AC93" s="175"/>
      <c r="AD93" s="175"/>
      <c r="AE93" s="175"/>
      <c r="AF93" s="175"/>
      <c r="AG93" s="175"/>
      <c r="AH93" s="175"/>
      <c r="AI93" s="175"/>
      <c r="AJ93" s="175"/>
      <c r="AK93" s="175"/>
      <c r="AQ93" s="83"/>
    </row>
    <row r="94" spans="14:43" ht="18.75" customHeight="1" x14ac:dyDescent="0.25">
      <c r="O94" s="481"/>
      <c r="P94" s="482"/>
      <c r="AC94" s="175"/>
      <c r="AD94" s="175"/>
      <c r="AE94" s="175"/>
      <c r="AF94" s="175"/>
      <c r="AG94" s="175"/>
      <c r="AH94" s="175"/>
      <c r="AI94" s="175"/>
      <c r="AJ94" s="175"/>
      <c r="AK94" s="175"/>
      <c r="AQ94" s="83"/>
    </row>
    <row r="95" spans="14:43" x14ac:dyDescent="0.25">
      <c r="P95" s="482"/>
    </row>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3" x14ac:dyDescent="0.25">
      <c r="C146" s="179"/>
    </row>
    <row r="147" spans="3:3" x14ac:dyDescent="0.25">
      <c r="C147" s="179"/>
    </row>
    <row r="278" spans="24:25" x14ac:dyDescent="0.25">
      <c r="X278" s="146"/>
      <c r="Y278" s="145"/>
    </row>
  </sheetData>
  <sheetProtection selectLockedCells="1" selectUnlockedCells="1"/>
  <mergeCells count="6">
    <mergeCell ref="D16:W16"/>
    <mergeCell ref="N45:N46"/>
    <mergeCell ref="AT16:IX16"/>
    <mergeCell ref="AU18:AV20"/>
    <mergeCell ref="BH18:IG19"/>
    <mergeCell ref="IQ19:IW19"/>
  </mergeCells>
  <conditionalFormatting sqref="Q48:AB66">
    <cfRule type="colorScale" priority="4">
      <colorScale>
        <cfvo type="min"/>
        <cfvo type="percentile" val="50"/>
        <cfvo type="max"/>
        <color rgb="FF63BE7B"/>
        <color rgb="FFFFEB84"/>
        <color rgb="FFF8696B"/>
      </colorScale>
    </cfRule>
  </conditionalFormatting>
  <conditionalFormatting sqref="Q89:AJ94 X75:X88">
    <cfRule type="colorScale" priority="3">
      <colorScale>
        <cfvo type="min"/>
        <cfvo type="percentile" val="50"/>
        <cfvo type="max"/>
        <color rgb="FF63BE7B"/>
        <color rgb="FFFFEB84"/>
        <color rgb="FFF8696B"/>
      </colorScale>
    </cfRule>
  </conditionalFormatting>
  <conditionalFormatting sqref="Q103:AJ122">
    <cfRule type="colorScale" priority="2">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N278"/>
  <sheetViews>
    <sheetView zoomScale="80" zoomScaleNormal="80" workbookViewId="0">
      <selection activeCell="D28" sqref="D28"/>
    </sheetView>
  </sheetViews>
  <sheetFormatPr defaultRowHeight="15" x14ac:dyDescent="0.25"/>
  <cols>
    <col min="1" max="1" width="12.85546875" customWidth="1"/>
    <col min="2" max="2" width="20.28515625" customWidth="1"/>
    <col min="3" max="3" width="19.7109375" customWidth="1"/>
    <col min="4" max="4" width="14.7109375" customWidth="1"/>
    <col min="5" max="5" width="20.140625" customWidth="1"/>
    <col min="6" max="6" width="13.42578125" customWidth="1"/>
    <col min="7" max="7" width="9.85546875" customWidth="1"/>
    <col min="8" max="8" width="10" customWidth="1"/>
    <col min="9" max="9" width="13.42578125" customWidth="1"/>
    <col min="10" max="10" width="10.28515625" customWidth="1"/>
    <col min="11" max="11" width="15.140625" customWidth="1"/>
    <col min="12" max="12" width="9.140625" customWidth="1"/>
    <col min="13" max="13" width="12.42578125" customWidth="1"/>
    <col min="14" max="14" width="18.7109375" customWidth="1"/>
    <col min="15" max="15" width="16.42578125" customWidth="1"/>
    <col min="16" max="16" width="11.85546875" customWidth="1"/>
    <col min="18" max="21" width="9.140625" customWidth="1"/>
    <col min="22" max="22" width="12.5703125" customWidth="1"/>
    <col min="23" max="25" width="9.140625" customWidth="1"/>
    <col min="28" max="35" width="9.140625" customWidth="1"/>
    <col min="38" max="38" width="13.85546875" customWidth="1"/>
    <col min="39"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6" width="0" hidden="1" customWidth="1"/>
    <col min="107" max="107" width="12.140625" hidden="1" customWidth="1"/>
    <col min="108" max="109" width="9.140625" hidden="1" customWidth="1"/>
    <col min="110" max="111" width="9.140625" customWidth="1"/>
    <col min="112" max="115" width="9.140625" hidden="1" customWidth="1"/>
    <col min="116" max="117" width="0"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4" width="9.140625" hidden="1" customWidth="1"/>
    <col min="195" max="195" width="18.140625" hidden="1" customWidth="1"/>
    <col min="196" max="196" width="15.140625" hidden="1" customWidth="1"/>
    <col min="197" max="197" width="17.85546875" hidden="1" customWidth="1"/>
    <col min="198" max="198" width="29" hidden="1" customWidth="1"/>
    <col min="199" max="199" width="30.28515625" hidden="1" customWidth="1"/>
    <col min="200" max="200" width="35.42578125" hidden="1" customWidth="1"/>
    <col min="201" max="201" width="26.140625" hidden="1" customWidth="1"/>
    <col min="202" max="202" width="22.5703125" hidden="1" customWidth="1"/>
    <col min="203" max="203" width="28" hidden="1" customWidth="1"/>
    <col min="204" max="206" width="0" hidden="1" customWidth="1"/>
    <col min="207" max="207" width="20.28515625" hidden="1" customWidth="1"/>
    <col min="208" max="208" width="36" hidden="1" customWidth="1"/>
    <col min="209" max="209" width="35.42578125" hidden="1" customWidth="1"/>
    <col min="210" max="210" width="33.42578125" hidden="1" customWidth="1"/>
    <col min="211" max="211" width="30.85546875" hidden="1" customWidth="1"/>
    <col min="212" max="214" width="0" hidden="1" customWidth="1"/>
    <col min="215" max="215" width="18.28515625" hidden="1" customWidth="1"/>
    <col min="216" max="239" width="0" hidden="1" customWidth="1"/>
  </cols>
  <sheetData>
    <row r="1" spans="2:248" ht="21.75" thickBot="1" x14ac:dyDescent="0.4">
      <c r="B1" s="315" t="s">
        <v>39</v>
      </c>
      <c r="C1" s="381" t="s">
        <v>58</v>
      </c>
      <c r="D1" s="387"/>
      <c r="E1" s="387"/>
      <c r="F1" s="388"/>
    </row>
    <row r="2" spans="2:248" ht="21" x14ac:dyDescent="0.35">
      <c r="B2" s="382" t="s">
        <v>40</v>
      </c>
      <c r="C2" s="314"/>
      <c r="D2" s="314" t="s">
        <v>73</v>
      </c>
      <c r="E2" s="314"/>
      <c r="F2" s="331"/>
      <c r="H2" s="403" t="s">
        <v>277</v>
      </c>
      <c r="I2" s="387"/>
      <c r="J2" s="388"/>
      <c r="N2" s="315" t="s">
        <v>64</v>
      </c>
      <c r="O2" s="316"/>
      <c r="P2" s="317"/>
      <c r="Q2" s="317"/>
      <c r="R2" s="317"/>
      <c r="S2" s="317"/>
      <c r="T2" s="317"/>
      <c r="U2" s="317"/>
      <c r="V2" s="317"/>
      <c r="W2" s="318"/>
    </row>
    <row r="3" spans="2:248" ht="18.75" x14ac:dyDescent="0.3">
      <c r="B3" s="382" t="s">
        <v>41</v>
      </c>
      <c r="C3" s="314" t="str">
        <f>IF('DATA ENTRY'!B9="mm",'DATA ENTRY'!B10/25.4,'DATA ENTRY'!B10)</f>
        <v>ENTER WIDTH</v>
      </c>
      <c r="D3" s="287" t="e">
        <f>IF('DATA ENTRY'!B12="ACTUAL",'QA645'!C3,'QA645'!C3-0.5)</f>
        <v>#VALUE!</v>
      </c>
      <c r="E3" s="314"/>
      <c r="F3" s="331"/>
      <c r="G3" s="175"/>
      <c r="H3" s="330" t="s">
        <v>278</v>
      </c>
      <c r="J3" s="331" t="e">
        <f>D3*D4/144</f>
        <v>#VALUE!</v>
      </c>
      <c r="N3" s="280"/>
      <c r="O3" s="282"/>
      <c r="P3" s="282"/>
      <c r="Q3" s="282"/>
      <c r="R3" s="282"/>
      <c r="S3" s="282"/>
      <c r="T3" s="282"/>
      <c r="U3" s="282"/>
      <c r="V3" s="282"/>
      <c r="W3" s="291"/>
    </row>
    <row r="4" spans="2:248" ht="18.75" x14ac:dyDescent="0.3">
      <c r="B4" s="382" t="s">
        <v>42</v>
      </c>
      <c r="C4" s="314" t="str">
        <f>IF('DATA ENTRY'!B9="mm",'DATA ENTRY'!B11/25.4,'DATA ENTRY'!B11)</f>
        <v>ENTER HEIGHT</v>
      </c>
      <c r="D4" s="287" t="e">
        <f>IF('DATA ENTRY'!B12="ACTUAL",'QA645'!C4,'QA645'!C4-0.5)</f>
        <v>#VALUE!</v>
      </c>
      <c r="E4" s="314"/>
      <c r="F4" s="331"/>
      <c r="H4" s="330" t="s">
        <v>279</v>
      </c>
      <c r="I4" s="314"/>
      <c r="J4" s="331" t="e">
        <f>C5/J3</f>
        <v>#VALUE!</v>
      </c>
      <c r="N4" s="280"/>
      <c r="O4" s="282" t="str">
        <f>C1&amp;"_MODEL"</f>
        <v>QA645_MODEL</v>
      </c>
      <c r="P4" s="282" t="s">
        <v>111</v>
      </c>
      <c r="Q4" s="282"/>
      <c r="R4" s="282"/>
      <c r="S4" s="282"/>
      <c r="T4" s="282"/>
      <c r="U4" s="282"/>
      <c r="V4" s="287" t="s">
        <v>116</v>
      </c>
      <c r="W4" s="291"/>
    </row>
    <row r="5" spans="2:248" ht="18.75" x14ac:dyDescent="0.3">
      <c r="B5" s="382" t="s">
        <v>43</v>
      </c>
      <c r="C5" s="509" t="str">
        <f>IF('DATA ENTRY'!B9="mm",'DATA ENTRY'!B13*2.1188799727597,'DATA ENTRY'!B13)</f>
        <v>ENTER AIR VOLUME</v>
      </c>
      <c r="D5" s="314"/>
      <c r="E5" s="314"/>
      <c r="F5" s="331"/>
      <c r="H5" s="330"/>
      <c r="I5" s="314"/>
      <c r="J5" s="331"/>
      <c r="N5" s="280" t="s">
        <v>93</v>
      </c>
      <c r="O5" s="282" t="str">
        <f>C1&amp;"_FA"</f>
        <v>QA645_FA</v>
      </c>
      <c r="P5" s="283" t="e">
        <f>D64</f>
        <v>#VALUE!</v>
      </c>
      <c r="Q5" s="282" t="s">
        <v>45</v>
      </c>
      <c r="R5" s="282"/>
      <c r="S5" s="282"/>
      <c r="T5" s="282"/>
      <c r="U5" s="282"/>
      <c r="V5" s="282" t="str">
        <f>C1&amp;"_W"</f>
        <v>QA645_W</v>
      </c>
      <c r="W5" s="286" t="e">
        <f>D3</f>
        <v>#VALUE!</v>
      </c>
    </row>
    <row r="6" spans="2:248" ht="18.75" x14ac:dyDescent="0.3">
      <c r="B6" s="382" t="s">
        <v>44</v>
      </c>
      <c r="C6" s="383" t="str">
        <f>'DATA ENTRY'!B14</f>
        <v>SELECT AIR DIRECTION</v>
      </c>
      <c r="D6" s="314"/>
      <c r="E6" s="314"/>
      <c r="F6" s="331"/>
      <c r="H6" s="330"/>
      <c r="I6" s="314"/>
      <c r="J6" s="331"/>
      <c r="N6" s="280" t="s">
        <v>70</v>
      </c>
      <c r="O6" s="282" t="str">
        <f>C1&amp;"_FA%"</f>
        <v>QA645_FA%</v>
      </c>
      <c r="P6" s="284" t="e">
        <f>D66</f>
        <v>#VALUE!</v>
      </c>
      <c r="Q6" s="282" t="s">
        <v>16</v>
      </c>
      <c r="R6" s="282"/>
      <c r="S6" s="282"/>
      <c r="T6" s="282"/>
      <c r="U6" s="282"/>
      <c r="V6" s="282" t="str">
        <f>C1&amp;"_H"</f>
        <v>QA645_H</v>
      </c>
      <c r="W6" s="286" t="e">
        <f>D4</f>
        <v>#VALUE!</v>
      </c>
    </row>
    <row r="7" spans="2:248" ht="19.5" thickBot="1" x14ac:dyDescent="0.35">
      <c r="B7" s="330"/>
      <c r="C7" s="314"/>
      <c r="D7" s="314"/>
      <c r="E7" s="314"/>
      <c r="F7" s="331"/>
      <c r="H7" s="543"/>
      <c r="I7" s="544"/>
      <c r="J7" s="545"/>
      <c r="N7" s="280" t="s">
        <v>96</v>
      </c>
      <c r="O7" s="282" t="str">
        <f>C1&amp;"_VEL"</f>
        <v>QA645_VEL</v>
      </c>
      <c r="P7" s="284" t="e">
        <f>D68</f>
        <v>#VALUE!</v>
      </c>
      <c r="Q7" s="282" t="s">
        <v>0</v>
      </c>
      <c r="R7" s="282"/>
      <c r="S7" s="282"/>
      <c r="T7" s="282"/>
      <c r="U7" s="282"/>
      <c r="V7" s="282" t="str">
        <f>C1&amp;"_SW"</f>
        <v>QA645_SW</v>
      </c>
      <c r="W7" s="286" t="e">
        <f>C8</f>
        <v>#VALUE!</v>
      </c>
    </row>
    <row r="8" spans="2:248" ht="18.75" x14ac:dyDescent="0.3">
      <c r="B8" s="382" t="s">
        <v>74</v>
      </c>
      <c r="C8" s="314" t="e">
        <f>CEILING(D3/72,1)</f>
        <v>#VALUE!</v>
      </c>
      <c r="D8" s="314"/>
      <c r="E8" s="314" t="s">
        <v>75</v>
      </c>
      <c r="F8" s="331" t="e">
        <f>CEILING(D4/96,1)</f>
        <v>#VALUE!</v>
      </c>
      <c r="N8" s="280" t="s">
        <v>94</v>
      </c>
      <c r="O8" s="282" t="str">
        <f>C1&amp;"_Intake"</f>
        <v>QA645_Intake</v>
      </c>
      <c r="P8" s="349" t="e">
        <f>D69</f>
        <v>#VALUE!</v>
      </c>
      <c r="Q8" s="282" t="s">
        <v>99</v>
      </c>
      <c r="R8" s="282"/>
      <c r="S8" s="282"/>
      <c r="T8" s="282"/>
      <c r="U8" s="282"/>
      <c r="V8" s="282" t="str">
        <f>C1&amp;"_SH"</f>
        <v>QA645_SH</v>
      </c>
      <c r="W8" s="286" t="e">
        <f>F8</f>
        <v>#VALUE!</v>
      </c>
    </row>
    <row r="9" spans="2:248" ht="18.75" x14ac:dyDescent="0.3">
      <c r="B9" s="382" t="s">
        <v>72</v>
      </c>
      <c r="C9" s="314" t="e">
        <f>D3/C8</f>
        <v>#VALUE!</v>
      </c>
      <c r="D9" s="314"/>
      <c r="E9" s="314" t="s">
        <v>63</v>
      </c>
      <c r="F9" s="331" t="e">
        <f>D4/F8</f>
        <v>#VALUE!</v>
      </c>
      <c r="N9" s="280" t="s">
        <v>95</v>
      </c>
      <c r="O9" s="282" t="str">
        <f>C1&amp;"_Exhaust"</f>
        <v>QA645_Exhaust</v>
      </c>
      <c r="P9" s="349" t="e">
        <f>D70</f>
        <v>#VALUE!</v>
      </c>
      <c r="Q9" s="282" t="s">
        <v>99</v>
      </c>
      <c r="R9" s="282"/>
      <c r="S9" s="282"/>
      <c r="T9" s="282"/>
      <c r="U9" s="282"/>
      <c r="V9" s="282"/>
      <c r="W9" s="291"/>
    </row>
    <row r="10" spans="2:248" ht="18.75" x14ac:dyDescent="0.3">
      <c r="B10" s="330"/>
      <c r="C10" s="314"/>
      <c r="D10" s="314"/>
      <c r="E10" s="314"/>
      <c r="F10" s="331"/>
      <c r="N10" s="280" t="s">
        <v>100</v>
      </c>
      <c r="O10" s="282" t="str">
        <f>C1&amp;"_SEC"</f>
        <v>QA645_SEC</v>
      </c>
      <c r="P10" s="282" t="e">
        <f>C11</f>
        <v>#VALUE!</v>
      </c>
      <c r="Q10" s="282"/>
      <c r="R10" s="282"/>
      <c r="S10" s="282"/>
      <c r="T10" s="282"/>
      <c r="U10" s="282"/>
      <c r="V10" s="282"/>
      <c r="W10" s="291"/>
    </row>
    <row r="11" spans="2:248" ht="18.75" x14ac:dyDescent="0.3">
      <c r="B11" s="382" t="s">
        <v>76</v>
      </c>
      <c r="C11" s="314" t="e">
        <f>C8*F8</f>
        <v>#VALUE!</v>
      </c>
      <c r="D11" s="314"/>
      <c r="E11" s="383" t="s">
        <v>164</v>
      </c>
      <c r="F11" s="384">
        <v>12</v>
      </c>
      <c r="N11" s="280" t="s">
        <v>97</v>
      </c>
      <c r="O11" s="282" t="str">
        <f>C1&amp;"_SECW"</f>
        <v>QA645_SECW</v>
      </c>
      <c r="P11" s="364" t="e">
        <f>AB79</f>
        <v>#VALUE!</v>
      </c>
      <c r="Q11" s="282" t="s">
        <v>86</v>
      </c>
      <c r="R11" s="282"/>
      <c r="S11" s="282"/>
      <c r="T11" s="282"/>
      <c r="U11" s="282"/>
      <c r="V11" s="282"/>
      <c r="W11" s="291"/>
    </row>
    <row r="12" spans="2:248" ht="18.75" x14ac:dyDescent="0.3">
      <c r="B12" s="330"/>
      <c r="C12" s="314"/>
      <c r="D12" s="314"/>
      <c r="E12" s="383" t="s">
        <v>165</v>
      </c>
      <c r="F12" s="384">
        <v>14.75</v>
      </c>
      <c r="N12" s="280" t="s">
        <v>98</v>
      </c>
      <c r="O12" s="282" t="str">
        <f>C1&amp;"_TW"</f>
        <v>QA645_TW</v>
      </c>
      <c r="P12" s="364" t="e">
        <f>AB78</f>
        <v>#VALUE!</v>
      </c>
      <c r="Q12" s="282" t="s">
        <v>86</v>
      </c>
      <c r="R12" s="47"/>
      <c r="S12" s="47"/>
      <c r="T12" s="47"/>
      <c r="U12" s="47"/>
      <c r="V12" s="47"/>
      <c r="W12" s="278"/>
    </row>
    <row r="13" spans="2:248" ht="18.75" x14ac:dyDescent="0.3">
      <c r="B13" s="330"/>
      <c r="C13" s="314"/>
      <c r="D13" s="314"/>
      <c r="E13" s="383"/>
      <c r="F13" s="384"/>
      <c r="N13" s="280" t="s">
        <v>280</v>
      </c>
      <c r="O13" s="282" t="str">
        <f>$C$1&amp;"_FACEAREA"</f>
        <v>QA645_FACEAREA</v>
      </c>
      <c r="P13" s="364" t="e">
        <f>J3</f>
        <v>#VALUE!</v>
      </c>
      <c r="Q13" s="282" t="s">
        <v>45</v>
      </c>
      <c r="R13" s="47"/>
      <c r="S13" s="47"/>
      <c r="T13" s="47"/>
      <c r="U13" s="47"/>
      <c r="V13" s="47"/>
      <c r="W13" s="278"/>
    </row>
    <row r="14" spans="2:248" ht="19.5" thickBot="1" x14ac:dyDescent="0.35">
      <c r="B14" s="330"/>
      <c r="C14" s="314"/>
      <c r="D14" s="314"/>
      <c r="E14" s="383"/>
      <c r="F14" s="384"/>
      <c r="N14" s="281" t="s">
        <v>277</v>
      </c>
      <c r="O14" s="395" t="str">
        <f>$C$1&amp;"_FACEVEL"</f>
        <v>QA645_FACEVEL</v>
      </c>
      <c r="P14" s="472" t="e">
        <f>J4</f>
        <v>#VALUE!</v>
      </c>
      <c r="Q14" s="395" t="s">
        <v>0</v>
      </c>
      <c r="R14" s="50"/>
      <c r="S14" s="50"/>
      <c r="T14" s="50"/>
      <c r="U14" s="50"/>
      <c r="V14" s="50"/>
      <c r="W14" s="279"/>
    </row>
    <row r="15" spans="2:248" ht="15.75" thickBot="1" x14ac:dyDescent="0.3">
      <c r="B15" s="49"/>
      <c r="C15" s="50"/>
      <c r="D15" s="50"/>
      <c r="E15" s="50"/>
      <c r="F15" s="279"/>
    </row>
    <row r="16" spans="2:24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5"/>
      <c r="W16" s="94"/>
      <c r="X16" s="95"/>
      <c r="AT16" s="886" t="s">
        <v>58</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8"/>
    </row>
    <row r="17" spans="2:248" ht="15.75" thickBot="1" x14ac:dyDescent="0.3">
      <c r="B17" s="66"/>
      <c r="C17" s="68"/>
      <c r="D17" s="68">
        <f>F11</f>
        <v>12</v>
      </c>
      <c r="E17" s="68">
        <f>D17+6</f>
        <v>18</v>
      </c>
      <c r="F17" s="68">
        <f t="shared" ref="F17:G17" si="0">E17+6</f>
        <v>24</v>
      </c>
      <c r="G17" s="68">
        <f t="shared" si="0"/>
        <v>30</v>
      </c>
      <c r="H17" s="68">
        <f>G17+6</f>
        <v>36</v>
      </c>
      <c r="I17" s="68">
        <v>42</v>
      </c>
      <c r="J17" s="68">
        <v>48</v>
      </c>
      <c r="K17" s="68">
        <v>54</v>
      </c>
      <c r="L17" s="68">
        <v>60</v>
      </c>
      <c r="M17" s="68">
        <v>66</v>
      </c>
      <c r="N17" s="68">
        <v>72</v>
      </c>
      <c r="O17" s="68">
        <v>78</v>
      </c>
      <c r="P17" s="68">
        <v>84</v>
      </c>
      <c r="Q17" s="68">
        <v>90</v>
      </c>
      <c r="R17" s="68">
        <v>96</v>
      </c>
      <c r="S17" s="68">
        <v>102</v>
      </c>
      <c r="T17" s="68">
        <v>108</v>
      </c>
      <c r="U17" s="68">
        <v>114</v>
      </c>
      <c r="V17" s="68">
        <v>120</v>
      </c>
      <c r="W17" s="64"/>
      <c r="X17" s="65"/>
      <c r="AT17" s="4"/>
      <c r="AU17" s="5"/>
      <c r="AV17" s="5"/>
      <c r="AW17" s="5"/>
      <c r="AX17" s="6"/>
      <c r="AY17" s="7"/>
      <c r="AZ17" s="7"/>
      <c r="BA17" s="7"/>
      <c r="BB17" s="7"/>
      <c r="BC17" s="7"/>
      <c r="BD17" s="7"/>
      <c r="BE17" s="7"/>
      <c r="BF17" s="7"/>
      <c r="BG17" s="7"/>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5"/>
      <c r="IE17" s="5"/>
      <c r="IF17" s="5"/>
      <c r="IG17" s="5"/>
      <c r="IH17" s="5"/>
      <c r="II17" s="5"/>
      <c r="IJ17" s="5"/>
      <c r="IK17" s="5"/>
      <c r="IL17" s="5"/>
      <c r="IM17" s="5"/>
      <c r="IN17" s="8"/>
    </row>
    <row r="18" spans="2:248" ht="16.5" thickBot="1" x14ac:dyDescent="0.3">
      <c r="B18" s="107" t="s">
        <v>63</v>
      </c>
      <c r="C18" s="104">
        <v>1</v>
      </c>
      <c r="D18" s="105">
        <v>2</v>
      </c>
      <c r="E18" s="106">
        <v>3</v>
      </c>
      <c r="F18" s="106">
        <v>4</v>
      </c>
      <c r="G18" s="106">
        <v>5</v>
      </c>
      <c r="H18" s="106">
        <v>6</v>
      </c>
      <c r="I18" s="106">
        <v>7</v>
      </c>
      <c r="J18" s="106">
        <v>8</v>
      </c>
      <c r="K18" s="106">
        <v>9</v>
      </c>
      <c r="L18" s="106">
        <v>10</v>
      </c>
      <c r="M18" s="106">
        <v>11</v>
      </c>
      <c r="N18" s="106">
        <v>12</v>
      </c>
      <c r="O18" s="106">
        <v>13</v>
      </c>
      <c r="P18" s="106">
        <v>14</v>
      </c>
      <c r="Q18" s="106">
        <v>15</v>
      </c>
      <c r="R18" s="106">
        <v>16</v>
      </c>
      <c r="S18" s="106">
        <v>17</v>
      </c>
      <c r="T18" s="106">
        <v>18</v>
      </c>
      <c r="U18" s="106">
        <v>19</v>
      </c>
      <c r="V18" s="106">
        <v>20</v>
      </c>
      <c r="W18" s="64"/>
      <c r="X18" s="65"/>
      <c r="AT18" s="4"/>
      <c r="AU18" s="889" t="s">
        <v>17</v>
      </c>
      <c r="AV18" s="890"/>
      <c r="AW18" s="209"/>
      <c r="AX18" s="895" t="s">
        <v>18</v>
      </c>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208"/>
      <c r="HY18" s="208"/>
      <c r="HZ18" s="208"/>
      <c r="IA18" s="208"/>
      <c r="IB18" s="208"/>
      <c r="IC18" s="208"/>
      <c r="ID18" s="198"/>
      <c r="IE18" s="200"/>
      <c r="IF18" s="5"/>
      <c r="IG18" s="9"/>
      <c r="IH18" s="9"/>
      <c r="II18" s="9"/>
      <c r="IJ18" s="9"/>
      <c r="IK18" s="9"/>
      <c r="IL18" s="9"/>
      <c r="IM18" s="9"/>
      <c r="IN18" s="8"/>
    </row>
    <row r="19" spans="2:248" ht="15" customHeight="1" thickBot="1" x14ac:dyDescent="0.3">
      <c r="B19" s="103">
        <f>F12</f>
        <v>14.75</v>
      </c>
      <c r="C19" s="101">
        <v>2</v>
      </c>
      <c r="D19" s="99">
        <f t="shared" ref="D19:D33" si="1">AX22/((D$17*B19)/144)</f>
        <v>0.13408810716716629</v>
      </c>
      <c r="E19" s="100">
        <f t="shared" ref="E19:E33" si="2">BH22/((E$17*$B19)/144)</f>
        <v>0.14302731431164406</v>
      </c>
      <c r="F19" s="100">
        <f t="shared" ref="F19:F33" si="3">BR22/((F$17*$B19)/144)</f>
        <v>0.14749691788388294</v>
      </c>
      <c r="G19" s="100">
        <f t="shared" ref="G19:G33" si="4">CB22/((G$17*$B19)/144)</f>
        <v>0.15017868002722626</v>
      </c>
      <c r="H19" s="100">
        <f t="shared" ref="H19:H33" si="5">CL22/((H$17*$B19)/144)</f>
        <v>0.1519665214561218</v>
      </c>
      <c r="I19" s="100">
        <f t="shared" ref="I19:I33" si="6">CV22/((I$17*$B19)/144)</f>
        <v>0.15324355104819007</v>
      </c>
      <c r="J19" s="100">
        <f t="shared" ref="J19:J33" si="7">DF22/((J$17*$B19)/144)</f>
        <v>0.15420132324224123</v>
      </c>
      <c r="K19" s="100">
        <f t="shared" ref="K19:K33" si="8">DP22/((K$17*$B19)/144)</f>
        <v>0.15494625717094773</v>
      </c>
      <c r="L19" s="100">
        <f t="shared" ref="L19:L33" si="9">DZ22/((L$17*$B19)/144)</f>
        <v>0.15554220431391291</v>
      </c>
      <c r="M19" s="100">
        <f t="shared" ref="M19:M33" si="10">EJ22/((M$17*$B19)/144)</f>
        <v>0.15602979743088441</v>
      </c>
      <c r="N19" s="100">
        <f t="shared" ref="N19:N33" si="11">ET22/((N$17*$B19)/144)</f>
        <v>0.15643612502836068</v>
      </c>
      <c r="O19" s="258"/>
      <c r="P19" s="258"/>
      <c r="Q19" s="258"/>
      <c r="R19" s="258"/>
      <c r="S19" s="258"/>
      <c r="T19" s="258"/>
      <c r="U19" s="258"/>
      <c r="V19" s="258"/>
      <c r="W19" s="96"/>
      <c r="X19" s="97"/>
      <c r="Y19" s="83"/>
      <c r="Z19" s="83"/>
      <c r="AA19" s="83"/>
      <c r="AT19" s="4"/>
      <c r="AU19" s="891"/>
      <c r="AV19" s="892"/>
      <c r="AW19" s="210"/>
      <c r="AX19" s="897"/>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207"/>
      <c r="HY19" s="207"/>
      <c r="HZ19" s="207"/>
      <c r="IA19" s="207"/>
      <c r="IB19" s="207"/>
      <c r="IC19" s="207"/>
      <c r="ID19" s="199"/>
      <c r="IE19" s="201"/>
      <c r="IF19" s="5"/>
      <c r="IG19" s="899" t="s">
        <v>19</v>
      </c>
      <c r="IH19" s="900"/>
      <c r="II19" s="900"/>
      <c r="IJ19" s="900"/>
      <c r="IK19" s="900"/>
      <c r="IL19" s="900"/>
      <c r="IM19" s="901"/>
      <c r="IN19" s="8"/>
    </row>
    <row r="20" spans="2:248" ht="15.75" thickBot="1" x14ac:dyDescent="0.3">
      <c r="B20" s="103">
        <v>18</v>
      </c>
      <c r="C20" s="102">
        <v>3</v>
      </c>
      <c r="D20" s="98">
        <f t="shared" si="1"/>
        <v>0.18342592592592591</v>
      </c>
      <c r="E20" s="96">
        <f t="shared" si="2"/>
        <v>0.19565432098765431</v>
      </c>
      <c r="F20" s="96">
        <f t="shared" si="3"/>
        <v>0.20176851851851849</v>
      </c>
      <c r="G20" s="96">
        <f t="shared" si="4"/>
        <v>0.205437037037037</v>
      </c>
      <c r="H20" s="96">
        <f t="shared" si="5"/>
        <v>0.20788271604938272</v>
      </c>
      <c r="I20" s="96">
        <f t="shared" si="6"/>
        <v>0.20962962962962961</v>
      </c>
      <c r="J20" s="96">
        <f t="shared" si="7"/>
        <v>0.2109398148148148</v>
      </c>
      <c r="K20" s="96">
        <f t="shared" si="8"/>
        <v>0.21195884773662552</v>
      </c>
      <c r="L20" s="96">
        <f t="shared" si="9"/>
        <v>0.21277407407407406</v>
      </c>
      <c r="M20" s="96">
        <f t="shared" si="10"/>
        <v>0.21344107744107743</v>
      </c>
      <c r="N20" s="96">
        <f t="shared" si="11"/>
        <v>0.21399691358024689</v>
      </c>
      <c r="O20" s="259"/>
      <c r="P20" s="259"/>
      <c r="Q20" s="259"/>
      <c r="R20" s="259"/>
      <c r="S20" s="259"/>
      <c r="T20" s="259"/>
      <c r="U20" s="259"/>
      <c r="V20" s="259"/>
      <c r="W20" s="64"/>
      <c r="X20" s="65"/>
      <c r="Z20" s="83"/>
      <c r="AA20" s="83"/>
      <c r="AT20" s="4"/>
      <c r="AU20" s="893"/>
      <c r="AV20" s="894"/>
      <c r="AW20" s="10"/>
      <c r="AX20" s="11">
        <v>12</v>
      </c>
      <c r="AY20" s="12" t="str">
        <f>"("&amp;ROUND(AX20*25.4/50,0)*50&amp;")"</f>
        <v>(300)</v>
      </c>
      <c r="AZ20" s="13" t="s">
        <v>20</v>
      </c>
      <c r="BA20" s="13" t="s">
        <v>21</v>
      </c>
      <c r="BB20" s="13" t="s">
        <v>22</v>
      </c>
      <c r="BC20" s="13" t="s">
        <v>23</v>
      </c>
      <c r="BD20" s="13" t="s">
        <v>24</v>
      </c>
      <c r="BE20" s="13" t="s">
        <v>25</v>
      </c>
      <c r="BF20" s="13" t="s">
        <v>26</v>
      </c>
      <c r="BG20" s="13" t="s">
        <v>27</v>
      </c>
      <c r="BH20" s="11">
        <f>AX20+6</f>
        <v>18</v>
      </c>
      <c r="BI20" s="12" t="str">
        <f>"("&amp;ROUND(BH20*25.4/50,0)*50&amp;")"</f>
        <v>(450)</v>
      </c>
      <c r="BJ20" s="13" t="s">
        <v>20</v>
      </c>
      <c r="BK20" s="13" t="s">
        <v>21</v>
      </c>
      <c r="BL20" s="13" t="s">
        <v>22</v>
      </c>
      <c r="BM20" s="13" t="s">
        <v>23</v>
      </c>
      <c r="BN20" s="13" t="s">
        <v>24</v>
      </c>
      <c r="BO20" s="13" t="s">
        <v>25</v>
      </c>
      <c r="BP20" s="13" t="s">
        <v>26</v>
      </c>
      <c r="BQ20" s="13" t="s">
        <v>27</v>
      </c>
      <c r="BR20" s="11">
        <f>BH20+6</f>
        <v>24</v>
      </c>
      <c r="BS20" s="12" t="str">
        <f>"("&amp;ROUND(BR20*25.4/50,0)*50&amp;")"</f>
        <v>(600)</v>
      </c>
      <c r="BT20" s="13" t="s">
        <v>20</v>
      </c>
      <c r="BU20" s="13" t="s">
        <v>21</v>
      </c>
      <c r="BV20" s="13" t="s">
        <v>22</v>
      </c>
      <c r="BW20" s="13" t="s">
        <v>23</v>
      </c>
      <c r="BX20" s="13" t="s">
        <v>24</v>
      </c>
      <c r="BY20" s="13" t="s">
        <v>25</v>
      </c>
      <c r="BZ20" s="13" t="s">
        <v>26</v>
      </c>
      <c r="CA20" s="13" t="s">
        <v>27</v>
      </c>
      <c r="CB20" s="11">
        <f>BR20+6</f>
        <v>30</v>
      </c>
      <c r="CC20" s="12" t="str">
        <f>"("&amp;ROUND(CB20*25.4/50,0)*50&amp;")"</f>
        <v>(750)</v>
      </c>
      <c r="CD20" s="13" t="s">
        <v>20</v>
      </c>
      <c r="CE20" s="13" t="s">
        <v>21</v>
      </c>
      <c r="CF20" s="13" t="s">
        <v>22</v>
      </c>
      <c r="CG20" s="13" t="s">
        <v>23</v>
      </c>
      <c r="CH20" s="13" t="s">
        <v>24</v>
      </c>
      <c r="CI20" s="13" t="s">
        <v>25</v>
      </c>
      <c r="CJ20" s="13" t="s">
        <v>26</v>
      </c>
      <c r="CK20" s="13" t="s">
        <v>27</v>
      </c>
      <c r="CL20" s="11">
        <f>CB20+6</f>
        <v>36</v>
      </c>
      <c r="CM20" s="12" t="str">
        <f>"("&amp;ROUND(CL20*25.4/50,0)*50&amp;")"</f>
        <v>(900)</v>
      </c>
      <c r="CN20" s="13" t="s">
        <v>20</v>
      </c>
      <c r="CO20" s="13" t="s">
        <v>21</v>
      </c>
      <c r="CP20" s="13" t="s">
        <v>22</v>
      </c>
      <c r="CQ20" s="13" t="s">
        <v>23</v>
      </c>
      <c r="CR20" s="13" t="s">
        <v>24</v>
      </c>
      <c r="CS20" s="13" t="s">
        <v>25</v>
      </c>
      <c r="CT20" s="13" t="s">
        <v>26</v>
      </c>
      <c r="CU20" s="13" t="s">
        <v>27</v>
      </c>
      <c r="CV20" s="11">
        <f>CL20+6</f>
        <v>42</v>
      </c>
      <c r="CW20" s="12" t="str">
        <f>"("&amp;ROUND(CV20*25.4/50,0)*50&amp;")"</f>
        <v>(1050)</v>
      </c>
      <c r="CX20" s="13" t="s">
        <v>20</v>
      </c>
      <c r="CY20" s="13" t="s">
        <v>21</v>
      </c>
      <c r="CZ20" s="13" t="s">
        <v>22</v>
      </c>
      <c r="DA20" s="13" t="s">
        <v>23</v>
      </c>
      <c r="DB20" s="13" t="s">
        <v>24</v>
      </c>
      <c r="DC20" s="13" t="s">
        <v>25</v>
      </c>
      <c r="DD20" s="13" t="s">
        <v>26</v>
      </c>
      <c r="DE20" s="13" t="s">
        <v>27</v>
      </c>
      <c r="DF20" s="11">
        <f>CV20+6</f>
        <v>48</v>
      </c>
      <c r="DG20" s="12" t="str">
        <f>"("&amp;ROUND(DF20*25.4/50,0)*50&amp;")"</f>
        <v>(1200)</v>
      </c>
      <c r="DH20" s="13" t="s">
        <v>20</v>
      </c>
      <c r="DI20" s="13" t="s">
        <v>21</v>
      </c>
      <c r="DJ20" s="13" t="s">
        <v>22</v>
      </c>
      <c r="DK20" s="13" t="s">
        <v>23</v>
      </c>
      <c r="DL20" s="13" t="s">
        <v>24</v>
      </c>
      <c r="DM20" s="13" t="s">
        <v>25</v>
      </c>
      <c r="DN20" s="13" t="s">
        <v>26</v>
      </c>
      <c r="DO20" s="13" t="s">
        <v>27</v>
      </c>
      <c r="DP20" s="11">
        <f>DF20+6</f>
        <v>54</v>
      </c>
      <c r="DQ20" s="12" t="str">
        <f>"("&amp;ROUND(DP20*25.4/50,0)*50&amp;")"</f>
        <v>(1350)</v>
      </c>
      <c r="DR20" s="13" t="s">
        <v>20</v>
      </c>
      <c r="DS20" s="13" t="s">
        <v>21</v>
      </c>
      <c r="DT20" s="13" t="s">
        <v>22</v>
      </c>
      <c r="DU20" s="13" t="s">
        <v>23</v>
      </c>
      <c r="DV20" s="13" t="s">
        <v>24</v>
      </c>
      <c r="DW20" s="13" t="s">
        <v>25</v>
      </c>
      <c r="DX20" s="13" t="s">
        <v>26</v>
      </c>
      <c r="DY20" s="13" t="s">
        <v>27</v>
      </c>
      <c r="DZ20" s="11">
        <f>DP20+6</f>
        <v>60</v>
      </c>
      <c r="EA20" s="12" t="str">
        <f>"("&amp;ROUND(DZ20*25.4/50,0)*50&amp;")"</f>
        <v>(1500)</v>
      </c>
      <c r="EB20" s="13" t="s">
        <v>20</v>
      </c>
      <c r="EC20" s="13" t="s">
        <v>21</v>
      </c>
      <c r="ED20" s="13" t="s">
        <v>22</v>
      </c>
      <c r="EE20" s="13" t="s">
        <v>23</v>
      </c>
      <c r="EF20" s="13" t="s">
        <v>24</v>
      </c>
      <c r="EG20" s="13" t="s">
        <v>25</v>
      </c>
      <c r="EH20" s="13" t="s">
        <v>26</v>
      </c>
      <c r="EI20" s="13" t="s">
        <v>27</v>
      </c>
      <c r="EJ20" s="11">
        <f>DZ20+6</f>
        <v>66</v>
      </c>
      <c r="EK20" s="12" t="str">
        <f>"("&amp;ROUND(EJ20*25.4/50,0)*50&amp;")"</f>
        <v>(1700)</v>
      </c>
      <c r="EL20" s="13" t="s">
        <v>20</v>
      </c>
      <c r="EM20" s="13" t="s">
        <v>21</v>
      </c>
      <c r="EN20" s="13" t="s">
        <v>22</v>
      </c>
      <c r="EO20" s="13" t="s">
        <v>23</v>
      </c>
      <c r="EP20" s="13" t="s">
        <v>24</v>
      </c>
      <c r="EQ20" s="13" t="s">
        <v>25</v>
      </c>
      <c r="ER20" s="13" t="s">
        <v>26</v>
      </c>
      <c r="ES20" s="13" t="s">
        <v>27</v>
      </c>
      <c r="ET20" s="11">
        <f>EJ20+6</f>
        <v>72</v>
      </c>
      <c r="EU20" s="12" t="str">
        <f>"("&amp;ROUND(ET20*25.4/50,0)*50&amp;")"</f>
        <v>(1850)</v>
      </c>
      <c r="EV20" s="13" t="s">
        <v>20</v>
      </c>
      <c r="EW20" s="13" t="s">
        <v>21</v>
      </c>
      <c r="EX20" s="13" t="s">
        <v>22</v>
      </c>
      <c r="EY20" s="13" t="s">
        <v>23</v>
      </c>
      <c r="EZ20" s="13" t="s">
        <v>24</v>
      </c>
      <c r="FA20" s="13" t="s">
        <v>25</v>
      </c>
      <c r="FB20" s="13" t="s">
        <v>26</v>
      </c>
      <c r="FC20" s="13" t="s">
        <v>27</v>
      </c>
      <c r="FD20" s="11">
        <f>ET20+6</f>
        <v>78</v>
      </c>
      <c r="FE20" s="12" t="str">
        <f>"("&amp;ROUND(FD20*25.4/50,0)*50&amp;")"</f>
        <v>(2000)</v>
      </c>
      <c r="FF20" s="13" t="s">
        <v>20</v>
      </c>
      <c r="FG20" s="13" t="s">
        <v>21</v>
      </c>
      <c r="FH20" s="13" t="s">
        <v>22</v>
      </c>
      <c r="FI20" s="13" t="s">
        <v>23</v>
      </c>
      <c r="FJ20" s="13" t="s">
        <v>24</v>
      </c>
      <c r="FK20" s="13" t="s">
        <v>25</v>
      </c>
      <c r="FL20" s="13" t="s">
        <v>26</v>
      </c>
      <c r="FM20" s="13" t="s">
        <v>27</v>
      </c>
      <c r="FN20" s="11">
        <f>FD20+6</f>
        <v>84</v>
      </c>
      <c r="FO20" s="12" t="str">
        <f>"("&amp;ROUND(FN20*25.4/50,0)*50&amp;")"</f>
        <v>(2150)</v>
      </c>
      <c r="FP20" s="13" t="s">
        <v>20</v>
      </c>
      <c r="FQ20" s="13" t="s">
        <v>21</v>
      </c>
      <c r="FR20" s="13" t="s">
        <v>22</v>
      </c>
      <c r="FS20" s="13" t="s">
        <v>23</v>
      </c>
      <c r="FT20" s="13" t="s">
        <v>24</v>
      </c>
      <c r="FU20" s="13" t="s">
        <v>25</v>
      </c>
      <c r="FV20" s="13" t="s">
        <v>26</v>
      </c>
      <c r="FW20" s="13" t="s">
        <v>27</v>
      </c>
      <c r="FX20" s="11">
        <f>FN20+6</f>
        <v>90</v>
      </c>
      <c r="FY20" s="12" t="str">
        <f>"("&amp;ROUND(FX20*25.4/50,0)*50&amp;")"</f>
        <v>(2300)</v>
      </c>
      <c r="FZ20" s="13" t="s">
        <v>20</v>
      </c>
      <c r="GA20" s="13" t="s">
        <v>21</v>
      </c>
      <c r="GB20" s="13" t="s">
        <v>22</v>
      </c>
      <c r="GC20" s="13" t="s">
        <v>23</v>
      </c>
      <c r="GD20" s="13" t="s">
        <v>24</v>
      </c>
      <c r="GE20" s="13" t="s">
        <v>25</v>
      </c>
      <c r="GF20" s="13" t="s">
        <v>26</v>
      </c>
      <c r="GG20" s="13" t="s">
        <v>27</v>
      </c>
      <c r="GH20" s="11">
        <f>FX20+6</f>
        <v>96</v>
      </c>
      <c r="GI20" s="12" t="str">
        <f>"("&amp;ROUND(GH20*25.4/50,0)*50&amp;")"</f>
        <v>(2450)</v>
      </c>
      <c r="GJ20" s="13" t="s">
        <v>20</v>
      </c>
      <c r="GK20" s="13" t="s">
        <v>21</v>
      </c>
      <c r="GL20" s="13" t="s">
        <v>22</v>
      </c>
      <c r="GM20" s="13" t="s">
        <v>23</v>
      </c>
      <c r="GN20" s="13" t="s">
        <v>24</v>
      </c>
      <c r="GO20" s="13" t="s">
        <v>25</v>
      </c>
      <c r="GP20" s="13" t="s">
        <v>26</v>
      </c>
      <c r="GQ20" s="13" t="s">
        <v>27</v>
      </c>
      <c r="GR20" s="11">
        <f>GH20+6</f>
        <v>102</v>
      </c>
      <c r="GS20" s="12" t="str">
        <f>"("&amp;ROUND(GR20*25.4/50,0)*50&amp;")"</f>
        <v>(2600)</v>
      </c>
      <c r="GT20" s="13" t="s">
        <v>20</v>
      </c>
      <c r="GU20" s="13" t="s">
        <v>21</v>
      </c>
      <c r="GV20" s="13" t="s">
        <v>22</v>
      </c>
      <c r="GW20" s="13" t="s">
        <v>23</v>
      </c>
      <c r="GX20" s="13" t="s">
        <v>24</v>
      </c>
      <c r="GY20" s="13" t="s">
        <v>25</v>
      </c>
      <c r="GZ20" s="13" t="s">
        <v>26</v>
      </c>
      <c r="HA20" s="13" t="s">
        <v>27</v>
      </c>
      <c r="HB20" s="11">
        <f>GR20+6</f>
        <v>108</v>
      </c>
      <c r="HC20" s="12" t="str">
        <f>"("&amp;ROUND(HB20*25.4/50,0)*50&amp;")"</f>
        <v>(2750)</v>
      </c>
      <c r="HD20" s="13" t="s">
        <v>20</v>
      </c>
      <c r="HE20" s="13" t="s">
        <v>21</v>
      </c>
      <c r="HF20" s="13" t="s">
        <v>22</v>
      </c>
      <c r="HG20" s="13" t="s">
        <v>23</v>
      </c>
      <c r="HH20" s="13" t="s">
        <v>24</v>
      </c>
      <c r="HI20" s="13" t="s">
        <v>25</v>
      </c>
      <c r="HJ20" s="13" t="s">
        <v>26</v>
      </c>
      <c r="HK20" s="13" t="s">
        <v>27</v>
      </c>
      <c r="HL20" s="11">
        <f>HB20+6</f>
        <v>114</v>
      </c>
      <c r="HM20" s="12" t="str">
        <f>"("&amp;ROUND(HL20*25.4/50,0)*50&amp;")"</f>
        <v>(2900)</v>
      </c>
      <c r="HN20" s="13" t="s">
        <v>20</v>
      </c>
      <c r="HO20" s="13" t="s">
        <v>21</v>
      </c>
      <c r="HP20" s="13" t="s">
        <v>22</v>
      </c>
      <c r="HQ20" s="13" t="s">
        <v>23</v>
      </c>
      <c r="HR20" s="13" t="s">
        <v>24</v>
      </c>
      <c r="HS20" s="13" t="s">
        <v>25</v>
      </c>
      <c r="HT20" s="13" t="s">
        <v>26</v>
      </c>
      <c r="HU20" s="13" t="s">
        <v>27</v>
      </c>
      <c r="HV20" s="11">
        <f>HL20+6</f>
        <v>120</v>
      </c>
      <c r="HW20" s="12" t="str">
        <f>"("&amp;ROUND(HV20*25.4/50,0)*50&amp;")"</f>
        <v>(3050)</v>
      </c>
      <c r="HX20" s="13" t="s">
        <v>20</v>
      </c>
      <c r="HY20" s="13" t="s">
        <v>21</v>
      </c>
      <c r="HZ20" s="13" t="s">
        <v>22</v>
      </c>
      <c r="IA20" s="13" t="s">
        <v>23</v>
      </c>
      <c r="IB20" s="13" t="s">
        <v>24</v>
      </c>
      <c r="IC20" s="13" t="s">
        <v>25</v>
      </c>
      <c r="ID20" s="13" t="s">
        <v>26</v>
      </c>
      <c r="IE20" s="13" t="s">
        <v>27</v>
      </c>
      <c r="IF20" s="33"/>
      <c r="IG20" s="16" t="s">
        <v>28</v>
      </c>
      <c r="IH20" s="16" t="s">
        <v>29</v>
      </c>
      <c r="II20" s="16" t="s">
        <v>30</v>
      </c>
      <c r="IJ20" s="16" t="s">
        <v>31</v>
      </c>
      <c r="IK20" s="16" t="s">
        <v>32</v>
      </c>
      <c r="IL20" s="16" t="s">
        <v>33</v>
      </c>
      <c r="IM20" s="16" t="s">
        <v>34</v>
      </c>
      <c r="IN20" s="8"/>
    </row>
    <row r="21" spans="2:248" ht="15.75" thickBot="1" x14ac:dyDescent="0.3">
      <c r="B21" s="103">
        <f t="shared" ref="B21:B37" si="12">B20+6</f>
        <v>24</v>
      </c>
      <c r="C21" s="102">
        <v>4</v>
      </c>
      <c r="D21" s="98">
        <f t="shared" si="1"/>
        <v>0.20736111111111111</v>
      </c>
      <c r="E21" s="96">
        <f t="shared" si="2"/>
        <v>0.22118518518518515</v>
      </c>
      <c r="F21" s="96">
        <f t="shared" si="3"/>
        <v>0.2280972222222222</v>
      </c>
      <c r="G21" s="96">
        <f t="shared" si="4"/>
        <v>0.23224444444444442</v>
      </c>
      <c r="H21" s="96">
        <f t="shared" si="5"/>
        <v>0.23500925925925922</v>
      </c>
      <c r="I21" s="96">
        <f t="shared" si="6"/>
        <v>0.23698412698412699</v>
      </c>
      <c r="J21" s="96">
        <f t="shared" si="7"/>
        <v>0.23846527777777776</v>
      </c>
      <c r="K21" s="96">
        <f t="shared" si="8"/>
        <v>0.23961728395061727</v>
      </c>
      <c r="L21" s="96">
        <f t="shared" si="9"/>
        <v>0.24053888888888886</v>
      </c>
      <c r="M21" s="96">
        <f t="shared" si="10"/>
        <v>0.24129292929292925</v>
      </c>
      <c r="N21" s="96">
        <f t="shared" si="11"/>
        <v>0.2419212962962963</v>
      </c>
      <c r="O21" s="259"/>
      <c r="P21" s="259"/>
      <c r="Q21" s="259"/>
      <c r="R21" s="259"/>
      <c r="S21" s="259"/>
      <c r="T21" s="259"/>
      <c r="U21" s="259"/>
      <c r="V21" s="259"/>
      <c r="W21" s="64"/>
      <c r="X21" s="65"/>
      <c r="Z21" s="83"/>
      <c r="AA21" s="83"/>
      <c r="AT21" s="4"/>
      <c r="AU21" s="10"/>
      <c r="AV21" s="17"/>
      <c r="AW21" s="18"/>
      <c r="AX21" s="11">
        <v>6</v>
      </c>
      <c r="AY21" s="12">
        <f>AX21+1</f>
        <v>7</v>
      </c>
      <c r="AZ21" s="12">
        <f t="shared" ref="AZ21:DK21" si="13">AY21+1</f>
        <v>8</v>
      </c>
      <c r="BA21" s="12">
        <f t="shared" si="13"/>
        <v>9</v>
      </c>
      <c r="BB21" s="12">
        <f t="shared" si="13"/>
        <v>10</v>
      </c>
      <c r="BC21" s="12">
        <f t="shared" si="13"/>
        <v>11</v>
      </c>
      <c r="BD21" s="12">
        <f t="shared" si="13"/>
        <v>12</v>
      </c>
      <c r="BE21" s="12">
        <f t="shared" si="13"/>
        <v>13</v>
      </c>
      <c r="BF21" s="12">
        <f t="shared" si="13"/>
        <v>14</v>
      </c>
      <c r="BG21" s="12">
        <f t="shared" si="13"/>
        <v>15</v>
      </c>
      <c r="BH21" s="12">
        <f>BG21+1</f>
        <v>16</v>
      </c>
      <c r="BI21" s="12">
        <f t="shared" si="13"/>
        <v>17</v>
      </c>
      <c r="BJ21" s="12">
        <f t="shared" si="13"/>
        <v>18</v>
      </c>
      <c r="BK21" s="12">
        <f t="shared" si="13"/>
        <v>19</v>
      </c>
      <c r="BL21" s="12">
        <f t="shared" si="13"/>
        <v>20</v>
      </c>
      <c r="BM21" s="12">
        <f t="shared" si="13"/>
        <v>21</v>
      </c>
      <c r="BN21" s="12">
        <f t="shared" si="13"/>
        <v>22</v>
      </c>
      <c r="BO21" s="12">
        <f t="shared" si="13"/>
        <v>23</v>
      </c>
      <c r="BP21" s="12">
        <f t="shared" si="13"/>
        <v>24</v>
      </c>
      <c r="BQ21" s="12">
        <f t="shared" si="13"/>
        <v>25</v>
      </c>
      <c r="BR21" s="12">
        <f t="shared" si="13"/>
        <v>26</v>
      </c>
      <c r="BS21" s="12">
        <f t="shared" si="13"/>
        <v>27</v>
      </c>
      <c r="BT21" s="12">
        <f t="shared" si="13"/>
        <v>28</v>
      </c>
      <c r="BU21" s="12">
        <f t="shared" si="13"/>
        <v>29</v>
      </c>
      <c r="BV21" s="12">
        <f t="shared" si="13"/>
        <v>30</v>
      </c>
      <c r="BW21" s="12">
        <f t="shared" si="13"/>
        <v>31</v>
      </c>
      <c r="BX21" s="12">
        <f t="shared" si="13"/>
        <v>32</v>
      </c>
      <c r="BY21" s="12">
        <f t="shared" si="13"/>
        <v>33</v>
      </c>
      <c r="BZ21" s="12">
        <f t="shared" si="13"/>
        <v>34</v>
      </c>
      <c r="CA21" s="12">
        <f t="shared" si="13"/>
        <v>35</v>
      </c>
      <c r="CB21" s="12">
        <f t="shared" si="13"/>
        <v>36</v>
      </c>
      <c r="CC21" s="12">
        <f t="shared" si="13"/>
        <v>37</v>
      </c>
      <c r="CD21" s="12">
        <f t="shared" si="13"/>
        <v>38</v>
      </c>
      <c r="CE21" s="12">
        <f t="shared" si="13"/>
        <v>39</v>
      </c>
      <c r="CF21" s="12">
        <f t="shared" si="13"/>
        <v>40</v>
      </c>
      <c r="CG21" s="12">
        <f t="shared" si="13"/>
        <v>41</v>
      </c>
      <c r="CH21" s="12">
        <f t="shared" si="13"/>
        <v>42</v>
      </c>
      <c r="CI21" s="12">
        <f t="shared" si="13"/>
        <v>43</v>
      </c>
      <c r="CJ21" s="12">
        <f t="shared" si="13"/>
        <v>44</v>
      </c>
      <c r="CK21" s="12">
        <f t="shared" si="13"/>
        <v>45</v>
      </c>
      <c r="CL21" s="12">
        <f t="shared" si="13"/>
        <v>46</v>
      </c>
      <c r="CM21" s="12">
        <f t="shared" si="13"/>
        <v>47</v>
      </c>
      <c r="CN21" s="12">
        <f t="shared" si="13"/>
        <v>48</v>
      </c>
      <c r="CO21" s="12">
        <f t="shared" si="13"/>
        <v>49</v>
      </c>
      <c r="CP21" s="12">
        <f t="shared" si="13"/>
        <v>50</v>
      </c>
      <c r="CQ21" s="12">
        <f t="shared" si="13"/>
        <v>51</v>
      </c>
      <c r="CR21" s="12">
        <f t="shared" si="13"/>
        <v>52</v>
      </c>
      <c r="CS21" s="12">
        <f t="shared" si="13"/>
        <v>53</v>
      </c>
      <c r="CT21" s="12">
        <f t="shared" si="13"/>
        <v>54</v>
      </c>
      <c r="CU21" s="12">
        <f t="shared" si="13"/>
        <v>55</v>
      </c>
      <c r="CV21" s="12">
        <f t="shared" si="13"/>
        <v>56</v>
      </c>
      <c r="CW21" s="12">
        <f t="shared" si="13"/>
        <v>57</v>
      </c>
      <c r="CX21" s="12">
        <f t="shared" si="13"/>
        <v>58</v>
      </c>
      <c r="CY21" s="12">
        <f t="shared" si="13"/>
        <v>59</v>
      </c>
      <c r="CZ21" s="12">
        <f t="shared" si="13"/>
        <v>60</v>
      </c>
      <c r="DA21" s="12">
        <f t="shared" si="13"/>
        <v>61</v>
      </c>
      <c r="DB21" s="12">
        <f t="shared" si="13"/>
        <v>62</v>
      </c>
      <c r="DC21" s="12">
        <f t="shared" si="13"/>
        <v>63</v>
      </c>
      <c r="DD21" s="12">
        <f t="shared" si="13"/>
        <v>64</v>
      </c>
      <c r="DE21" s="12">
        <f t="shared" si="13"/>
        <v>65</v>
      </c>
      <c r="DF21" s="12">
        <f t="shared" si="13"/>
        <v>66</v>
      </c>
      <c r="DG21" s="12">
        <f t="shared" si="13"/>
        <v>67</v>
      </c>
      <c r="DH21" s="12">
        <f t="shared" si="13"/>
        <v>68</v>
      </c>
      <c r="DI21" s="12">
        <f t="shared" si="13"/>
        <v>69</v>
      </c>
      <c r="DJ21" s="12">
        <f t="shared" si="13"/>
        <v>70</v>
      </c>
      <c r="DK21" s="12">
        <f t="shared" si="13"/>
        <v>71</v>
      </c>
      <c r="DL21" s="12">
        <f t="shared" ref="DL21:FW21" si="14">DK21+1</f>
        <v>72</v>
      </c>
      <c r="DM21" s="12">
        <f t="shared" si="14"/>
        <v>73</v>
      </c>
      <c r="DN21" s="12">
        <f t="shared" si="14"/>
        <v>74</v>
      </c>
      <c r="DO21" s="12">
        <f t="shared" si="14"/>
        <v>75</v>
      </c>
      <c r="DP21" s="12">
        <f t="shared" si="14"/>
        <v>76</v>
      </c>
      <c r="DQ21" s="12">
        <f t="shared" si="14"/>
        <v>77</v>
      </c>
      <c r="DR21" s="12">
        <f t="shared" si="14"/>
        <v>78</v>
      </c>
      <c r="DS21" s="12">
        <f t="shared" si="14"/>
        <v>79</v>
      </c>
      <c r="DT21" s="12">
        <f t="shared" si="14"/>
        <v>80</v>
      </c>
      <c r="DU21" s="12">
        <f t="shared" si="14"/>
        <v>81</v>
      </c>
      <c r="DV21" s="12">
        <f t="shared" si="14"/>
        <v>82</v>
      </c>
      <c r="DW21" s="12">
        <f t="shared" si="14"/>
        <v>83</v>
      </c>
      <c r="DX21" s="12">
        <f t="shared" si="14"/>
        <v>84</v>
      </c>
      <c r="DY21" s="12">
        <f t="shared" si="14"/>
        <v>85</v>
      </c>
      <c r="DZ21" s="12">
        <f t="shared" si="14"/>
        <v>86</v>
      </c>
      <c r="EA21" s="12">
        <f t="shared" si="14"/>
        <v>87</v>
      </c>
      <c r="EB21" s="12">
        <f t="shared" si="14"/>
        <v>88</v>
      </c>
      <c r="EC21" s="12">
        <f t="shared" si="14"/>
        <v>89</v>
      </c>
      <c r="ED21" s="12">
        <f t="shared" si="14"/>
        <v>90</v>
      </c>
      <c r="EE21" s="12">
        <f t="shared" si="14"/>
        <v>91</v>
      </c>
      <c r="EF21" s="12">
        <f t="shared" si="14"/>
        <v>92</v>
      </c>
      <c r="EG21" s="12">
        <f t="shared" si="14"/>
        <v>93</v>
      </c>
      <c r="EH21" s="12">
        <f t="shared" si="14"/>
        <v>94</v>
      </c>
      <c r="EI21" s="12">
        <f t="shared" si="14"/>
        <v>95</v>
      </c>
      <c r="EJ21" s="12">
        <f t="shared" si="14"/>
        <v>96</v>
      </c>
      <c r="EK21" s="12">
        <f t="shared" si="14"/>
        <v>97</v>
      </c>
      <c r="EL21" s="12">
        <f t="shared" si="14"/>
        <v>98</v>
      </c>
      <c r="EM21" s="12">
        <f t="shared" si="14"/>
        <v>99</v>
      </c>
      <c r="EN21" s="12">
        <f t="shared" si="14"/>
        <v>100</v>
      </c>
      <c r="EO21" s="12">
        <f t="shared" si="14"/>
        <v>101</v>
      </c>
      <c r="EP21" s="12">
        <f t="shared" si="14"/>
        <v>102</v>
      </c>
      <c r="EQ21" s="12">
        <f t="shared" si="14"/>
        <v>103</v>
      </c>
      <c r="ER21" s="12">
        <f t="shared" si="14"/>
        <v>104</v>
      </c>
      <c r="ES21" s="12">
        <f t="shared" si="14"/>
        <v>105</v>
      </c>
      <c r="ET21" s="12">
        <f t="shared" si="14"/>
        <v>106</v>
      </c>
      <c r="EU21" s="12">
        <f t="shared" si="14"/>
        <v>107</v>
      </c>
      <c r="EV21" s="12">
        <f t="shared" si="14"/>
        <v>108</v>
      </c>
      <c r="EW21" s="12">
        <f t="shared" si="14"/>
        <v>109</v>
      </c>
      <c r="EX21" s="12">
        <f t="shared" si="14"/>
        <v>110</v>
      </c>
      <c r="EY21" s="12">
        <f t="shared" si="14"/>
        <v>111</v>
      </c>
      <c r="EZ21" s="12">
        <f t="shared" si="14"/>
        <v>112</v>
      </c>
      <c r="FA21" s="12">
        <f t="shared" si="14"/>
        <v>113</v>
      </c>
      <c r="FB21" s="12">
        <f t="shared" si="14"/>
        <v>114</v>
      </c>
      <c r="FC21" s="12">
        <f t="shared" si="14"/>
        <v>115</v>
      </c>
      <c r="FD21" s="12">
        <f t="shared" si="14"/>
        <v>116</v>
      </c>
      <c r="FE21" s="12">
        <f t="shared" si="14"/>
        <v>117</v>
      </c>
      <c r="FF21" s="12">
        <f t="shared" si="14"/>
        <v>118</v>
      </c>
      <c r="FG21" s="12">
        <f t="shared" si="14"/>
        <v>119</v>
      </c>
      <c r="FH21" s="12">
        <f t="shared" si="14"/>
        <v>120</v>
      </c>
      <c r="FI21" s="12">
        <f t="shared" si="14"/>
        <v>121</v>
      </c>
      <c r="FJ21" s="12">
        <f t="shared" si="14"/>
        <v>122</v>
      </c>
      <c r="FK21" s="12">
        <f t="shared" si="14"/>
        <v>123</v>
      </c>
      <c r="FL21" s="12">
        <f t="shared" si="14"/>
        <v>124</v>
      </c>
      <c r="FM21" s="12">
        <f t="shared" si="14"/>
        <v>125</v>
      </c>
      <c r="FN21" s="12">
        <f t="shared" si="14"/>
        <v>126</v>
      </c>
      <c r="FO21" s="12">
        <f t="shared" si="14"/>
        <v>127</v>
      </c>
      <c r="FP21" s="12">
        <f t="shared" si="14"/>
        <v>128</v>
      </c>
      <c r="FQ21" s="12">
        <f t="shared" si="14"/>
        <v>129</v>
      </c>
      <c r="FR21" s="12">
        <f t="shared" si="14"/>
        <v>130</v>
      </c>
      <c r="FS21" s="12">
        <f t="shared" si="14"/>
        <v>131</v>
      </c>
      <c r="FT21" s="12">
        <f t="shared" si="14"/>
        <v>132</v>
      </c>
      <c r="FU21" s="12">
        <f t="shared" si="14"/>
        <v>133</v>
      </c>
      <c r="FV21" s="12">
        <f t="shared" si="14"/>
        <v>134</v>
      </c>
      <c r="FW21" s="12">
        <f t="shared" si="14"/>
        <v>135</v>
      </c>
      <c r="FX21" s="12">
        <f t="shared" ref="FX21:HW21" si="15">FW21+1</f>
        <v>136</v>
      </c>
      <c r="FY21" s="12">
        <f t="shared" si="15"/>
        <v>137</v>
      </c>
      <c r="FZ21" s="12">
        <f t="shared" si="15"/>
        <v>138</v>
      </c>
      <c r="GA21" s="12">
        <f t="shared" si="15"/>
        <v>139</v>
      </c>
      <c r="GB21" s="12">
        <f t="shared" si="15"/>
        <v>140</v>
      </c>
      <c r="GC21" s="12">
        <f t="shared" si="15"/>
        <v>141</v>
      </c>
      <c r="GD21" s="12">
        <f t="shared" si="15"/>
        <v>142</v>
      </c>
      <c r="GE21" s="12">
        <f t="shared" si="15"/>
        <v>143</v>
      </c>
      <c r="GF21" s="12">
        <f t="shared" si="15"/>
        <v>144</v>
      </c>
      <c r="GG21" s="12">
        <f t="shared" si="15"/>
        <v>145</v>
      </c>
      <c r="GH21" s="12">
        <f t="shared" si="15"/>
        <v>146</v>
      </c>
      <c r="GI21" s="12">
        <f t="shared" si="15"/>
        <v>147</v>
      </c>
      <c r="GJ21" s="12">
        <f t="shared" si="15"/>
        <v>148</v>
      </c>
      <c r="GK21" s="12">
        <f t="shared" si="15"/>
        <v>149</v>
      </c>
      <c r="GL21" s="12">
        <f t="shared" si="15"/>
        <v>150</v>
      </c>
      <c r="GM21" s="12">
        <f t="shared" si="15"/>
        <v>151</v>
      </c>
      <c r="GN21" s="12">
        <f t="shared" si="15"/>
        <v>152</v>
      </c>
      <c r="GO21" s="12">
        <f t="shared" si="15"/>
        <v>153</v>
      </c>
      <c r="GP21" s="12">
        <f t="shared" si="15"/>
        <v>154</v>
      </c>
      <c r="GQ21" s="12">
        <f t="shared" si="15"/>
        <v>155</v>
      </c>
      <c r="GR21" s="12">
        <f t="shared" si="15"/>
        <v>156</v>
      </c>
      <c r="GS21" s="12">
        <f t="shared" si="15"/>
        <v>157</v>
      </c>
      <c r="GT21" s="12">
        <f t="shared" si="15"/>
        <v>158</v>
      </c>
      <c r="GU21" s="12">
        <f t="shared" si="15"/>
        <v>159</v>
      </c>
      <c r="GV21" s="12">
        <f t="shared" si="15"/>
        <v>160</v>
      </c>
      <c r="GW21" s="12">
        <f t="shared" si="15"/>
        <v>161</v>
      </c>
      <c r="GX21" s="12">
        <f t="shared" si="15"/>
        <v>162</v>
      </c>
      <c r="GY21" s="12">
        <f t="shared" si="15"/>
        <v>163</v>
      </c>
      <c r="GZ21" s="12">
        <f t="shared" si="15"/>
        <v>164</v>
      </c>
      <c r="HA21" s="12">
        <f t="shared" si="15"/>
        <v>165</v>
      </c>
      <c r="HB21" s="12">
        <f t="shared" si="15"/>
        <v>166</v>
      </c>
      <c r="HC21" s="12">
        <f t="shared" si="15"/>
        <v>167</v>
      </c>
      <c r="HD21" s="12">
        <f t="shared" si="15"/>
        <v>168</v>
      </c>
      <c r="HE21" s="12">
        <f t="shared" si="15"/>
        <v>169</v>
      </c>
      <c r="HF21" s="12">
        <f t="shared" si="15"/>
        <v>170</v>
      </c>
      <c r="HG21" s="12">
        <f t="shared" si="15"/>
        <v>171</v>
      </c>
      <c r="HH21" s="12">
        <f t="shared" si="15"/>
        <v>172</v>
      </c>
      <c r="HI21" s="12">
        <f t="shared" si="15"/>
        <v>173</v>
      </c>
      <c r="HJ21" s="12">
        <f t="shared" si="15"/>
        <v>174</v>
      </c>
      <c r="HK21" s="12">
        <f t="shared" si="15"/>
        <v>175</v>
      </c>
      <c r="HL21" s="12">
        <f t="shared" si="15"/>
        <v>176</v>
      </c>
      <c r="HM21" s="12">
        <f t="shared" si="15"/>
        <v>177</v>
      </c>
      <c r="HN21" s="12">
        <f t="shared" si="15"/>
        <v>178</v>
      </c>
      <c r="HO21" s="12">
        <f t="shared" si="15"/>
        <v>179</v>
      </c>
      <c r="HP21" s="12">
        <f t="shared" si="15"/>
        <v>180</v>
      </c>
      <c r="HQ21" s="12">
        <f t="shared" si="15"/>
        <v>181</v>
      </c>
      <c r="HR21" s="12">
        <f t="shared" si="15"/>
        <v>182</v>
      </c>
      <c r="HS21" s="12">
        <f t="shared" si="15"/>
        <v>183</v>
      </c>
      <c r="HT21" s="12">
        <f t="shared" si="15"/>
        <v>184</v>
      </c>
      <c r="HU21" s="12">
        <f t="shared" si="15"/>
        <v>185</v>
      </c>
      <c r="HV21" s="12">
        <f t="shared" si="15"/>
        <v>186</v>
      </c>
      <c r="HW21" s="12">
        <f t="shared" si="15"/>
        <v>187</v>
      </c>
      <c r="HX21" s="13"/>
      <c r="HY21" s="13"/>
      <c r="HZ21" s="13"/>
      <c r="IA21" s="13"/>
      <c r="IB21" s="13"/>
      <c r="IC21" s="13"/>
      <c r="ID21" s="13"/>
      <c r="IE21" s="13"/>
      <c r="IF21" s="33"/>
      <c r="IG21" s="16"/>
      <c r="IH21" s="16"/>
      <c r="II21" s="16"/>
      <c r="IJ21" s="16"/>
      <c r="IK21" s="16"/>
      <c r="IL21" s="16"/>
      <c r="IM21" s="16"/>
      <c r="IN21" s="8"/>
    </row>
    <row r="22" spans="2:248" ht="15.75" thickBot="1" x14ac:dyDescent="0.3">
      <c r="B22" s="103">
        <f t="shared" si="12"/>
        <v>30</v>
      </c>
      <c r="C22" s="102">
        <v>5</v>
      </c>
      <c r="D22" s="98">
        <f t="shared" si="1"/>
        <v>0.22172222222222221</v>
      </c>
      <c r="E22" s="96">
        <f t="shared" si="2"/>
        <v>0.23650370370370369</v>
      </c>
      <c r="F22" s="96">
        <f t="shared" si="3"/>
        <v>0.24389444444444441</v>
      </c>
      <c r="G22" s="96">
        <f t="shared" si="4"/>
        <v>0.24832888888888888</v>
      </c>
      <c r="H22" s="96">
        <f t="shared" si="5"/>
        <v>0.25128518518518517</v>
      </c>
      <c r="I22" s="96">
        <f t="shared" si="6"/>
        <v>0.25339682539682534</v>
      </c>
      <c r="J22" s="96">
        <f t="shared" si="7"/>
        <v>0.25498055555555554</v>
      </c>
      <c r="K22" s="96">
        <f t="shared" si="8"/>
        <v>0.2562123456790123</v>
      </c>
      <c r="L22" s="96">
        <f t="shared" si="9"/>
        <v>0.25719777777777775</v>
      </c>
      <c r="M22" s="96">
        <f t="shared" si="10"/>
        <v>0.2580040404040404</v>
      </c>
      <c r="N22" s="96">
        <f t="shared" si="11"/>
        <v>0.25867592592592592</v>
      </c>
      <c r="O22" s="259"/>
      <c r="P22" s="259"/>
      <c r="Q22" s="259"/>
      <c r="R22" s="259"/>
      <c r="S22" s="259"/>
      <c r="T22" s="259"/>
      <c r="U22" s="259"/>
      <c r="V22" s="259"/>
      <c r="W22" s="64"/>
      <c r="X22" s="65"/>
      <c r="Z22" s="83"/>
      <c r="AA22" s="83"/>
      <c r="AT22" s="4"/>
      <c r="AU22" s="248">
        <f>F12</f>
        <v>14.75</v>
      </c>
      <c r="AV22" s="12" t="str">
        <f>"("&amp;ROUND(AU22*25.4/50,0)*50&amp;")"</f>
        <v>(350)</v>
      </c>
      <c r="AW22" s="19">
        <v>8</v>
      </c>
      <c r="AX22" s="20">
        <v>0.16481663172630859</v>
      </c>
      <c r="AY22" s="21" t="str">
        <f t="shared" ref="AY22:AY36" si="16">"("&amp;FIXED(AX22*0.092903,2)&amp;")"</f>
        <v>(0.02)</v>
      </c>
      <c r="AZ22" s="23"/>
      <c r="BA22" s="23"/>
      <c r="BB22" s="23"/>
      <c r="BC22" s="23"/>
      <c r="BD22" s="23"/>
      <c r="BE22" s="23"/>
      <c r="BF22" s="23"/>
      <c r="BG22" s="23"/>
      <c r="BH22" s="23">
        <v>0.26370661076209373</v>
      </c>
      <c r="BI22" s="21" t="str">
        <f t="shared" ref="BI22:BI36" si="17">"("&amp;ROUND(BH22*0.092903,2)&amp;")"</f>
        <v>(0.02)</v>
      </c>
      <c r="BJ22" s="23"/>
      <c r="BK22" s="23"/>
      <c r="BL22" s="23"/>
      <c r="BM22" s="23"/>
      <c r="BN22" s="23"/>
      <c r="BO22" s="23"/>
      <c r="BP22" s="23"/>
      <c r="BQ22" s="23"/>
      <c r="BR22" s="23">
        <v>0.3625965897978789</v>
      </c>
      <c r="BS22" s="21" t="str">
        <f t="shared" ref="BS22:BS36" si="18">"("&amp;ROUND(BR22*0.092903,2)&amp;")"</f>
        <v>(0.03)</v>
      </c>
      <c r="BT22" s="23"/>
      <c r="BU22" s="23"/>
      <c r="BV22" s="23"/>
      <c r="BW22" s="23"/>
      <c r="BX22" s="23"/>
      <c r="BY22" s="23"/>
      <c r="BZ22" s="23"/>
      <c r="CA22" s="23"/>
      <c r="CB22" s="23">
        <v>0.46148656883366401</v>
      </c>
      <c r="CC22" s="21" t="str">
        <f t="shared" ref="CC22:CC36" si="19">"("&amp;ROUND(CB22*0.092903,2)&amp;")"</f>
        <v>(0.04)</v>
      </c>
      <c r="CD22" s="23"/>
      <c r="CE22" s="23"/>
      <c r="CF22" s="23"/>
      <c r="CG22" s="23"/>
      <c r="CH22" s="23"/>
      <c r="CI22" s="23"/>
      <c r="CJ22" s="23"/>
      <c r="CK22" s="23"/>
      <c r="CL22" s="23">
        <v>0.56037654786944913</v>
      </c>
      <c r="CM22" s="21" t="str">
        <f t="shared" ref="CM22:CM36" si="20">"("&amp;ROUND(CL22*0.092903,2)&amp;")"</f>
        <v>(0.05)</v>
      </c>
      <c r="CN22" s="23"/>
      <c r="CO22" s="23"/>
      <c r="CP22" s="23"/>
      <c r="CQ22" s="23"/>
      <c r="CR22" s="23"/>
      <c r="CS22" s="23"/>
      <c r="CT22" s="23"/>
      <c r="CU22" s="23"/>
      <c r="CV22" s="23">
        <v>0.65926652690523435</v>
      </c>
      <c r="CW22" s="21" t="str">
        <f t="shared" ref="CW22:CW36" si="21">"("&amp;ROUND(CV22*0.092903,2)&amp;")"</f>
        <v>(0.06)</v>
      </c>
      <c r="CX22" s="23"/>
      <c r="CY22" s="23"/>
      <c r="CZ22" s="23"/>
      <c r="DA22" s="23"/>
      <c r="DB22" s="23"/>
      <c r="DC22" s="23"/>
      <c r="DD22" s="23"/>
      <c r="DE22" s="23"/>
      <c r="DF22" s="23">
        <v>0.75815650594101947</v>
      </c>
      <c r="DG22" s="21" t="str">
        <f t="shared" ref="DG22:DG36" si="22">"("&amp;ROUND(DF22*0.092903,2)&amp;")"</f>
        <v>(0.07)</v>
      </c>
      <c r="DH22" s="23"/>
      <c r="DI22" s="23"/>
      <c r="DJ22" s="23"/>
      <c r="DK22" s="23"/>
      <c r="DL22" s="23"/>
      <c r="DM22" s="23"/>
      <c r="DN22" s="23"/>
      <c r="DO22" s="23"/>
      <c r="DP22" s="23">
        <v>0.85704648497680458</v>
      </c>
      <c r="DQ22" s="21" t="str">
        <f t="shared" ref="DQ22:DQ36" si="23">"("&amp;FIXED(DP22*0.092903,2)&amp;")"</f>
        <v>(0.08)</v>
      </c>
      <c r="DR22" s="23"/>
      <c r="DS22" s="23"/>
      <c r="DT22" s="23"/>
      <c r="DU22" s="23"/>
      <c r="DV22" s="23"/>
      <c r="DW22" s="23"/>
      <c r="DX22" s="23"/>
      <c r="DY22" s="23"/>
      <c r="DZ22" s="23">
        <v>0.9559364640125898</v>
      </c>
      <c r="EA22" s="21" t="str">
        <f t="shared" ref="EA22:EA29" si="24">"("&amp;FIXED(DZ22*0.092903,2)&amp;")"</f>
        <v>(0.09)</v>
      </c>
      <c r="EB22" s="23"/>
      <c r="EC22" s="23"/>
      <c r="ED22" s="23"/>
      <c r="EE22" s="23"/>
      <c r="EF22" s="23"/>
      <c r="EG22" s="23"/>
      <c r="EH22" s="23"/>
      <c r="EI22" s="23"/>
      <c r="EJ22" s="23">
        <v>1.0548264430483749</v>
      </c>
      <c r="EK22" s="21" t="str">
        <f>"("&amp;FIXED(EJ22*0.092903,2)&amp;")"</f>
        <v>(0.10)</v>
      </c>
      <c r="EL22" s="23"/>
      <c r="EM22" s="23"/>
      <c r="EN22" s="23"/>
      <c r="EO22" s="23"/>
      <c r="EP22" s="23"/>
      <c r="EQ22" s="23"/>
      <c r="ER22" s="23"/>
      <c r="ES22" s="23"/>
      <c r="ET22" s="23">
        <v>1.15371642208416</v>
      </c>
      <c r="EU22" s="21" t="str">
        <f t="shared" ref="EU22:EU36" si="25">"("&amp;FIXED(ET22*0.092903,2)&amp;")"</f>
        <v>(0.11)</v>
      </c>
      <c r="EV22" s="23"/>
      <c r="EW22" s="23"/>
      <c r="EX22" s="23"/>
      <c r="EY22" s="23"/>
      <c r="EZ22" s="23"/>
      <c r="FA22" s="23"/>
      <c r="FB22" s="23"/>
      <c r="FC22" s="23"/>
      <c r="FD22" s="202"/>
      <c r="FE22" s="203"/>
      <c r="FF22" s="204"/>
      <c r="FG22" s="204"/>
      <c r="FH22" s="204"/>
      <c r="FI22" s="204"/>
      <c r="FJ22" s="204"/>
      <c r="FK22" s="204"/>
      <c r="FL22" s="204"/>
      <c r="FM22" s="205"/>
      <c r="FN22" s="202"/>
      <c r="FO22" s="203"/>
      <c r="FP22" s="204"/>
      <c r="FQ22" s="204"/>
      <c r="FR22" s="204"/>
      <c r="FS22" s="204"/>
      <c r="FT22" s="204"/>
      <c r="FU22" s="204"/>
      <c r="FV22" s="204"/>
      <c r="FW22" s="205"/>
      <c r="FX22" s="202"/>
      <c r="FY22" s="203"/>
      <c r="FZ22" s="204"/>
      <c r="GA22" s="204"/>
      <c r="GB22" s="204"/>
      <c r="GC22" s="204"/>
      <c r="GD22" s="204"/>
      <c r="GE22" s="204"/>
      <c r="GF22" s="204"/>
      <c r="GG22" s="205"/>
      <c r="GH22" s="202"/>
      <c r="GI22" s="203"/>
      <c r="GJ22" s="204"/>
      <c r="GK22" s="204"/>
      <c r="GL22" s="204"/>
      <c r="GM22" s="204"/>
      <c r="GN22" s="204"/>
      <c r="GO22" s="204"/>
      <c r="GP22" s="204"/>
      <c r="GQ22" s="205"/>
      <c r="GR22" s="202"/>
      <c r="GS22" s="203"/>
      <c r="GT22" s="204"/>
      <c r="GU22" s="204"/>
      <c r="GV22" s="204"/>
      <c r="GW22" s="204"/>
      <c r="GX22" s="204"/>
      <c r="GY22" s="204"/>
      <c r="GZ22" s="204"/>
      <c r="HA22" s="205"/>
      <c r="HB22" s="202"/>
      <c r="HC22" s="203"/>
      <c r="HD22" s="204"/>
      <c r="HE22" s="204"/>
      <c r="HF22" s="204"/>
      <c r="HG22" s="204"/>
      <c r="HH22" s="204"/>
      <c r="HI22" s="204"/>
      <c r="HJ22" s="204"/>
      <c r="HK22" s="205"/>
      <c r="HL22" s="202"/>
      <c r="HM22" s="203"/>
      <c r="HN22" s="204"/>
      <c r="HO22" s="204"/>
      <c r="HP22" s="204"/>
      <c r="HQ22" s="204"/>
      <c r="HR22" s="204"/>
      <c r="HS22" s="204"/>
      <c r="HT22" s="204"/>
      <c r="HU22" s="205"/>
      <c r="HV22" s="202"/>
      <c r="HW22" s="203"/>
      <c r="HX22" s="204"/>
      <c r="HY22" s="204"/>
      <c r="HZ22" s="204"/>
      <c r="IA22" s="204"/>
      <c r="IB22" s="204"/>
      <c r="IC22" s="204"/>
      <c r="ID22" s="204"/>
      <c r="IE22" s="205"/>
      <c r="IF22" s="33"/>
      <c r="IG22" s="25">
        <v>1</v>
      </c>
      <c r="IH22" s="26">
        <v>2.0099999999999998</v>
      </c>
      <c r="II22" s="26">
        <v>2.0099999999999998</v>
      </c>
      <c r="IJ22" s="26">
        <v>1.952</v>
      </c>
      <c r="IK22" s="26">
        <v>1</v>
      </c>
      <c r="IL22" s="26">
        <v>1</v>
      </c>
      <c r="IM22" s="26">
        <v>1.125</v>
      </c>
      <c r="IN22" s="8"/>
    </row>
    <row r="23" spans="2:248" ht="15.75" thickBot="1" x14ac:dyDescent="0.3">
      <c r="B23" s="103">
        <f t="shared" si="12"/>
        <v>36</v>
      </c>
      <c r="C23" s="102">
        <v>6</v>
      </c>
      <c r="D23" s="98">
        <f t="shared" si="1"/>
        <v>0.23129629629629625</v>
      </c>
      <c r="E23" s="96">
        <f t="shared" si="2"/>
        <v>0.24671604938271605</v>
      </c>
      <c r="F23" s="96">
        <f t="shared" si="3"/>
        <v>0.25442592592592589</v>
      </c>
      <c r="G23" s="96">
        <f t="shared" si="4"/>
        <v>0.25905185185185181</v>
      </c>
      <c r="H23" s="96">
        <f t="shared" si="5"/>
        <v>0.26213580246913576</v>
      </c>
      <c r="I23" s="96">
        <f t="shared" si="6"/>
        <v>0.26433862433862432</v>
      </c>
      <c r="J23" s="96">
        <f t="shared" si="7"/>
        <v>0.26599074074074069</v>
      </c>
      <c r="K23" s="96">
        <f t="shared" si="8"/>
        <v>0.26727572016460904</v>
      </c>
      <c r="L23" s="96">
        <f t="shared" si="9"/>
        <v>0.26830370370370366</v>
      </c>
      <c r="M23" s="96">
        <f t="shared" si="10"/>
        <v>0.26914478114478113</v>
      </c>
      <c r="N23" s="96">
        <f t="shared" si="11"/>
        <v>0.26984567901234568</v>
      </c>
      <c r="O23" s="259"/>
      <c r="P23" s="259"/>
      <c r="Q23" s="259"/>
      <c r="R23" s="259"/>
      <c r="S23" s="259"/>
      <c r="T23" s="259"/>
      <c r="U23" s="259"/>
      <c r="V23" s="259"/>
      <c r="W23" s="64"/>
      <c r="X23" s="65"/>
      <c r="Z23" s="83"/>
      <c r="AA23" s="83"/>
      <c r="AT23" s="4"/>
      <c r="AU23" s="14">
        <v>18</v>
      </c>
      <c r="AV23" s="12" t="str">
        <f t="shared" ref="AV23:AV40" si="26">"("&amp;ROUND(AU23*25.4/50,0)*50&amp;")"</f>
        <v>(450)</v>
      </c>
      <c r="AW23" s="19">
        <f>AW22+1</f>
        <v>9</v>
      </c>
      <c r="AX23" s="373">
        <f t="shared" ref="AX23:AX36" si="27">($IH23+(($IG23-1)*$II23)+$IJ23)*BG23/144</f>
        <v>0.27513888888888888</v>
      </c>
      <c r="AY23" s="374" t="str">
        <f t="shared" si="16"/>
        <v>(0.03)</v>
      </c>
      <c r="AZ23" s="375">
        <v>2</v>
      </c>
      <c r="BA23" s="375">
        <f t="shared" ref="BA23:BA36" si="28">$IK$22*AZ23</f>
        <v>2</v>
      </c>
      <c r="BB23" s="375">
        <v>0</v>
      </c>
      <c r="BC23" s="375">
        <f t="shared" ref="BC23:BC36" si="29">$IM$22*BB23</f>
        <v>0</v>
      </c>
      <c r="BD23" s="375">
        <v>0</v>
      </c>
      <c r="BE23" s="375">
        <f t="shared" ref="BE23:BE36" si="30">$IL$22*BD23</f>
        <v>0</v>
      </c>
      <c r="BF23" s="375">
        <f>BA23+BC23+BE23</f>
        <v>2</v>
      </c>
      <c r="BG23" s="376">
        <f t="shared" ref="BG23:BG36" si="31">AX$20-BA23-BC23-BE23</f>
        <v>10</v>
      </c>
      <c r="BH23" s="373">
        <f t="shared" ref="BH23:BH36" si="32">($IH23+(($IG23-1)*$II23)+$IJ23)*BQ23/144</f>
        <v>0.44022222222222218</v>
      </c>
      <c r="BI23" s="374" t="str">
        <f t="shared" si="17"/>
        <v>(0.04)</v>
      </c>
      <c r="BJ23" s="375">
        <v>2</v>
      </c>
      <c r="BK23" s="375">
        <f t="shared" ref="BK23:BK36" si="33">$IK$22*BJ23</f>
        <v>2</v>
      </c>
      <c r="BL23" s="375">
        <v>0</v>
      </c>
      <c r="BM23" s="375">
        <f t="shared" ref="BM23:BM36" si="34">$IM$22*BL23</f>
        <v>0</v>
      </c>
      <c r="BN23" s="375">
        <v>0</v>
      </c>
      <c r="BO23" s="375">
        <f t="shared" ref="BO23:BO36" si="35">$IL$22*BN23</f>
        <v>0</v>
      </c>
      <c r="BP23" s="375">
        <f t="shared" ref="BP23:BP36" si="36">BK23+BM23+BO23</f>
        <v>2</v>
      </c>
      <c r="BQ23" s="376">
        <f t="shared" ref="BQ23:BQ36" si="37">BH$20-BK23-BM23-BO23</f>
        <v>16</v>
      </c>
      <c r="BR23" s="373">
        <f t="shared" ref="BR23:BR36" si="38">($IH23+(($IG23-1)*$II23)+$IJ23)*CA23/144</f>
        <v>0.60530555555555543</v>
      </c>
      <c r="BS23" s="374" t="str">
        <f t="shared" si="18"/>
        <v>(0.06)</v>
      </c>
      <c r="BT23" s="375">
        <v>2</v>
      </c>
      <c r="BU23" s="375">
        <f t="shared" ref="BU23:BU36" si="39">$IK$22*BT23</f>
        <v>2</v>
      </c>
      <c r="BV23" s="375">
        <v>0</v>
      </c>
      <c r="BW23" s="375">
        <f t="shared" ref="BW23:BW36" si="40">$IM$22*BV23</f>
        <v>0</v>
      </c>
      <c r="BX23" s="375">
        <v>0</v>
      </c>
      <c r="BY23" s="375">
        <f t="shared" ref="BY23:BY36" si="41">$IL$22*BX23</f>
        <v>0</v>
      </c>
      <c r="BZ23" s="375">
        <f t="shared" ref="BZ23:BZ36" si="42">BU23+BW23+BY23</f>
        <v>2</v>
      </c>
      <c r="CA23" s="376">
        <f t="shared" ref="CA23:CA36" si="43">BR$20-BU23-BW23-BY23</f>
        <v>22</v>
      </c>
      <c r="CB23" s="373">
        <f t="shared" ref="CB23:CB36" si="44">($IH23+(($IG23-1)*$II23)+$IJ23)*CK23/144</f>
        <v>0.77038888888888879</v>
      </c>
      <c r="CC23" s="374" t="str">
        <f t="shared" si="19"/>
        <v>(0.07)</v>
      </c>
      <c r="CD23" s="375">
        <v>2</v>
      </c>
      <c r="CE23" s="375">
        <f t="shared" ref="CE23:CE36" si="45">$IK$22*CD23</f>
        <v>2</v>
      </c>
      <c r="CF23" s="375">
        <v>0</v>
      </c>
      <c r="CG23" s="375">
        <f t="shared" ref="CG23:CG36" si="46">$IM$22*CF23</f>
        <v>0</v>
      </c>
      <c r="CH23" s="375">
        <v>0</v>
      </c>
      <c r="CI23" s="375">
        <f t="shared" ref="CI23:CI36" si="47">$IL$22*CH23</f>
        <v>0</v>
      </c>
      <c r="CJ23" s="375">
        <f t="shared" ref="CJ23:CJ36" si="48">CE23+CG23+CI23</f>
        <v>2</v>
      </c>
      <c r="CK23" s="376">
        <f t="shared" ref="CK23:CK36" si="49">CB$20-CE23-CG23-CI23</f>
        <v>28</v>
      </c>
      <c r="CL23" s="373">
        <f t="shared" ref="CL23:CL36" si="50">($IH23+(($IG23-1)*$II23)+$IJ23)*CU23/144</f>
        <v>0.93547222222222226</v>
      </c>
      <c r="CM23" s="374" t="str">
        <f t="shared" si="20"/>
        <v>(0.09)</v>
      </c>
      <c r="CN23" s="375">
        <v>2</v>
      </c>
      <c r="CO23" s="375">
        <f t="shared" ref="CO23:CO36" si="51">$IK$22*CN23</f>
        <v>2</v>
      </c>
      <c r="CP23" s="375">
        <v>0</v>
      </c>
      <c r="CQ23" s="375">
        <f t="shared" ref="CQ23:CQ36" si="52">$IM$22*CP23</f>
        <v>0</v>
      </c>
      <c r="CR23" s="375">
        <v>0</v>
      </c>
      <c r="CS23" s="375">
        <f t="shared" ref="CS23:CS36" si="53">$IL$22*CR23</f>
        <v>0</v>
      </c>
      <c r="CT23" s="375">
        <f t="shared" ref="CT23:CT36" si="54">CO23+CQ23+CS23</f>
        <v>2</v>
      </c>
      <c r="CU23" s="376">
        <f t="shared" ref="CU23:CU36" si="55">CL$20-CO23-CQ23-CS23</f>
        <v>34</v>
      </c>
      <c r="CV23" s="373">
        <f t="shared" ref="CV23:CV36" si="56">($IH23+(($IG23-1)*$II23)+$IJ23)*DE23/144</f>
        <v>1.1005555555555555</v>
      </c>
      <c r="CW23" s="374" t="str">
        <f t="shared" si="21"/>
        <v>(0.1)</v>
      </c>
      <c r="CX23" s="375">
        <v>2</v>
      </c>
      <c r="CY23" s="375">
        <f t="shared" ref="CY23:CY36" si="57">$IK$22*CX23</f>
        <v>2</v>
      </c>
      <c r="CZ23" s="375">
        <v>0</v>
      </c>
      <c r="DA23" s="375">
        <f t="shared" ref="DA23:DA36" si="58">$IM$22*CZ23</f>
        <v>0</v>
      </c>
      <c r="DB23" s="375">
        <v>0</v>
      </c>
      <c r="DC23" s="375">
        <f t="shared" ref="DC23:DC36" si="59">$IL$22*DB23</f>
        <v>0</v>
      </c>
      <c r="DD23" s="375">
        <f t="shared" ref="DD23:DD36" si="60">CY23+DA23+DC23</f>
        <v>2</v>
      </c>
      <c r="DE23" s="376">
        <f t="shared" ref="DE23:DE36" si="61">CV$20-CY23-DA23-DC23</f>
        <v>40</v>
      </c>
      <c r="DF23" s="373">
        <f t="shared" ref="DF23:DF36" si="62">($IH23+(($IG23-1)*$II23)+$IJ23)*DO23/144</f>
        <v>1.2656388888888888</v>
      </c>
      <c r="DG23" s="374" t="str">
        <f t="shared" si="22"/>
        <v>(0.12)</v>
      </c>
      <c r="DH23" s="375">
        <v>2</v>
      </c>
      <c r="DI23" s="375">
        <f t="shared" ref="DI23:DI36" si="63">$IK$22*DH23</f>
        <v>2</v>
      </c>
      <c r="DJ23" s="375">
        <v>0</v>
      </c>
      <c r="DK23" s="375">
        <f t="shared" ref="DK23:DK36" si="64">$IM$22*DJ23</f>
        <v>0</v>
      </c>
      <c r="DL23" s="375">
        <v>0</v>
      </c>
      <c r="DM23" s="375">
        <f t="shared" ref="DM23:DM36" si="65">$IL$22*DL23</f>
        <v>0</v>
      </c>
      <c r="DN23" s="375">
        <f t="shared" ref="DN23:DN36" si="66">DI23+DK23+DM23</f>
        <v>2</v>
      </c>
      <c r="DO23" s="376">
        <f t="shared" ref="DO23:DO36" si="67">DF$20-DI23-DK23-DM23</f>
        <v>46</v>
      </c>
      <c r="DP23" s="373">
        <f t="shared" ref="DP23:DP36" si="68">($IH23+(($IG23-1)*$II23)+$IJ23)*DY23/144</f>
        <v>1.4307222222222222</v>
      </c>
      <c r="DQ23" s="374" t="str">
        <f t="shared" si="23"/>
        <v>(0.13)</v>
      </c>
      <c r="DR23" s="375">
        <v>2</v>
      </c>
      <c r="DS23" s="375">
        <f t="shared" ref="DS23:DS36" si="69">$IK$22*DR23</f>
        <v>2</v>
      </c>
      <c r="DT23" s="375">
        <v>0</v>
      </c>
      <c r="DU23" s="375">
        <f t="shared" ref="DU23:DU36" si="70">$IM$22*DT23</f>
        <v>0</v>
      </c>
      <c r="DV23" s="375">
        <v>0</v>
      </c>
      <c r="DW23" s="375">
        <f t="shared" ref="DW23:DW36" si="71">$IL$22*DV23</f>
        <v>0</v>
      </c>
      <c r="DX23" s="375">
        <f t="shared" ref="DX23:DX36" si="72">DS23+DU23+DW23</f>
        <v>2</v>
      </c>
      <c r="DY23" s="376">
        <f t="shared" ref="DY23:DY36" si="73">DP$20-DS23-DU23-DW23</f>
        <v>52</v>
      </c>
      <c r="DZ23" s="373">
        <f t="shared" ref="DZ23:DZ36" si="74">($IH23+(($IG23-1)*$II23)+$IJ23)*EI23/144</f>
        <v>1.5958055555555555</v>
      </c>
      <c r="EA23" s="374" t="str">
        <f t="shared" si="24"/>
        <v>(0.15)</v>
      </c>
      <c r="EB23" s="375">
        <v>2</v>
      </c>
      <c r="EC23" s="375">
        <f t="shared" ref="EC23:EC36" si="75">$IK$22*EB23</f>
        <v>2</v>
      </c>
      <c r="ED23" s="375">
        <v>0</v>
      </c>
      <c r="EE23" s="375">
        <f t="shared" ref="EE23:EE36" si="76">$IM$22*ED23</f>
        <v>0</v>
      </c>
      <c r="EF23" s="375">
        <v>0</v>
      </c>
      <c r="EG23" s="375">
        <f t="shared" ref="EG23:EG36" si="77">$IL$22*EF23</f>
        <v>0</v>
      </c>
      <c r="EH23" s="375">
        <f t="shared" ref="EH23:EH36" si="78">EC23+EE23+EG23</f>
        <v>2</v>
      </c>
      <c r="EI23" s="376">
        <f t="shared" ref="EI23:EI36" si="79">DZ$20-EC23-EE23-EG23</f>
        <v>58</v>
      </c>
      <c r="EJ23" s="373">
        <f t="shared" ref="EJ23:EJ36" si="80">($IH23+(($IG23-1)*$II23)+$IJ23)*ES23/144</f>
        <v>1.7608888888888887</v>
      </c>
      <c r="EK23" s="374" t="str">
        <f>"("&amp;FIXED(EJ23*0.092903,2)&amp;")"</f>
        <v>(0.16)</v>
      </c>
      <c r="EL23" s="375">
        <v>2</v>
      </c>
      <c r="EM23" s="375">
        <f t="shared" ref="EM23:EM36" si="81">$IK$22*EL23</f>
        <v>2</v>
      </c>
      <c r="EN23" s="375">
        <v>0</v>
      </c>
      <c r="EO23" s="375">
        <f t="shared" ref="EO23:EO36" si="82">$IM$22*EN23</f>
        <v>0</v>
      </c>
      <c r="EP23" s="375">
        <v>0</v>
      </c>
      <c r="EQ23" s="375">
        <f t="shared" ref="EQ23:EQ36" si="83">$IL$22*EP23</f>
        <v>0</v>
      </c>
      <c r="ER23" s="375">
        <f t="shared" ref="ER23:ER36" si="84">EM23+EO23+EQ23</f>
        <v>2</v>
      </c>
      <c r="ES23" s="376">
        <f t="shared" ref="ES23:ES36" si="85">EJ$20-EM23-EO23-EQ23</f>
        <v>64</v>
      </c>
      <c r="ET23" s="373">
        <f t="shared" ref="ET23:ET36" si="86">($IH23+(($IG23-1)*$II23)+$IJ23)*FC23/144</f>
        <v>1.925972222222222</v>
      </c>
      <c r="EU23" s="374" t="str">
        <f t="shared" si="25"/>
        <v>(0.18)</v>
      </c>
      <c r="EV23" s="22">
        <v>2</v>
      </c>
      <c r="EW23" s="22">
        <f t="shared" ref="EW23:EW36" si="87">$IK$22*EV23</f>
        <v>2</v>
      </c>
      <c r="EX23" s="22">
        <v>0</v>
      </c>
      <c r="EY23" s="22">
        <f t="shared" ref="EY23:EY36" si="88">$IM$22*EX23</f>
        <v>0</v>
      </c>
      <c r="EZ23" s="22">
        <v>0</v>
      </c>
      <c r="FA23" s="22">
        <f t="shared" ref="FA23:FA36" si="89">$IL$22*EZ23</f>
        <v>0</v>
      </c>
      <c r="FB23" s="22">
        <f t="shared" ref="FB23:FB36" si="90">EW23+EY23+FA23</f>
        <v>2</v>
      </c>
      <c r="FC23" s="23">
        <f t="shared" ref="FC23:FC36" si="91">ET$20-EW23-EY23-FA23</f>
        <v>70</v>
      </c>
      <c r="FD23" s="202"/>
      <c r="FE23" s="203"/>
      <c r="FF23" s="204"/>
      <c r="FG23" s="204"/>
      <c r="FH23" s="204"/>
      <c r="FI23" s="204"/>
      <c r="FJ23" s="204"/>
      <c r="FK23" s="204"/>
      <c r="FL23" s="204"/>
      <c r="FM23" s="205"/>
      <c r="FN23" s="202"/>
      <c r="FO23" s="203"/>
      <c r="FP23" s="204"/>
      <c r="FQ23" s="204"/>
      <c r="FR23" s="204"/>
      <c r="FS23" s="204"/>
      <c r="FT23" s="204"/>
      <c r="FU23" s="204"/>
      <c r="FV23" s="204"/>
      <c r="FW23" s="205"/>
      <c r="FX23" s="202"/>
      <c r="FY23" s="203"/>
      <c r="FZ23" s="204"/>
      <c r="GA23" s="204"/>
      <c r="GB23" s="204"/>
      <c r="GC23" s="204"/>
      <c r="GD23" s="204"/>
      <c r="GE23" s="204"/>
      <c r="GF23" s="204"/>
      <c r="GG23" s="205"/>
      <c r="GH23" s="202"/>
      <c r="GI23" s="203"/>
      <c r="GJ23" s="204"/>
      <c r="GK23" s="204"/>
      <c r="GL23" s="204"/>
      <c r="GM23" s="204"/>
      <c r="GN23" s="204"/>
      <c r="GO23" s="204"/>
      <c r="GP23" s="204"/>
      <c r="GQ23" s="205"/>
      <c r="GR23" s="202"/>
      <c r="GS23" s="203"/>
      <c r="GT23" s="204"/>
      <c r="GU23" s="204"/>
      <c r="GV23" s="204"/>
      <c r="GW23" s="204"/>
      <c r="GX23" s="204"/>
      <c r="GY23" s="204"/>
      <c r="GZ23" s="204"/>
      <c r="HA23" s="205"/>
      <c r="HB23" s="202"/>
      <c r="HC23" s="203"/>
      <c r="HD23" s="204"/>
      <c r="HE23" s="204"/>
      <c r="HF23" s="204"/>
      <c r="HG23" s="204"/>
      <c r="HH23" s="204"/>
      <c r="HI23" s="204"/>
      <c r="HJ23" s="204"/>
      <c r="HK23" s="205"/>
      <c r="HL23" s="202"/>
      <c r="HM23" s="203"/>
      <c r="HN23" s="204"/>
      <c r="HO23" s="204"/>
      <c r="HP23" s="204"/>
      <c r="HQ23" s="204"/>
      <c r="HR23" s="204"/>
      <c r="HS23" s="204"/>
      <c r="HT23" s="204"/>
      <c r="HU23" s="205"/>
      <c r="HV23" s="202"/>
      <c r="HW23" s="203"/>
      <c r="HX23" s="204"/>
      <c r="HY23" s="204"/>
      <c r="HZ23" s="204"/>
      <c r="IA23" s="204"/>
      <c r="IB23" s="204"/>
      <c r="IC23" s="204"/>
      <c r="ID23" s="204"/>
      <c r="IE23" s="205"/>
      <c r="IF23" s="33"/>
      <c r="IG23" s="25">
        <v>1</v>
      </c>
      <c r="IH23" s="26">
        <v>2.0099999999999998</v>
      </c>
      <c r="II23" s="26">
        <v>2.0099999999999998</v>
      </c>
      <c r="IJ23" s="26">
        <v>1.952</v>
      </c>
      <c r="IK23" s="26">
        <v>1</v>
      </c>
      <c r="IL23" s="26">
        <v>1</v>
      </c>
      <c r="IM23" s="26">
        <v>1.125</v>
      </c>
      <c r="IN23" s="8"/>
    </row>
    <row r="24" spans="2:248" ht="15.75" thickBot="1" x14ac:dyDescent="0.3">
      <c r="B24" s="103">
        <f t="shared" si="12"/>
        <v>42</v>
      </c>
      <c r="C24" s="102">
        <v>7</v>
      </c>
      <c r="D24" s="98">
        <f t="shared" si="1"/>
        <v>0.23813492063492059</v>
      </c>
      <c r="E24" s="96">
        <f t="shared" si="2"/>
        <v>0.25401058201058196</v>
      </c>
      <c r="F24" s="96">
        <f t="shared" si="3"/>
        <v>0.26194841269841268</v>
      </c>
      <c r="G24" s="96">
        <f t="shared" si="4"/>
        <v>0.26671111111111112</v>
      </c>
      <c r="H24" s="96">
        <f t="shared" si="5"/>
        <v>0.26988624338624334</v>
      </c>
      <c r="I24" s="96">
        <f t="shared" si="6"/>
        <v>0.27215419501133781</v>
      </c>
      <c r="J24" s="96">
        <f t="shared" si="7"/>
        <v>0.2738551587301587</v>
      </c>
      <c r="K24" s="96">
        <f t="shared" si="8"/>
        <v>0.27517813051146378</v>
      </c>
      <c r="L24" s="96">
        <f t="shared" si="9"/>
        <v>0.27623650793650795</v>
      </c>
      <c r="M24" s="96">
        <f t="shared" si="10"/>
        <v>0.27710245310245307</v>
      </c>
      <c r="N24" s="96">
        <f t="shared" si="11"/>
        <v>0.27782407407407406</v>
      </c>
      <c r="O24" s="259"/>
      <c r="P24" s="259"/>
      <c r="Q24" s="259"/>
      <c r="R24" s="259"/>
      <c r="S24" s="259"/>
      <c r="T24" s="259"/>
      <c r="U24" s="259"/>
      <c r="V24" s="259"/>
      <c r="W24" s="64"/>
      <c r="X24" s="65"/>
      <c r="Z24" s="83"/>
      <c r="AA24" s="83"/>
      <c r="AT24" s="4"/>
      <c r="AU24" s="14">
        <f t="shared" ref="AU24:AU40" si="92">AU23+6</f>
        <v>24</v>
      </c>
      <c r="AV24" s="12" t="str">
        <f t="shared" si="26"/>
        <v>(600)</v>
      </c>
      <c r="AW24" s="19">
        <f t="shared" ref="AW24:AW40" si="93">AW23+1</f>
        <v>10</v>
      </c>
      <c r="AX24" s="373">
        <f t="shared" si="27"/>
        <v>0.41472222222222221</v>
      </c>
      <c r="AY24" s="374" t="str">
        <f t="shared" si="16"/>
        <v>(0.04)</v>
      </c>
      <c r="AZ24" s="375">
        <v>2</v>
      </c>
      <c r="BA24" s="375">
        <f t="shared" si="28"/>
        <v>2</v>
      </c>
      <c r="BB24" s="375">
        <v>0</v>
      </c>
      <c r="BC24" s="375">
        <f t="shared" si="29"/>
        <v>0</v>
      </c>
      <c r="BD24" s="375">
        <v>0</v>
      </c>
      <c r="BE24" s="375">
        <f t="shared" si="30"/>
        <v>0</v>
      </c>
      <c r="BF24" s="375">
        <f t="shared" ref="BF24:BF36" si="94">BA24+BC24+BE24</f>
        <v>2</v>
      </c>
      <c r="BG24" s="376">
        <f t="shared" si="31"/>
        <v>10</v>
      </c>
      <c r="BH24" s="373">
        <f t="shared" si="32"/>
        <v>0.66355555555555545</v>
      </c>
      <c r="BI24" s="374" t="str">
        <f t="shared" si="17"/>
        <v>(0.06)</v>
      </c>
      <c r="BJ24" s="375">
        <v>2</v>
      </c>
      <c r="BK24" s="375">
        <f t="shared" si="33"/>
        <v>2</v>
      </c>
      <c r="BL24" s="375">
        <v>0</v>
      </c>
      <c r="BM24" s="375">
        <f t="shared" si="34"/>
        <v>0</v>
      </c>
      <c r="BN24" s="375">
        <v>0</v>
      </c>
      <c r="BO24" s="375">
        <f t="shared" si="35"/>
        <v>0</v>
      </c>
      <c r="BP24" s="375">
        <f t="shared" si="36"/>
        <v>2</v>
      </c>
      <c r="BQ24" s="376">
        <f t="shared" si="37"/>
        <v>16</v>
      </c>
      <c r="BR24" s="373">
        <f t="shared" si="38"/>
        <v>0.9123888888888888</v>
      </c>
      <c r="BS24" s="374" t="str">
        <f t="shared" si="18"/>
        <v>(0.08)</v>
      </c>
      <c r="BT24" s="375">
        <v>2</v>
      </c>
      <c r="BU24" s="375">
        <f t="shared" si="39"/>
        <v>2</v>
      </c>
      <c r="BV24" s="375">
        <v>0</v>
      </c>
      <c r="BW24" s="375">
        <f t="shared" si="40"/>
        <v>0</v>
      </c>
      <c r="BX24" s="375">
        <v>0</v>
      </c>
      <c r="BY24" s="375">
        <f t="shared" si="41"/>
        <v>0</v>
      </c>
      <c r="BZ24" s="375">
        <f t="shared" si="42"/>
        <v>2</v>
      </c>
      <c r="CA24" s="376">
        <f t="shared" si="43"/>
        <v>22</v>
      </c>
      <c r="CB24" s="373">
        <f t="shared" si="44"/>
        <v>1.1612222222222222</v>
      </c>
      <c r="CC24" s="374" t="str">
        <f t="shared" si="19"/>
        <v>(0.11)</v>
      </c>
      <c r="CD24" s="375">
        <v>2</v>
      </c>
      <c r="CE24" s="375">
        <f t="shared" si="45"/>
        <v>2</v>
      </c>
      <c r="CF24" s="375">
        <v>0</v>
      </c>
      <c r="CG24" s="375">
        <f t="shared" si="46"/>
        <v>0</v>
      </c>
      <c r="CH24" s="375">
        <v>0</v>
      </c>
      <c r="CI24" s="375">
        <f t="shared" si="47"/>
        <v>0</v>
      </c>
      <c r="CJ24" s="375">
        <f t="shared" si="48"/>
        <v>2</v>
      </c>
      <c r="CK24" s="376">
        <f t="shared" si="49"/>
        <v>28</v>
      </c>
      <c r="CL24" s="373">
        <f t="shared" si="50"/>
        <v>1.4100555555555554</v>
      </c>
      <c r="CM24" s="374" t="str">
        <f t="shared" si="20"/>
        <v>(0.13)</v>
      </c>
      <c r="CN24" s="375">
        <v>2</v>
      </c>
      <c r="CO24" s="375">
        <f t="shared" si="51"/>
        <v>2</v>
      </c>
      <c r="CP24" s="375">
        <v>0</v>
      </c>
      <c r="CQ24" s="375">
        <f t="shared" si="52"/>
        <v>0</v>
      </c>
      <c r="CR24" s="375">
        <v>0</v>
      </c>
      <c r="CS24" s="375">
        <f t="shared" si="53"/>
        <v>0</v>
      </c>
      <c r="CT24" s="375">
        <f t="shared" si="54"/>
        <v>2</v>
      </c>
      <c r="CU24" s="376">
        <f t="shared" si="55"/>
        <v>34</v>
      </c>
      <c r="CV24" s="373">
        <f t="shared" si="56"/>
        <v>1.6588888888888889</v>
      </c>
      <c r="CW24" s="374" t="str">
        <f t="shared" si="21"/>
        <v>(0.15)</v>
      </c>
      <c r="CX24" s="375">
        <v>2</v>
      </c>
      <c r="CY24" s="375">
        <f t="shared" si="57"/>
        <v>2</v>
      </c>
      <c r="CZ24" s="375">
        <v>0</v>
      </c>
      <c r="DA24" s="375">
        <f t="shared" si="58"/>
        <v>0</v>
      </c>
      <c r="DB24" s="375">
        <v>0</v>
      </c>
      <c r="DC24" s="375">
        <f t="shared" si="59"/>
        <v>0</v>
      </c>
      <c r="DD24" s="375">
        <f t="shared" si="60"/>
        <v>2</v>
      </c>
      <c r="DE24" s="376">
        <f t="shared" si="61"/>
        <v>40</v>
      </c>
      <c r="DF24" s="373">
        <f t="shared" si="62"/>
        <v>1.9077222222222221</v>
      </c>
      <c r="DG24" s="374" t="str">
        <f t="shared" si="22"/>
        <v>(0.18)</v>
      </c>
      <c r="DH24" s="375">
        <v>2</v>
      </c>
      <c r="DI24" s="375">
        <f t="shared" si="63"/>
        <v>2</v>
      </c>
      <c r="DJ24" s="375">
        <v>0</v>
      </c>
      <c r="DK24" s="375">
        <f t="shared" si="64"/>
        <v>0</v>
      </c>
      <c r="DL24" s="375">
        <v>0</v>
      </c>
      <c r="DM24" s="375">
        <f t="shared" si="65"/>
        <v>0</v>
      </c>
      <c r="DN24" s="375">
        <f t="shared" si="66"/>
        <v>2</v>
      </c>
      <c r="DO24" s="376">
        <f t="shared" si="67"/>
        <v>46</v>
      </c>
      <c r="DP24" s="373">
        <f t="shared" si="68"/>
        <v>2.1565555555555553</v>
      </c>
      <c r="DQ24" s="374" t="str">
        <f t="shared" si="23"/>
        <v>(0.20)</v>
      </c>
      <c r="DR24" s="375">
        <v>2</v>
      </c>
      <c r="DS24" s="375">
        <f t="shared" si="69"/>
        <v>2</v>
      </c>
      <c r="DT24" s="375">
        <v>0</v>
      </c>
      <c r="DU24" s="375">
        <f t="shared" si="70"/>
        <v>0</v>
      </c>
      <c r="DV24" s="375">
        <v>0</v>
      </c>
      <c r="DW24" s="375">
        <f t="shared" si="71"/>
        <v>0</v>
      </c>
      <c r="DX24" s="375">
        <f t="shared" si="72"/>
        <v>2</v>
      </c>
      <c r="DY24" s="376">
        <f t="shared" si="73"/>
        <v>52</v>
      </c>
      <c r="DZ24" s="373">
        <f t="shared" si="74"/>
        <v>2.4053888888888886</v>
      </c>
      <c r="EA24" s="374" t="str">
        <f t="shared" si="24"/>
        <v>(0.22)</v>
      </c>
      <c r="EB24" s="375">
        <v>2</v>
      </c>
      <c r="EC24" s="375">
        <f t="shared" si="75"/>
        <v>2</v>
      </c>
      <c r="ED24" s="375">
        <v>0</v>
      </c>
      <c r="EE24" s="375">
        <f t="shared" si="76"/>
        <v>0</v>
      </c>
      <c r="EF24" s="375">
        <v>0</v>
      </c>
      <c r="EG24" s="375">
        <f t="shared" si="77"/>
        <v>0</v>
      </c>
      <c r="EH24" s="375">
        <f t="shared" si="78"/>
        <v>2</v>
      </c>
      <c r="EI24" s="376">
        <f t="shared" si="79"/>
        <v>58</v>
      </c>
      <c r="EJ24" s="373">
        <f t="shared" si="80"/>
        <v>2.6542222222222218</v>
      </c>
      <c r="EK24" s="374" t="str">
        <f t="shared" ref="EK24:EK29" si="95">"("&amp;FIXED(EJ24*0.092903,2)&amp;")"</f>
        <v>(0.25)</v>
      </c>
      <c r="EL24" s="375">
        <v>2</v>
      </c>
      <c r="EM24" s="375">
        <f t="shared" si="81"/>
        <v>2</v>
      </c>
      <c r="EN24" s="375">
        <v>0</v>
      </c>
      <c r="EO24" s="375">
        <f t="shared" si="82"/>
        <v>0</v>
      </c>
      <c r="EP24" s="375">
        <v>0</v>
      </c>
      <c r="EQ24" s="375">
        <f t="shared" si="83"/>
        <v>0</v>
      </c>
      <c r="ER24" s="375">
        <f t="shared" si="84"/>
        <v>2</v>
      </c>
      <c r="ES24" s="376">
        <f t="shared" si="85"/>
        <v>64</v>
      </c>
      <c r="ET24" s="373">
        <f t="shared" si="86"/>
        <v>2.9030555555555555</v>
      </c>
      <c r="EU24" s="374" t="str">
        <f t="shared" si="25"/>
        <v>(0.27)</v>
      </c>
      <c r="EV24" s="22">
        <v>2</v>
      </c>
      <c r="EW24" s="22">
        <f t="shared" si="87"/>
        <v>2</v>
      </c>
      <c r="EX24" s="22">
        <v>0</v>
      </c>
      <c r="EY24" s="22">
        <f t="shared" si="88"/>
        <v>0</v>
      </c>
      <c r="EZ24" s="22">
        <v>0</v>
      </c>
      <c r="FA24" s="22">
        <f t="shared" si="89"/>
        <v>0</v>
      </c>
      <c r="FB24" s="22">
        <f t="shared" si="90"/>
        <v>2</v>
      </c>
      <c r="FC24" s="23">
        <f t="shared" si="91"/>
        <v>70</v>
      </c>
      <c r="FD24" s="202"/>
      <c r="FE24" s="203"/>
      <c r="FF24" s="204"/>
      <c r="FG24" s="204"/>
      <c r="FH24" s="204"/>
      <c r="FI24" s="204"/>
      <c r="FJ24" s="204"/>
      <c r="FK24" s="204"/>
      <c r="FL24" s="204"/>
      <c r="FM24" s="205"/>
      <c r="FN24" s="202"/>
      <c r="FO24" s="203"/>
      <c r="FP24" s="204"/>
      <c r="FQ24" s="204"/>
      <c r="FR24" s="204"/>
      <c r="FS24" s="204"/>
      <c r="FT24" s="204"/>
      <c r="FU24" s="204"/>
      <c r="FV24" s="204"/>
      <c r="FW24" s="205"/>
      <c r="FX24" s="202"/>
      <c r="FY24" s="203"/>
      <c r="FZ24" s="204"/>
      <c r="GA24" s="204"/>
      <c r="GB24" s="204"/>
      <c r="GC24" s="204"/>
      <c r="GD24" s="204"/>
      <c r="GE24" s="204"/>
      <c r="GF24" s="204"/>
      <c r="GG24" s="205"/>
      <c r="GH24" s="202"/>
      <c r="GI24" s="203"/>
      <c r="GJ24" s="204"/>
      <c r="GK24" s="204"/>
      <c r="GL24" s="204"/>
      <c r="GM24" s="204"/>
      <c r="GN24" s="204"/>
      <c r="GO24" s="204"/>
      <c r="GP24" s="204"/>
      <c r="GQ24" s="205"/>
      <c r="GR24" s="202"/>
      <c r="GS24" s="203"/>
      <c r="GT24" s="204"/>
      <c r="GU24" s="204"/>
      <c r="GV24" s="204"/>
      <c r="GW24" s="204"/>
      <c r="GX24" s="204"/>
      <c r="GY24" s="204"/>
      <c r="GZ24" s="204"/>
      <c r="HA24" s="205"/>
      <c r="HB24" s="202"/>
      <c r="HC24" s="203"/>
      <c r="HD24" s="204"/>
      <c r="HE24" s="204"/>
      <c r="HF24" s="204"/>
      <c r="HG24" s="204"/>
      <c r="HH24" s="204"/>
      <c r="HI24" s="204"/>
      <c r="HJ24" s="204"/>
      <c r="HK24" s="205"/>
      <c r="HL24" s="202"/>
      <c r="HM24" s="203"/>
      <c r="HN24" s="204"/>
      <c r="HO24" s="204"/>
      <c r="HP24" s="204"/>
      <c r="HQ24" s="204"/>
      <c r="HR24" s="204"/>
      <c r="HS24" s="204"/>
      <c r="HT24" s="204"/>
      <c r="HU24" s="205"/>
      <c r="HV24" s="202"/>
      <c r="HW24" s="203"/>
      <c r="HX24" s="204"/>
      <c r="HY24" s="204"/>
      <c r="HZ24" s="204"/>
      <c r="IA24" s="204"/>
      <c r="IB24" s="204"/>
      <c r="IC24" s="204"/>
      <c r="ID24" s="204"/>
      <c r="IE24" s="205"/>
      <c r="IF24" s="33"/>
      <c r="IG24" s="25">
        <v>2</v>
      </c>
      <c r="IH24" s="26">
        <v>2.0099999999999998</v>
      </c>
      <c r="II24" s="26">
        <v>2.0099999999999998</v>
      </c>
      <c r="IJ24" s="26">
        <v>1.952</v>
      </c>
      <c r="IK24" s="26">
        <v>1</v>
      </c>
      <c r="IL24" s="26">
        <v>1</v>
      </c>
      <c r="IM24" s="26">
        <v>1.125</v>
      </c>
      <c r="IN24" s="8"/>
    </row>
    <row r="25" spans="2:248" ht="15.75" thickBot="1" x14ac:dyDescent="0.3">
      <c r="B25" s="103">
        <f t="shared" si="12"/>
        <v>48</v>
      </c>
      <c r="C25" s="102">
        <v>8</v>
      </c>
      <c r="D25" s="98">
        <f t="shared" si="1"/>
        <v>0.24326388888888884</v>
      </c>
      <c r="E25" s="96">
        <f t="shared" si="2"/>
        <v>0.25948148148148148</v>
      </c>
      <c r="F25" s="96">
        <f t="shared" si="3"/>
        <v>0.26759027777777772</v>
      </c>
      <c r="G25" s="96">
        <f t="shared" si="4"/>
        <v>0.27245555555555556</v>
      </c>
      <c r="H25" s="96">
        <f t="shared" si="5"/>
        <v>0.27569907407407407</v>
      </c>
      <c r="I25" s="96">
        <f t="shared" si="6"/>
        <v>0.27801587301587294</v>
      </c>
      <c r="J25" s="96">
        <f t="shared" si="7"/>
        <v>0.27975347222222219</v>
      </c>
      <c r="K25" s="96">
        <f t="shared" si="8"/>
        <v>0.28110493827160493</v>
      </c>
      <c r="L25" s="96">
        <f t="shared" si="9"/>
        <v>0.28218611111111108</v>
      </c>
      <c r="M25" s="96">
        <f t="shared" si="10"/>
        <v>0.28307070707070703</v>
      </c>
      <c r="N25" s="96">
        <f t="shared" si="11"/>
        <v>0.28380787037037036</v>
      </c>
      <c r="O25" s="259"/>
      <c r="P25" s="259"/>
      <c r="Q25" s="259"/>
      <c r="R25" s="259"/>
      <c r="S25" s="259"/>
      <c r="T25" s="259"/>
      <c r="U25" s="259"/>
      <c r="V25" s="259"/>
      <c r="W25" s="64"/>
      <c r="X25" s="65"/>
      <c r="Z25" s="83"/>
      <c r="AA25" s="83"/>
      <c r="AT25" s="4"/>
      <c r="AU25" s="27">
        <f t="shared" si="92"/>
        <v>30</v>
      </c>
      <c r="AV25" s="28" t="str">
        <f t="shared" si="26"/>
        <v>(750)</v>
      </c>
      <c r="AW25" s="19">
        <f t="shared" si="93"/>
        <v>11</v>
      </c>
      <c r="AX25" s="373">
        <f t="shared" si="27"/>
        <v>0.5543055555555555</v>
      </c>
      <c r="AY25" s="374" t="str">
        <f t="shared" si="16"/>
        <v>(0.05)</v>
      </c>
      <c r="AZ25" s="375">
        <v>2</v>
      </c>
      <c r="BA25" s="375">
        <f t="shared" si="28"/>
        <v>2</v>
      </c>
      <c r="BB25" s="375">
        <v>0</v>
      </c>
      <c r="BC25" s="375">
        <f t="shared" si="29"/>
        <v>0</v>
      </c>
      <c r="BD25" s="375">
        <v>0</v>
      </c>
      <c r="BE25" s="375">
        <f t="shared" si="30"/>
        <v>0</v>
      </c>
      <c r="BF25" s="375">
        <f t="shared" si="94"/>
        <v>2</v>
      </c>
      <c r="BG25" s="376">
        <f t="shared" si="31"/>
        <v>10</v>
      </c>
      <c r="BH25" s="373">
        <f t="shared" si="32"/>
        <v>0.88688888888888884</v>
      </c>
      <c r="BI25" s="374" t="str">
        <f t="shared" si="17"/>
        <v>(0.08)</v>
      </c>
      <c r="BJ25" s="375">
        <v>2</v>
      </c>
      <c r="BK25" s="375">
        <f t="shared" si="33"/>
        <v>2</v>
      </c>
      <c r="BL25" s="375">
        <v>0</v>
      </c>
      <c r="BM25" s="375">
        <f t="shared" si="34"/>
        <v>0</v>
      </c>
      <c r="BN25" s="375">
        <v>0</v>
      </c>
      <c r="BO25" s="375">
        <f t="shared" si="35"/>
        <v>0</v>
      </c>
      <c r="BP25" s="375">
        <f t="shared" si="36"/>
        <v>2</v>
      </c>
      <c r="BQ25" s="376">
        <f t="shared" si="37"/>
        <v>16</v>
      </c>
      <c r="BR25" s="373">
        <f t="shared" si="38"/>
        <v>1.2194722222222221</v>
      </c>
      <c r="BS25" s="374" t="str">
        <f t="shared" si="18"/>
        <v>(0.11)</v>
      </c>
      <c r="BT25" s="375">
        <v>2</v>
      </c>
      <c r="BU25" s="375">
        <f t="shared" si="39"/>
        <v>2</v>
      </c>
      <c r="BV25" s="375">
        <v>0</v>
      </c>
      <c r="BW25" s="375">
        <f t="shared" si="40"/>
        <v>0</v>
      </c>
      <c r="BX25" s="375">
        <v>0</v>
      </c>
      <c r="BY25" s="375">
        <f t="shared" si="41"/>
        <v>0</v>
      </c>
      <c r="BZ25" s="375">
        <f t="shared" si="42"/>
        <v>2</v>
      </c>
      <c r="CA25" s="376">
        <f t="shared" si="43"/>
        <v>22</v>
      </c>
      <c r="CB25" s="373">
        <f t="shared" si="44"/>
        <v>1.5520555555555555</v>
      </c>
      <c r="CC25" s="374" t="str">
        <f t="shared" si="19"/>
        <v>(0.14)</v>
      </c>
      <c r="CD25" s="375">
        <v>2</v>
      </c>
      <c r="CE25" s="375">
        <f t="shared" si="45"/>
        <v>2</v>
      </c>
      <c r="CF25" s="375">
        <v>0</v>
      </c>
      <c r="CG25" s="375">
        <f t="shared" si="46"/>
        <v>0</v>
      </c>
      <c r="CH25" s="375">
        <v>0</v>
      </c>
      <c r="CI25" s="375">
        <f t="shared" si="47"/>
        <v>0</v>
      </c>
      <c r="CJ25" s="375">
        <f t="shared" si="48"/>
        <v>2</v>
      </c>
      <c r="CK25" s="376">
        <f t="shared" si="49"/>
        <v>28</v>
      </c>
      <c r="CL25" s="373">
        <f t="shared" si="50"/>
        <v>1.8846388888888888</v>
      </c>
      <c r="CM25" s="374" t="str">
        <f t="shared" si="20"/>
        <v>(0.18)</v>
      </c>
      <c r="CN25" s="375">
        <v>2</v>
      </c>
      <c r="CO25" s="375">
        <f t="shared" si="51"/>
        <v>2</v>
      </c>
      <c r="CP25" s="375">
        <v>0</v>
      </c>
      <c r="CQ25" s="375">
        <f t="shared" si="52"/>
        <v>0</v>
      </c>
      <c r="CR25" s="375">
        <v>0</v>
      </c>
      <c r="CS25" s="375">
        <f t="shared" si="53"/>
        <v>0</v>
      </c>
      <c r="CT25" s="375">
        <f t="shared" si="54"/>
        <v>2</v>
      </c>
      <c r="CU25" s="376">
        <f t="shared" si="55"/>
        <v>34</v>
      </c>
      <c r="CV25" s="373">
        <f t="shared" si="56"/>
        <v>2.217222222222222</v>
      </c>
      <c r="CW25" s="374" t="str">
        <f t="shared" si="21"/>
        <v>(0.21)</v>
      </c>
      <c r="CX25" s="375">
        <v>2</v>
      </c>
      <c r="CY25" s="375">
        <f t="shared" si="57"/>
        <v>2</v>
      </c>
      <c r="CZ25" s="375">
        <v>0</v>
      </c>
      <c r="DA25" s="375">
        <f t="shared" si="58"/>
        <v>0</v>
      </c>
      <c r="DB25" s="375">
        <v>0</v>
      </c>
      <c r="DC25" s="375">
        <f t="shared" si="59"/>
        <v>0</v>
      </c>
      <c r="DD25" s="375">
        <f t="shared" si="60"/>
        <v>2</v>
      </c>
      <c r="DE25" s="376">
        <f t="shared" si="61"/>
        <v>40</v>
      </c>
      <c r="DF25" s="373">
        <f t="shared" si="62"/>
        <v>2.5498055555555554</v>
      </c>
      <c r="DG25" s="374" t="str">
        <f t="shared" si="22"/>
        <v>(0.24)</v>
      </c>
      <c r="DH25" s="375">
        <v>2</v>
      </c>
      <c r="DI25" s="375">
        <f t="shared" si="63"/>
        <v>2</v>
      </c>
      <c r="DJ25" s="375">
        <v>0</v>
      </c>
      <c r="DK25" s="375">
        <f t="shared" si="64"/>
        <v>0</v>
      </c>
      <c r="DL25" s="375">
        <v>0</v>
      </c>
      <c r="DM25" s="375">
        <f t="shared" si="65"/>
        <v>0</v>
      </c>
      <c r="DN25" s="375">
        <f t="shared" si="66"/>
        <v>2</v>
      </c>
      <c r="DO25" s="376">
        <f t="shared" si="67"/>
        <v>46</v>
      </c>
      <c r="DP25" s="373">
        <f t="shared" si="68"/>
        <v>2.8823888888888884</v>
      </c>
      <c r="DQ25" s="374" t="str">
        <f t="shared" si="23"/>
        <v>(0.27)</v>
      </c>
      <c r="DR25" s="375">
        <v>2</v>
      </c>
      <c r="DS25" s="375">
        <f t="shared" si="69"/>
        <v>2</v>
      </c>
      <c r="DT25" s="375">
        <v>0</v>
      </c>
      <c r="DU25" s="375">
        <f t="shared" si="70"/>
        <v>0</v>
      </c>
      <c r="DV25" s="375">
        <v>0</v>
      </c>
      <c r="DW25" s="375">
        <f t="shared" si="71"/>
        <v>0</v>
      </c>
      <c r="DX25" s="375">
        <f t="shared" si="72"/>
        <v>2</v>
      </c>
      <c r="DY25" s="376">
        <f t="shared" si="73"/>
        <v>52</v>
      </c>
      <c r="DZ25" s="373">
        <f t="shared" si="74"/>
        <v>3.2149722222222219</v>
      </c>
      <c r="EA25" s="374" t="str">
        <f t="shared" si="24"/>
        <v>(0.30)</v>
      </c>
      <c r="EB25" s="375">
        <v>2</v>
      </c>
      <c r="EC25" s="375">
        <f t="shared" si="75"/>
        <v>2</v>
      </c>
      <c r="ED25" s="375">
        <v>0</v>
      </c>
      <c r="EE25" s="375">
        <f t="shared" si="76"/>
        <v>0</v>
      </c>
      <c r="EF25" s="375">
        <v>0</v>
      </c>
      <c r="EG25" s="375">
        <f t="shared" si="77"/>
        <v>0</v>
      </c>
      <c r="EH25" s="375">
        <f t="shared" si="78"/>
        <v>2</v>
      </c>
      <c r="EI25" s="376">
        <f t="shared" si="79"/>
        <v>58</v>
      </c>
      <c r="EJ25" s="373">
        <f t="shared" si="80"/>
        <v>3.5475555555555554</v>
      </c>
      <c r="EK25" s="374" t="str">
        <f t="shared" si="95"/>
        <v>(0.33)</v>
      </c>
      <c r="EL25" s="375">
        <v>2</v>
      </c>
      <c r="EM25" s="375">
        <f t="shared" si="81"/>
        <v>2</v>
      </c>
      <c r="EN25" s="375">
        <v>0</v>
      </c>
      <c r="EO25" s="375">
        <f t="shared" si="82"/>
        <v>0</v>
      </c>
      <c r="EP25" s="375">
        <v>0</v>
      </c>
      <c r="EQ25" s="375">
        <f t="shared" si="83"/>
        <v>0</v>
      </c>
      <c r="ER25" s="375">
        <f t="shared" si="84"/>
        <v>2</v>
      </c>
      <c r="ES25" s="376">
        <f t="shared" si="85"/>
        <v>64</v>
      </c>
      <c r="ET25" s="373">
        <f t="shared" si="86"/>
        <v>3.8801388888888888</v>
      </c>
      <c r="EU25" s="374" t="str">
        <f t="shared" si="25"/>
        <v>(0.36)</v>
      </c>
      <c r="EV25" s="22">
        <v>2</v>
      </c>
      <c r="EW25" s="22">
        <f t="shared" si="87"/>
        <v>2</v>
      </c>
      <c r="EX25" s="22">
        <v>0</v>
      </c>
      <c r="EY25" s="22">
        <f t="shared" si="88"/>
        <v>0</v>
      </c>
      <c r="EZ25" s="30">
        <v>0</v>
      </c>
      <c r="FA25" s="22">
        <f t="shared" si="89"/>
        <v>0</v>
      </c>
      <c r="FB25" s="22">
        <f t="shared" si="90"/>
        <v>2</v>
      </c>
      <c r="FC25" s="23">
        <f t="shared" si="91"/>
        <v>70</v>
      </c>
      <c r="FD25" s="202"/>
      <c r="FE25" s="203"/>
      <c r="FF25" s="204"/>
      <c r="FG25" s="204"/>
      <c r="FH25" s="204"/>
      <c r="FI25" s="204"/>
      <c r="FJ25" s="204"/>
      <c r="FK25" s="204"/>
      <c r="FL25" s="204"/>
      <c r="FM25" s="205"/>
      <c r="FN25" s="202"/>
      <c r="FO25" s="203"/>
      <c r="FP25" s="204"/>
      <c r="FQ25" s="204"/>
      <c r="FR25" s="204"/>
      <c r="FS25" s="204"/>
      <c r="FT25" s="204"/>
      <c r="FU25" s="204"/>
      <c r="FV25" s="204"/>
      <c r="FW25" s="205"/>
      <c r="FX25" s="202"/>
      <c r="FY25" s="203"/>
      <c r="FZ25" s="204"/>
      <c r="GA25" s="204"/>
      <c r="GB25" s="204"/>
      <c r="GC25" s="204"/>
      <c r="GD25" s="204"/>
      <c r="GE25" s="204"/>
      <c r="GF25" s="204"/>
      <c r="GG25" s="205"/>
      <c r="GH25" s="202"/>
      <c r="GI25" s="203"/>
      <c r="GJ25" s="204"/>
      <c r="GK25" s="204"/>
      <c r="GL25" s="204"/>
      <c r="GM25" s="204"/>
      <c r="GN25" s="204"/>
      <c r="GO25" s="204"/>
      <c r="GP25" s="204"/>
      <c r="GQ25" s="205"/>
      <c r="GR25" s="202"/>
      <c r="GS25" s="203"/>
      <c r="GT25" s="204"/>
      <c r="GU25" s="204"/>
      <c r="GV25" s="204"/>
      <c r="GW25" s="204"/>
      <c r="GX25" s="204"/>
      <c r="GY25" s="204"/>
      <c r="GZ25" s="204"/>
      <c r="HA25" s="205"/>
      <c r="HB25" s="202"/>
      <c r="HC25" s="203"/>
      <c r="HD25" s="204"/>
      <c r="HE25" s="204"/>
      <c r="HF25" s="204"/>
      <c r="HG25" s="204"/>
      <c r="HH25" s="204"/>
      <c r="HI25" s="204"/>
      <c r="HJ25" s="204"/>
      <c r="HK25" s="205"/>
      <c r="HL25" s="202"/>
      <c r="HM25" s="203"/>
      <c r="HN25" s="204"/>
      <c r="HO25" s="204"/>
      <c r="HP25" s="204"/>
      <c r="HQ25" s="204"/>
      <c r="HR25" s="204"/>
      <c r="HS25" s="204"/>
      <c r="HT25" s="204"/>
      <c r="HU25" s="205"/>
      <c r="HV25" s="202"/>
      <c r="HW25" s="203"/>
      <c r="HX25" s="204"/>
      <c r="HY25" s="204"/>
      <c r="HZ25" s="204"/>
      <c r="IA25" s="204"/>
      <c r="IB25" s="204"/>
      <c r="IC25" s="204"/>
      <c r="ID25" s="204"/>
      <c r="IE25" s="205"/>
      <c r="IF25" s="33"/>
      <c r="IG25" s="25">
        <v>3</v>
      </c>
      <c r="IH25" s="26">
        <v>2.0099999999999998</v>
      </c>
      <c r="II25" s="26">
        <v>2.0099999999999998</v>
      </c>
      <c r="IJ25" s="26">
        <v>1.952</v>
      </c>
      <c r="IK25" s="26">
        <v>1</v>
      </c>
      <c r="IL25" s="26">
        <v>1</v>
      </c>
      <c r="IM25" s="26">
        <v>1.125</v>
      </c>
      <c r="IN25" s="8"/>
    </row>
    <row r="26" spans="2:248" ht="15.75" thickBot="1" x14ac:dyDescent="0.3">
      <c r="B26" s="103">
        <f t="shared" si="12"/>
        <v>54</v>
      </c>
      <c r="C26" s="102">
        <v>9</v>
      </c>
      <c r="D26" s="98">
        <f t="shared" si="1"/>
        <v>0.24725308641975305</v>
      </c>
      <c r="E26" s="96">
        <f t="shared" si="2"/>
        <v>0.2637366255144033</v>
      </c>
      <c r="F26" s="96">
        <f t="shared" si="3"/>
        <v>0.27197839506172838</v>
      </c>
      <c r="G26" s="96">
        <f t="shared" si="4"/>
        <v>0.27692345679012348</v>
      </c>
      <c r="H26" s="96">
        <f t="shared" si="5"/>
        <v>0.28022016460905347</v>
      </c>
      <c r="I26" s="96">
        <f t="shared" si="6"/>
        <v>0.28257495590828918</v>
      </c>
      <c r="J26" s="96">
        <f t="shared" si="7"/>
        <v>0.28434104938271604</v>
      </c>
      <c r="K26" s="96">
        <f t="shared" si="8"/>
        <v>0.28571467764060354</v>
      </c>
      <c r="L26" s="96">
        <f t="shared" si="9"/>
        <v>0.28681358024691356</v>
      </c>
      <c r="M26" s="96">
        <f t="shared" si="10"/>
        <v>0.28771268237934905</v>
      </c>
      <c r="N26" s="96">
        <f t="shared" si="11"/>
        <v>0.28846193415637855</v>
      </c>
      <c r="O26" s="259"/>
      <c r="P26" s="259"/>
      <c r="Q26" s="259"/>
      <c r="R26" s="259"/>
      <c r="S26" s="259"/>
      <c r="T26" s="259"/>
      <c r="U26" s="259"/>
      <c r="V26" s="259"/>
      <c r="W26" s="64"/>
      <c r="X26" s="65"/>
      <c r="Z26" s="83"/>
      <c r="AA26" s="83"/>
      <c r="AT26" s="4"/>
      <c r="AU26" s="14">
        <f t="shared" si="92"/>
        <v>36</v>
      </c>
      <c r="AV26" s="12" t="str">
        <f t="shared" si="26"/>
        <v>(900)</v>
      </c>
      <c r="AW26" s="19">
        <f t="shared" si="93"/>
        <v>12</v>
      </c>
      <c r="AX26" s="373">
        <f t="shared" si="27"/>
        <v>0.69388888888888878</v>
      </c>
      <c r="AY26" s="374" t="str">
        <f t="shared" si="16"/>
        <v>(0.06)</v>
      </c>
      <c r="AZ26" s="375">
        <v>2</v>
      </c>
      <c r="BA26" s="375">
        <f t="shared" si="28"/>
        <v>2</v>
      </c>
      <c r="BB26" s="375">
        <v>0</v>
      </c>
      <c r="BC26" s="375">
        <f t="shared" si="29"/>
        <v>0</v>
      </c>
      <c r="BD26" s="375">
        <v>0</v>
      </c>
      <c r="BE26" s="375">
        <f t="shared" si="30"/>
        <v>0</v>
      </c>
      <c r="BF26" s="375">
        <f t="shared" si="94"/>
        <v>2</v>
      </c>
      <c r="BG26" s="376">
        <f t="shared" si="31"/>
        <v>10</v>
      </c>
      <c r="BH26" s="373">
        <f t="shared" si="32"/>
        <v>1.1102222222222222</v>
      </c>
      <c r="BI26" s="374" t="str">
        <f t="shared" si="17"/>
        <v>(0.1)</v>
      </c>
      <c r="BJ26" s="375">
        <v>2</v>
      </c>
      <c r="BK26" s="375">
        <f t="shared" si="33"/>
        <v>2</v>
      </c>
      <c r="BL26" s="375">
        <v>0</v>
      </c>
      <c r="BM26" s="375">
        <f t="shared" si="34"/>
        <v>0</v>
      </c>
      <c r="BN26" s="375">
        <v>0</v>
      </c>
      <c r="BO26" s="375">
        <f t="shared" si="35"/>
        <v>0</v>
      </c>
      <c r="BP26" s="375">
        <f t="shared" si="36"/>
        <v>2</v>
      </c>
      <c r="BQ26" s="376">
        <f t="shared" si="37"/>
        <v>16</v>
      </c>
      <c r="BR26" s="373">
        <f t="shared" si="38"/>
        <v>1.5265555555555554</v>
      </c>
      <c r="BS26" s="374" t="str">
        <f t="shared" si="18"/>
        <v>(0.14)</v>
      </c>
      <c r="BT26" s="375">
        <v>2</v>
      </c>
      <c r="BU26" s="375">
        <f t="shared" si="39"/>
        <v>2</v>
      </c>
      <c r="BV26" s="375">
        <v>0</v>
      </c>
      <c r="BW26" s="375">
        <f t="shared" si="40"/>
        <v>0</v>
      </c>
      <c r="BX26" s="375">
        <v>0</v>
      </c>
      <c r="BY26" s="375">
        <f t="shared" si="41"/>
        <v>0</v>
      </c>
      <c r="BZ26" s="375">
        <f t="shared" si="42"/>
        <v>2</v>
      </c>
      <c r="CA26" s="376">
        <f t="shared" si="43"/>
        <v>22</v>
      </c>
      <c r="CB26" s="373">
        <f t="shared" si="44"/>
        <v>1.9428888888888887</v>
      </c>
      <c r="CC26" s="374" t="str">
        <f t="shared" si="19"/>
        <v>(0.18)</v>
      </c>
      <c r="CD26" s="375">
        <v>2</v>
      </c>
      <c r="CE26" s="375">
        <f t="shared" si="45"/>
        <v>2</v>
      </c>
      <c r="CF26" s="375">
        <v>0</v>
      </c>
      <c r="CG26" s="375">
        <f t="shared" si="46"/>
        <v>0</v>
      </c>
      <c r="CH26" s="375">
        <v>0</v>
      </c>
      <c r="CI26" s="375">
        <f t="shared" si="47"/>
        <v>0</v>
      </c>
      <c r="CJ26" s="375">
        <f t="shared" si="48"/>
        <v>2</v>
      </c>
      <c r="CK26" s="376">
        <f t="shared" si="49"/>
        <v>28</v>
      </c>
      <c r="CL26" s="373">
        <f t="shared" si="50"/>
        <v>2.3592222222222219</v>
      </c>
      <c r="CM26" s="374" t="str">
        <f t="shared" si="20"/>
        <v>(0.22)</v>
      </c>
      <c r="CN26" s="375">
        <v>2</v>
      </c>
      <c r="CO26" s="375">
        <f t="shared" si="51"/>
        <v>2</v>
      </c>
      <c r="CP26" s="375">
        <v>0</v>
      </c>
      <c r="CQ26" s="375">
        <f t="shared" si="52"/>
        <v>0</v>
      </c>
      <c r="CR26" s="375">
        <v>0</v>
      </c>
      <c r="CS26" s="375">
        <f t="shared" si="53"/>
        <v>0</v>
      </c>
      <c r="CT26" s="375">
        <f t="shared" si="54"/>
        <v>2</v>
      </c>
      <c r="CU26" s="376">
        <f t="shared" si="55"/>
        <v>34</v>
      </c>
      <c r="CV26" s="373">
        <f t="shared" si="56"/>
        <v>2.7755555555555551</v>
      </c>
      <c r="CW26" s="374" t="str">
        <f t="shared" si="21"/>
        <v>(0.26)</v>
      </c>
      <c r="CX26" s="375">
        <v>2</v>
      </c>
      <c r="CY26" s="375">
        <f t="shared" si="57"/>
        <v>2</v>
      </c>
      <c r="CZ26" s="375">
        <v>0</v>
      </c>
      <c r="DA26" s="375">
        <f t="shared" si="58"/>
        <v>0</v>
      </c>
      <c r="DB26" s="375">
        <v>0</v>
      </c>
      <c r="DC26" s="375">
        <f t="shared" si="59"/>
        <v>0</v>
      </c>
      <c r="DD26" s="375">
        <f t="shared" si="60"/>
        <v>2</v>
      </c>
      <c r="DE26" s="376">
        <f t="shared" si="61"/>
        <v>40</v>
      </c>
      <c r="DF26" s="373">
        <f t="shared" si="62"/>
        <v>3.1918888888888883</v>
      </c>
      <c r="DG26" s="374" t="str">
        <f t="shared" si="22"/>
        <v>(0.3)</v>
      </c>
      <c r="DH26" s="375">
        <v>2</v>
      </c>
      <c r="DI26" s="375">
        <f t="shared" si="63"/>
        <v>2</v>
      </c>
      <c r="DJ26" s="375">
        <v>0</v>
      </c>
      <c r="DK26" s="375">
        <f t="shared" si="64"/>
        <v>0</v>
      </c>
      <c r="DL26" s="375">
        <v>0</v>
      </c>
      <c r="DM26" s="375">
        <f t="shared" si="65"/>
        <v>0</v>
      </c>
      <c r="DN26" s="375">
        <f t="shared" si="66"/>
        <v>2</v>
      </c>
      <c r="DO26" s="376">
        <f t="shared" si="67"/>
        <v>46</v>
      </c>
      <c r="DP26" s="373">
        <f t="shared" si="68"/>
        <v>3.608222222222222</v>
      </c>
      <c r="DQ26" s="374" t="str">
        <f t="shared" si="23"/>
        <v>(0.34)</v>
      </c>
      <c r="DR26" s="375">
        <v>2</v>
      </c>
      <c r="DS26" s="375">
        <f t="shared" si="69"/>
        <v>2</v>
      </c>
      <c r="DT26" s="375">
        <v>0</v>
      </c>
      <c r="DU26" s="375">
        <f t="shared" si="70"/>
        <v>0</v>
      </c>
      <c r="DV26" s="375">
        <v>0</v>
      </c>
      <c r="DW26" s="375">
        <f t="shared" si="71"/>
        <v>0</v>
      </c>
      <c r="DX26" s="375">
        <f t="shared" si="72"/>
        <v>2</v>
      </c>
      <c r="DY26" s="376">
        <f t="shared" si="73"/>
        <v>52</v>
      </c>
      <c r="DZ26" s="373">
        <f t="shared" si="74"/>
        <v>4.0245555555555548</v>
      </c>
      <c r="EA26" s="374" t="str">
        <f t="shared" si="24"/>
        <v>(0.37)</v>
      </c>
      <c r="EB26" s="375">
        <v>2</v>
      </c>
      <c r="EC26" s="375">
        <f t="shared" si="75"/>
        <v>2</v>
      </c>
      <c r="ED26" s="375">
        <v>0</v>
      </c>
      <c r="EE26" s="375">
        <f t="shared" si="76"/>
        <v>0</v>
      </c>
      <c r="EF26" s="375">
        <v>0</v>
      </c>
      <c r="EG26" s="375">
        <f t="shared" si="77"/>
        <v>0</v>
      </c>
      <c r="EH26" s="375">
        <f t="shared" si="78"/>
        <v>2</v>
      </c>
      <c r="EI26" s="376">
        <f t="shared" si="79"/>
        <v>58</v>
      </c>
      <c r="EJ26" s="373">
        <f t="shared" si="80"/>
        <v>4.4408888888888889</v>
      </c>
      <c r="EK26" s="374" t="str">
        <f t="shared" si="95"/>
        <v>(0.41)</v>
      </c>
      <c r="EL26" s="375">
        <v>2</v>
      </c>
      <c r="EM26" s="375">
        <f t="shared" si="81"/>
        <v>2</v>
      </c>
      <c r="EN26" s="375">
        <v>0</v>
      </c>
      <c r="EO26" s="375">
        <f t="shared" si="82"/>
        <v>0</v>
      </c>
      <c r="EP26" s="375">
        <v>0</v>
      </c>
      <c r="EQ26" s="375">
        <f t="shared" si="83"/>
        <v>0</v>
      </c>
      <c r="ER26" s="375">
        <f t="shared" si="84"/>
        <v>2</v>
      </c>
      <c r="ES26" s="376">
        <f t="shared" si="85"/>
        <v>64</v>
      </c>
      <c r="ET26" s="373">
        <f t="shared" si="86"/>
        <v>4.8572222222222221</v>
      </c>
      <c r="EU26" s="374" t="str">
        <f t="shared" si="25"/>
        <v>(0.45)</v>
      </c>
      <c r="EV26" s="22">
        <v>2</v>
      </c>
      <c r="EW26" s="22">
        <f t="shared" si="87"/>
        <v>2</v>
      </c>
      <c r="EX26" s="22">
        <v>0</v>
      </c>
      <c r="EY26" s="22">
        <f t="shared" si="88"/>
        <v>0</v>
      </c>
      <c r="EZ26" s="22">
        <v>0</v>
      </c>
      <c r="FA26" s="22">
        <f t="shared" si="89"/>
        <v>0</v>
      </c>
      <c r="FB26" s="22">
        <f t="shared" si="90"/>
        <v>2</v>
      </c>
      <c r="FC26" s="23">
        <f t="shared" si="91"/>
        <v>70</v>
      </c>
      <c r="FD26" s="202"/>
      <c r="FE26" s="203"/>
      <c r="FF26" s="204"/>
      <c r="FG26" s="204"/>
      <c r="FH26" s="204"/>
      <c r="FI26" s="204"/>
      <c r="FJ26" s="204"/>
      <c r="FK26" s="204"/>
      <c r="FL26" s="204"/>
      <c r="FM26" s="205"/>
      <c r="FN26" s="202"/>
      <c r="FO26" s="203"/>
      <c r="FP26" s="204"/>
      <c r="FQ26" s="204"/>
      <c r="FR26" s="204"/>
      <c r="FS26" s="204"/>
      <c r="FT26" s="204"/>
      <c r="FU26" s="204"/>
      <c r="FV26" s="204"/>
      <c r="FW26" s="205"/>
      <c r="FX26" s="202"/>
      <c r="FY26" s="203"/>
      <c r="FZ26" s="204"/>
      <c r="GA26" s="204"/>
      <c r="GB26" s="204"/>
      <c r="GC26" s="204"/>
      <c r="GD26" s="204"/>
      <c r="GE26" s="204"/>
      <c r="GF26" s="204"/>
      <c r="GG26" s="205"/>
      <c r="GH26" s="202"/>
      <c r="GI26" s="203"/>
      <c r="GJ26" s="204"/>
      <c r="GK26" s="204"/>
      <c r="GL26" s="204"/>
      <c r="GM26" s="204"/>
      <c r="GN26" s="204"/>
      <c r="GO26" s="204"/>
      <c r="GP26" s="204"/>
      <c r="GQ26" s="205"/>
      <c r="GR26" s="202"/>
      <c r="GS26" s="203"/>
      <c r="GT26" s="204"/>
      <c r="GU26" s="204"/>
      <c r="GV26" s="204"/>
      <c r="GW26" s="204"/>
      <c r="GX26" s="204"/>
      <c r="GY26" s="204"/>
      <c r="GZ26" s="204"/>
      <c r="HA26" s="205"/>
      <c r="HB26" s="202"/>
      <c r="HC26" s="203"/>
      <c r="HD26" s="204"/>
      <c r="HE26" s="204"/>
      <c r="HF26" s="204"/>
      <c r="HG26" s="204"/>
      <c r="HH26" s="204"/>
      <c r="HI26" s="204"/>
      <c r="HJ26" s="204"/>
      <c r="HK26" s="205"/>
      <c r="HL26" s="202"/>
      <c r="HM26" s="203"/>
      <c r="HN26" s="204"/>
      <c r="HO26" s="204"/>
      <c r="HP26" s="204"/>
      <c r="HQ26" s="204"/>
      <c r="HR26" s="204"/>
      <c r="HS26" s="204"/>
      <c r="HT26" s="204"/>
      <c r="HU26" s="205"/>
      <c r="HV26" s="202"/>
      <c r="HW26" s="203"/>
      <c r="HX26" s="204"/>
      <c r="HY26" s="204"/>
      <c r="HZ26" s="204"/>
      <c r="IA26" s="204"/>
      <c r="IB26" s="204"/>
      <c r="IC26" s="204"/>
      <c r="ID26" s="204"/>
      <c r="IE26" s="205"/>
      <c r="IF26" s="33"/>
      <c r="IG26" s="25">
        <v>4</v>
      </c>
      <c r="IH26" s="26">
        <v>2.0099999999999998</v>
      </c>
      <c r="II26" s="26">
        <v>2.0099999999999998</v>
      </c>
      <c r="IJ26" s="26">
        <v>1.952</v>
      </c>
      <c r="IK26" s="26">
        <v>1</v>
      </c>
      <c r="IL26" s="26">
        <v>1</v>
      </c>
      <c r="IM26" s="26">
        <v>1.125</v>
      </c>
      <c r="IN26" s="8"/>
    </row>
    <row r="27" spans="2:248" ht="15.75" thickBot="1" x14ac:dyDescent="0.3">
      <c r="B27" s="103">
        <f t="shared" si="12"/>
        <v>60</v>
      </c>
      <c r="C27" s="102">
        <v>10</v>
      </c>
      <c r="D27" s="98">
        <f t="shared" si="1"/>
        <v>0.25044444444444436</v>
      </c>
      <c r="E27" s="96">
        <f t="shared" si="2"/>
        <v>0.26714074074074073</v>
      </c>
      <c r="F27" s="96">
        <f t="shared" si="3"/>
        <v>0.27548888888888884</v>
      </c>
      <c r="G27" s="96">
        <f t="shared" si="4"/>
        <v>0.28049777777777773</v>
      </c>
      <c r="H27" s="96">
        <f t="shared" si="5"/>
        <v>0.28383703703703694</v>
      </c>
      <c r="I27" s="96">
        <f t="shared" si="6"/>
        <v>0.28622222222222216</v>
      </c>
      <c r="J27" s="96">
        <f t="shared" si="7"/>
        <v>0.28801111111111111</v>
      </c>
      <c r="K27" s="96">
        <f t="shared" si="8"/>
        <v>0.28940246913580242</v>
      </c>
      <c r="L27" s="96">
        <f t="shared" si="9"/>
        <v>0.29051555555555547</v>
      </c>
      <c r="M27" s="96">
        <f t="shared" si="10"/>
        <v>0.29142626262626259</v>
      </c>
      <c r="N27" s="96">
        <f t="shared" si="11"/>
        <v>0.29218518518518516</v>
      </c>
      <c r="O27" s="259"/>
      <c r="P27" s="259"/>
      <c r="Q27" s="259"/>
      <c r="R27" s="259"/>
      <c r="S27" s="259"/>
      <c r="T27" s="259"/>
      <c r="U27" s="259"/>
      <c r="V27" s="259"/>
      <c r="W27" s="64"/>
      <c r="X27" s="65"/>
      <c r="Z27" s="83"/>
      <c r="AA27" s="83"/>
      <c r="AT27" s="4"/>
      <c r="AU27" s="14">
        <f t="shared" si="92"/>
        <v>42</v>
      </c>
      <c r="AV27" s="12" t="str">
        <f t="shared" si="26"/>
        <v>(1050)</v>
      </c>
      <c r="AW27" s="19">
        <f t="shared" si="93"/>
        <v>13</v>
      </c>
      <c r="AX27" s="373">
        <f t="shared" si="27"/>
        <v>0.83347222222222206</v>
      </c>
      <c r="AY27" s="374" t="str">
        <f t="shared" si="16"/>
        <v>(0.08)</v>
      </c>
      <c r="AZ27" s="375">
        <v>2</v>
      </c>
      <c r="BA27" s="375">
        <f t="shared" si="28"/>
        <v>2</v>
      </c>
      <c r="BB27" s="375">
        <v>0</v>
      </c>
      <c r="BC27" s="375">
        <f t="shared" si="29"/>
        <v>0</v>
      </c>
      <c r="BD27" s="375">
        <v>0</v>
      </c>
      <c r="BE27" s="375">
        <f t="shared" si="30"/>
        <v>0</v>
      </c>
      <c r="BF27" s="375">
        <f t="shared" si="94"/>
        <v>2</v>
      </c>
      <c r="BG27" s="376">
        <f t="shared" si="31"/>
        <v>10</v>
      </c>
      <c r="BH27" s="373">
        <f t="shared" si="32"/>
        <v>1.3335555555555554</v>
      </c>
      <c r="BI27" s="374" t="str">
        <f t="shared" si="17"/>
        <v>(0.12)</v>
      </c>
      <c r="BJ27" s="375">
        <v>2</v>
      </c>
      <c r="BK27" s="375">
        <f t="shared" si="33"/>
        <v>2</v>
      </c>
      <c r="BL27" s="375">
        <v>0</v>
      </c>
      <c r="BM27" s="375">
        <f t="shared" si="34"/>
        <v>0</v>
      </c>
      <c r="BN27" s="375">
        <v>0</v>
      </c>
      <c r="BO27" s="375">
        <f t="shared" si="35"/>
        <v>0</v>
      </c>
      <c r="BP27" s="375">
        <f t="shared" si="36"/>
        <v>2</v>
      </c>
      <c r="BQ27" s="376">
        <f t="shared" si="37"/>
        <v>16</v>
      </c>
      <c r="BR27" s="373">
        <f t="shared" si="38"/>
        <v>1.8336388888888888</v>
      </c>
      <c r="BS27" s="374" t="str">
        <f t="shared" si="18"/>
        <v>(0.17)</v>
      </c>
      <c r="BT27" s="375">
        <v>2</v>
      </c>
      <c r="BU27" s="375">
        <f t="shared" si="39"/>
        <v>2</v>
      </c>
      <c r="BV27" s="375">
        <v>0</v>
      </c>
      <c r="BW27" s="375">
        <f t="shared" si="40"/>
        <v>0</v>
      </c>
      <c r="BX27" s="375">
        <v>0</v>
      </c>
      <c r="BY27" s="375">
        <f t="shared" si="41"/>
        <v>0</v>
      </c>
      <c r="BZ27" s="375">
        <f t="shared" si="42"/>
        <v>2</v>
      </c>
      <c r="CA27" s="376">
        <f t="shared" si="43"/>
        <v>22</v>
      </c>
      <c r="CB27" s="373">
        <f t="shared" si="44"/>
        <v>2.3337222222222223</v>
      </c>
      <c r="CC27" s="374" t="str">
        <f t="shared" si="19"/>
        <v>(0.22)</v>
      </c>
      <c r="CD27" s="375">
        <v>2</v>
      </c>
      <c r="CE27" s="375">
        <f t="shared" si="45"/>
        <v>2</v>
      </c>
      <c r="CF27" s="375">
        <v>0</v>
      </c>
      <c r="CG27" s="375">
        <f t="shared" si="46"/>
        <v>0</v>
      </c>
      <c r="CH27" s="375">
        <v>0</v>
      </c>
      <c r="CI27" s="375">
        <f t="shared" si="47"/>
        <v>0</v>
      </c>
      <c r="CJ27" s="375">
        <f t="shared" si="48"/>
        <v>2</v>
      </c>
      <c r="CK27" s="376">
        <f t="shared" si="49"/>
        <v>28</v>
      </c>
      <c r="CL27" s="373">
        <f t="shared" si="50"/>
        <v>2.8338055555555552</v>
      </c>
      <c r="CM27" s="374" t="str">
        <f t="shared" si="20"/>
        <v>(0.26)</v>
      </c>
      <c r="CN27" s="375">
        <v>2</v>
      </c>
      <c r="CO27" s="375">
        <f t="shared" si="51"/>
        <v>2</v>
      </c>
      <c r="CP27" s="375">
        <v>0</v>
      </c>
      <c r="CQ27" s="375">
        <f t="shared" si="52"/>
        <v>0</v>
      </c>
      <c r="CR27" s="375">
        <v>0</v>
      </c>
      <c r="CS27" s="375">
        <f t="shared" si="53"/>
        <v>0</v>
      </c>
      <c r="CT27" s="375">
        <f t="shared" si="54"/>
        <v>2</v>
      </c>
      <c r="CU27" s="376">
        <f t="shared" si="55"/>
        <v>34</v>
      </c>
      <c r="CV27" s="373">
        <f t="shared" si="56"/>
        <v>3.3338888888888882</v>
      </c>
      <c r="CW27" s="374" t="str">
        <f t="shared" si="21"/>
        <v>(0.31)</v>
      </c>
      <c r="CX27" s="375">
        <v>2</v>
      </c>
      <c r="CY27" s="375">
        <f t="shared" si="57"/>
        <v>2</v>
      </c>
      <c r="CZ27" s="375">
        <v>0</v>
      </c>
      <c r="DA27" s="375">
        <f t="shared" si="58"/>
        <v>0</v>
      </c>
      <c r="DB27" s="375">
        <v>0</v>
      </c>
      <c r="DC27" s="375">
        <f t="shared" si="59"/>
        <v>0</v>
      </c>
      <c r="DD27" s="375">
        <f t="shared" si="60"/>
        <v>2</v>
      </c>
      <c r="DE27" s="376">
        <f t="shared" si="61"/>
        <v>40</v>
      </c>
      <c r="DF27" s="373">
        <f t="shared" si="62"/>
        <v>3.8339722222222221</v>
      </c>
      <c r="DG27" s="374" t="str">
        <f t="shared" si="22"/>
        <v>(0.36)</v>
      </c>
      <c r="DH27" s="375">
        <v>2</v>
      </c>
      <c r="DI27" s="375">
        <f t="shared" si="63"/>
        <v>2</v>
      </c>
      <c r="DJ27" s="375">
        <v>0</v>
      </c>
      <c r="DK27" s="375">
        <f t="shared" si="64"/>
        <v>0</v>
      </c>
      <c r="DL27" s="375">
        <v>0</v>
      </c>
      <c r="DM27" s="375">
        <f t="shared" si="65"/>
        <v>0</v>
      </c>
      <c r="DN27" s="375">
        <f t="shared" si="66"/>
        <v>2</v>
      </c>
      <c r="DO27" s="376">
        <f t="shared" si="67"/>
        <v>46</v>
      </c>
      <c r="DP27" s="373">
        <f t="shared" si="68"/>
        <v>4.3340555555555547</v>
      </c>
      <c r="DQ27" s="374" t="str">
        <f t="shared" si="23"/>
        <v>(0.40)</v>
      </c>
      <c r="DR27" s="375">
        <v>2</v>
      </c>
      <c r="DS27" s="375">
        <f t="shared" si="69"/>
        <v>2</v>
      </c>
      <c r="DT27" s="375">
        <v>0</v>
      </c>
      <c r="DU27" s="375">
        <f t="shared" si="70"/>
        <v>0</v>
      </c>
      <c r="DV27" s="375">
        <v>0</v>
      </c>
      <c r="DW27" s="375">
        <f t="shared" si="71"/>
        <v>0</v>
      </c>
      <c r="DX27" s="375">
        <f t="shared" si="72"/>
        <v>2</v>
      </c>
      <c r="DY27" s="376">
        <f t="shared" si="73"/>
        <v>52</v>
      </c>
      <c r="DZ27" s="373">
        <f t="shared" si="74"/>
        <v>4.834138888888889</v>
      </c>
      <c r="EA27" s="374" t="str">
        <f t="shared" si="24"/>
        <v>(0.45)</v>
      </c>
      <c r="EB27" s="375">
        <v>2</v>
      </c>
      <c r="EC27" s="375">
        <f t="shared" si="75"/>
        <v>2</v>
      </c>
      <c r="ED27" s="375">
        <v>0</v>
      </c>
      <c r="EE27" s="375">
        <f t="shared" si="76"/>
        <v>0</v>
      </c>
      <c r="EF27" s="375">
        <v>0</v>
      </c>
      <c r="EG27" s="375">
        <f t="shared" si="77"/>
        <v>0</v>
      </c>
      <c r="EH27" s="375">
        <f t="shared" si="78"/>
        <v>2</v>
      </c>
      <c r="EI27" s="376">
        <f t="shared" si="79"/>
        <v>58</v>
      </c>
      <c r="EJ27" s="373">
        <f t="shared" si="80"/>
        <v>5.3342222222222215</v>
      </c>
      <c r="EK27" s="374" t="str">
        <f t="shared" si="95"/>
        <v>(0.50)</v>
      </c>
      <c r="EL27" s="375">
        <v>2</v>
      </c>
      <c r="EM27" s="375">
        <f t="shared" si="81"/>
        <v>2</v>
      </c>
      <c r="EN27" s="375">
        <v>0</v>
      </c>
      <c r="EO27" s="375">
        <f t="shared" si="82"/>
        <v>0</v>
      </c>
      <c r="EP27" s="375">
        <v>0</v>
      </c>
      <c r="EQ27" s="375">
        <f t="shared" si="83"/>
        <v>0</v>
      </c>
      <c r="ER27" s="375">
        <f t="shared" si="84"/>
        <v>2</v>
      </c>
      <c r="ES27" s="376">
        <f t="shared" si="85"/>
        <v>64</v>
      </c>
      <c r="ET27" s="373">
        <f t="shared" si="86"/>
        <v>5.834305555555555</v>
      </c>
      <c r="EU27" s="374" t="str">
        <f t="shared" si="25"/>
        <v>(0.54)</v>
      </c>
      <c r="EV27" s="22">
        <v>2</v>
      </c>
      <c r="EW27" s="22">
        <f t="shared" si="87"/>
        <v>2</v>
      </c>
      <c r="EX27" s="22">
        <v>0</v>
      </c>
      <c r="EY27" s="22">
        <f t="shared" si="88"/>
        <v>0</v>
      </c>
      <c r="EZ27" s="22">
        <v>0</v>
      </c>
      <c r="FA27" s="22">
        <f t="shared" si="89"/>
        <v>0</v>
      </c>
      <c r="FB27" s="22">
        <f t="shared" si="90"/>
        <v>2</v>
      </c>
      <c r="FC27" s="23">
        <f t="shared" si="91"/>
        <v>70</v>
      </c>
      <c r="FD27" s="202"/>
      <c r="FE27" s="203"/>
      <c r="FF27" s="204"/>
      <c r="FG27" s="204"/>
      <c r="FH27" s="204"/>
      <c r="FI27" s="204"/>
      <c r="FJ27" s="204"/>
      <c r="FK27" s="204"/>
      <c r="FL27" s="204"/>
      <c r="FM27" s="205"/>
      <c r="FN27" s="202"/>
      <c r="FO27" s="203"/>
      <c r="FP27" s="204"/>
      <c r="FQ27" s="204"/>
      <c r="FR27" s="204"/>
      <c r="FS27" s="204"/>
      <c r="FT27" s="204"/>
      <c r="FU27" s="204"/>
      <c r="FV27" s="204"/>
      <c r="FW27" s="205"/>
      <c r="FX27" s="202"/>
      <c r="FY27" s="203"/>
      <c r="FZ27" s="204"/>
      <c r="GA27" s="204"/>
      <c r="GB27" s="204"/>
      <c r="GC27" s="204"/>
      <c r="GD27" s="204"/>
      <c r="GE27" s="204"/>
      <c r="GF27" s="204"/>
      <c r="GG27" s="205"/>
      <c r="GH27" s="202"/>
      <c r="GI27" s="203"/>
      <c r="GJ27" s="204"/>
      <c r="GK27" s="204"/>
      <c r="GL27" s="204"/>
      <c r="GM27" s="204"/>
      <c r="GN27" s="204"/>
      <c r="GO27" s="204"/>
      <c r="GP27" s="204"/>
      <c r="GQ27" s="205"/>
      <c r="GR27" s="202"/>
      <c r="GS27" s="203"/>
      <c r="GT27" s="204"/>
      <c r="GU27" s="204"/>
      <c r="GV27" s="204"/>
      <c r="GW27" s="204"/>
      <c r="GX27" s="204"/>
      <c r="GY27" s="204"/>
      <c r="GZ27" s="204"/>
      <c r="HA27" s="205"/>
      <c r="HB27" s="202"/>
      <c r="HC27" s="203"/>
      <c r="HD27" s="204"/>
      <c r="HE27" s="204"/>
      <c r="HF27" s="204"/>
      <c r="HG27" s="204"/>
      <c r="HH27" s="204"/>
      <c r="HI27" s="204"/>
      <c r="HJ27" s="204"/>
      <c r="HK27" s="205"/>
      <c r="HL27" s="202"/>
      <c r="HM27" s="203"/>
      <c r="HN27" s="204"/>
      <c r="HO27" s="204"/>
      <c r="HP27" s="204"/>
      <c r="HQ27" s="204"/>
      <c r="HR27" s="204"/>
      <c r="HS27" s="204"/>
      <c r="HT27" s="204"/>
      <c r="HU27" s="205"/>
      <c r="HV27" s="202"/>
      <c r="HW27" s="203"/>
      <c r="HX27" s="204"/>
      <c r="HY27" s="204"/>
      <c r="HZ27" s="204"/>
      <c r="IA27" s="204"/>
      <c r="IB27" s="204"/>
      <c r="IC27" s="204"/>
      <c r="ID27" s="204"/>
      <c r="IE27" s="205"/>
      <c r="IF27" s="33"/>
      <c r="IG27" s="25">
        <v>5</v>
      </c>
      <c r="IH27" s="26">
        <v>2.0099999999999998</v>
      </c>
      <c r="II27" s="26">
        <v>2.0099999999999998</v>
      </c>
      <c r="IJ27" s="26">
        <v>1.952</v>
      </c>
      <c r="IK27" s="26">
        <v>1</v>
      </c>
      <c r="IL27" s="26">
        <v>1</v>
      </c>
      <c r="IM27" s="26">
        <v>1.125</v>
      </c>
      <c r="IN27" s="8"/>
    </row>
    <row r="28" spans="2:248" ht="15.75" thickBot="1" x14ac:dyDescent="0.3">
      <c r="B28" s="103">
        <f t="shared" si="12"/>
        <v>66</v>
      </c>
      <c r="C28" s="102">
        <v>11</v>
      </c>
      <c r="D28" s="98">
        <f t="shared" si="1"/>
        <v>0.25305555555555553</v>
      </c>
      <c r="E28" s="96">
        <f t="shared" si="2"/>
        <v>0.2699259259259259</v>
      </c>
      <c r="F28" s="96">
        <f t="shared" si="3"/>
        <v>0.27836111111111106</v>
      </c>
      <c r="G28" s="96">
        <f t="shared" si="4"/>
        <v>0.28342222222222213</v>
      </c>
      <c r="H28" s="96">
        <f t="shared" si="5"/>
        <v>0.28679629629629616</v>
      </c>
      <c r="I28" s="96">
        <f t="shared" si="6"/>
        <v>0.28920634920634913</v>
      </c>
      <c r="J28" s="96">
        <f t="shared" si="7"/>
        <v>0.29101388888888879</v>
      </c>
      <c r="K28" s="96">
        <f t="shared" si="8"/>
        <v>0.29241975308641965</v>
      </c>
      <c r="L28" s="96">
        <f t="shared" si="9"/>
        <v>0.29354444444444439</v>
      </c>
      <c r="M28" s="96">
        <f t="shared" si="10"/>
        <v>0.29446464646464643</v>
      </c>
      <c r="N28" s="96">
        <f t="shared" si="11"/>
        <v>0.29523148148148137</v>
      </c>
      <c r="O28" s="259"/>
      <c r="P28" s="259"/>
      <c r="Q28" s="259"/>
      <c r="R28" s="259"/>
      <c r="S28" s="259"/>
      <c r="T28" s="259"/>
      <c r="U28" s="259"/>
      <c r="V28" s="259"/>
      <c r="W28" s="64"/>
      <c r="X28" s="65"/>
      <c r="Z28" s="83"/>
      <c r="AA28" s="83"/>
      <c r="AT28" s="4"/>
      <c r="AU28" s="14">
        <f t="shared" si="92"/>
        <v>48</v>
      </c>
      <c r="AV28" s="12" t="str">
        <f t="shared" si="26"/>
        <v>(1200)</v>
      </c>
      <c r="AW28" s="19">
        <f t="shared" si="93"/>
        <v>14</v>
      </c>
      <c r="AX28" s="373">
        <f t="shared" si="27"/>
        <v>0.97305555555555534</v>
      </c>
      <c r="AY28" s="374" t="str">
        <f t="shared" si="16"/>
        <v>(0.09)</v>
      </c>
      <c r="AZ28" s="375">
        <v>2</v>
      </c>
      <c r="BA28" s="375">
        <f t="shared" si="28"/>
        <v>2</v>
      </c>
      <c r="BB28" s="375">
        <v>0</v>
      </c>
      <c r="BC28" s="375">
        <f t="shared" si="29"/>
        <v>0</v>
      </c>
      <c r="BD28" s="375">
        <v>0</v>
      </c>
      <c r="BE28" s="375">
        <f t="shared" si="30"/>
        <v>0</v>
      </c>
      <c r="BF28" s="375">
        <f t="shared" si="94"/>
        <v>2</v>
      </c>
      <c r="BG28" s="376">
        <f t="shared" si="31"/>
        <v>10</v>
      </c>
      <c r="BH28" s="373">
        <f t="shared" si="32"/>
        <v>1.5568888888888888</v>
      </c>
      <c r="BI28" s="374" t="str">
        <f t="shared" si="17"/>
        <v>(0.14)</v>
      </c>
      <c r="BJ28" s="375">
        <v>2</v>
      </c>
      <c r="BK28" s="375">
        <f t="shared" si="33"/>
        <v>2</v>
      </c>
      <c r="BL28" s="375">
        <v>0</v>
      </c>
      <c r="BM28" s="375">
        <f t="shared" si="34"/>
        <v>0</v>
      </c>
      <c r="BN28" s="375">
        <v>0</v>
      </c>
      <c r="BO28" s="375">
        <f t="shared" si="35"/>
        <v>0</v>
      </c>
      <c r="BP28" s="375">
        <f t="shared" si="36"/>
        <v>2</v>
      </c>
      <c r="BQ28" s="376">
        <f t="shared" si="37"/>
        <v>16</v>
      </c>
      <c r="BR28" s="373">
        <f t="shared" si="38"/>
        <v>2.1407222222222217</v>
      </c>
      <c r="BS28" s="374" t="str">
        <f t="shared" si="18"/>
        <v>(0.2)</v>
      </c>
      <c r="BT28" s="375">
        <v>2</v>
      </c>
      <c r="BU28" s="375">
        <f t="shared" si="39"/>
        <v>2</v>
      </c>
      <c r="BV28" s="375">
        <v>0</v>
      </c>
      <c r="BW28" s="375">
        <f t="shared" si="40"/>
        <v>0</v>
      </c>
      <c r="BX28" s="375">
        <v>0</v>
      </c>
      <c r="BY28" s="375">
        <f t="shared" si="41"/>
        <v>0</v>
      </c>
      <c r="BZ28" s="375">
        <f t="shared" si="42"/>
        <v>2</v>
      </c>
      <c r="CA28" s="376">
        <f t="shared" si="43"/>
        <v>22</v>
      </c>
      <c r="CB28" s="373">
        <f t="shared" si="44"/>
        <v>2.7245555555555554</v>
      </c>
      <c r="CC28" s="374" t="str">
        <f t="shared" si="19"/>
        <v>(0.25)</v>
      </c>
      <c r="CD28" s="375">
        <v>2</v>
      </c>
      <c r="CE28" s="375">
        <f t="shared" si="45"/>
        <v>2</v>
      </c>
      <c r="CF28" s="375">
        <v>0</v>
      </c>
      <c r="CG28" s="375">
        <f t="shared" si="46"/>
        <v>0</v>
      </c>
      <c r="CH28" s="375">
        <v>0</v>
      </c>
      <c r="CI28" s="375">
        <f t="shared" si="47"/>
        <v>0</v>
      </c>
      <c r="CJ28" s="375">
        <f t="shared" si="48"/>
        <v>2</v>
      </c>
      <c r="CK28" s="376">
        <f t="shared" si="49"/>
        <v>28</v>
      </c>
      <c r="CL28" s="373">
        <f t="shared" si="50"/>
        <v>3.3083888888888886</v>
      </c>
      <c r="CM28" s="374" t="str">
        <f t="shared" si="20"/>
        <v>(0.31)</v>
      </c>
      <c r="CN28" s="375">
        <v>2</v>
      </c>
      <c r="CO28" s="375">
        <f t="shared" si="51"/>
        <v>2</v>
      </c>
      <c r="CP28" s="375">
        <v>0</v>
      </c>
      <c r="CQ28" s="375">
        <f t="shared" si="52"/>
        <v>0</v>
      </c>
      <c r="CR28" s="375">
        <v>0</v>
      </c>
      <c r="CS28" s="375">
        <f t="shared" si="53"/>
        <v>0</v>
      </c>
      <c r="CT28" s="375">
        <f t="shared" si="54"/>
        <v>2</v>
      </c>
      <c r="CU28" s="376">
        <f t="shared" si="55"/>
        <v>34</v>
      </c>
      <c r="CV28" s="373">
        <f t="shared" si="56"/>
        <v>3.8922222222222214</v>
      </c>
      <c r="CW28" s="374" t="str">
        <f t="shared" si="21"/>
        <v>(0.36)</v>
      </c>
      <c r="CX28" s="375">
        <v>2</v>
      </c>
      <c r="CY28" s="375">
        <f t="shared" si="57"/>
        <v>2</v>
      </c>
      <c r="CZ28" s="375">
        <v>0</v>
      </c>
      <c r="DA28" s="375">
        <f t="shared" si="58"/>
        <v>0</v>
      </c>
      <c r="DB28" s="375">
        <v>0</v>
      </c>
      <c r="DC28" s="375">
        <f t="shared" si="59"/>
        <v>0</v>
      </c>
      <c r="DD28" s="375">
        <f t="shared" si="60"/>
        <v>2</v>
      </c>
      <c r="DE28" s="376">
        <f t="shared" si="61"/>
        <v>40</v>
      </c>
      <c r="DF28" s="377">
        <f t="shared" si="62"/>
        <v>4.476055555555555</v>
      </c>
      <c r="DG28" s="378" t="str">
        <f t="shared" si="22"/>
        <v>(0.42)</v>
      </c>
      <c r="DH28" s="375">
        <v>2</v>
      </c>
      <c r="DI28" s="375">
        <f t="shared" si="63"/>
        <v>2</v>
      </c>
      <c r="DJ28" s="375">
        <v>0</v>
      </c>
      <c r="DK28" s="375">
        <f t="shared" si="64"/>
        <v>0</v>
      </c>
      <c r="DL28" s="375">
        <v>0</v>
      </c>
      <c r="DM28" s="375">
        <f t="shared" si="65"/>
        <v>0</v>
      </c>
      <c r="DN28" s="375">
        <f t="shared" si="66"/>
        <v>2</v>
      </c>
      <c r="DO28" s="376">
        <f t="shared" si="67"/>
        <v>46</v>
      </c>
      <c r="DP28" s="373">
        <f t="shared" si="68"/>
        <v>5.0598888888888887</v>
      </c>
      <c r="DQ28" s="374" t="str">
        <f t="shared" si="23"/>
        <v>(0.47)</v>
      </c>
      <c r="DR28" s="375">
        <v>2</v>
      </c>
      <c r="DS28" s="375">
        <f t="shared" si="69"/>
        <v>2</v>
      </c>
      <c r="DT28" s="375">
        <v>0</v>
      </c>
      <c r="DU28" s="375">
        <f t="shared" si="70"/>
        <v>0</v>
      </c>
      <c r="DV28" s="375">
        <v>0</v>
      </c>
      <c r="DW28" s="375">
        <f t="shared" si="71"/>
        <v>0</v>
      </c>
      <c r="DX28" s="375">
        <f t="shared" si="72"/>
        <v>2</v>
      </c>
      <c r="DY28" s="376">
        <f t="shared" si="73"/>
        <v>52</v>
      </c>
      <c r="DZ28" s="373">
        <f t="shared" si="74"/>
        <v>5.6437222222222214</v>
      </c>
      <c r="EA28" s="374" t="str">
        <f t="shared" si="24"/>
        <v>(0.52)</v>
      </c>
      <c r="EB28" s="375">
        <v>2</v>
      </c>
      <c r="EC28" s="375">
        <f t="shared" si="75"/>
        <v>2</v>
      </c>
      <c r="ED28" s="375">
        <v>0</v>
      </c>
      <c r="EE28" s="375">
        <f t="shared" si="76"/>
        <v>0</v>
      </c>
      <c r="EF28" s="375">
        <v>0</v>
      </c>
      <c r="EG28" s="375">
        <f t="shared" si="77"/>
        <v>0</v>
      </c>
      <c r="EH28" s="375">
        <f t="shared" si="78"/>
        <v>2</v>
      </c>
      <c r="EI28" s="376">
        <f t="shared" si="79"/>
        <v>58</v>
      </c>
      <c r="EJ28" s="373">
        <f t="shared" si="80"/>
        <v>6.2275555555555551</v>
      </c>
      <c r="EK28" s="374" t="str">
        <f t="shared" si="95"/>
        <v>(0.58)</v>
      </c>
      <c r="EL28" s="375">
        <v>2</v>
      </c>
      <c r="EM28" s="375">
        <f t="shared" si="81"/>
        <v>2</v>
      </c>
      <c r="EN28" s="375">
        <v>0</v>
      </c>
      <c r="EO28" s="375">
        <f t="shared" si="82"/>
        <v>0</v>
      </c>
      <c r="EP28" s="375">
        <v>0</v>
      </c>
      <c r="EQ28" s="375">
        <f t="shared" si="83"/>
        <v>0</v>
      </c>
      <c r="ER28" s="375">
        <f t="shared" si="84"/>
        <v>2</v>
      </c>
      <c r="ES28" s="376">
        <f t="shared" si="85"/>
        <v>64</v>
      </c>
      <c r="ET28" s="373">
        <f t="shared" si="86"/>
        <v>6.8113888888888887</v>
      </c>
      <c r="EU28" s="374" t="str">
        <f t="shared" si="25"/>
        <v>(0.63)</v>
      </c>
      <c r="EV28" s="22">
        <v>2</v>
      </c>
      <c r="EW28" s="22">
        <f t="shared" si="87"/>
        <v>2</v>
      </c>
      <c r="EX28" s="22">
        <v>0</v>
      </c>
      <c r="EY28" s="22">
        <f t="shared" si="88"/>
        <v>0</v>
      </c>
      <c r="EZ28" s="22">
        <v>0</v>
      </c>
      <c r="FA28" s="22">
        <f t="shared" si="89"/>
        <v>0</v>
      </c>
      <c r="FB28" s="22">
        <f t="shared" si="90"/>
        <v>2</v>
      </c>
      <c r="FC28" s="23">
        <f t="shared" si="91"/>
        <v>70</v>
      </c>
      <c r="FD28" s="202"/>
      <c r="FE28" s="203"/>
      <c r="FF28" s="204"/>
      <c r="FG28" s="204"/>
      <c r="FH28" s="204"/>
      <c r="FI28" s="204"/>
      <c r="FJ28" s="204"/>
      <c r="FK28" s="204"/>
      <c r="FL28" s="204"/>
      <c r="FM28" s="205"/>
      <c r="FN28" s="202"/>
      <c r="FO28" s="203"/>
      <c r="FP28" s="204"/>
      <c r="FQ28" s="204"/>
      <c r="FR28" s="204"/>
      <c r="FS28" s="204"/>
      <c r="FT28" s="204"/>
      <c r="FU28" s="204"/>
      <c r="FV28" s="204"/>
      <c r="FW28" s="205"/>
      <c r="FX28" s="202"/>
      <c r="FY28" s="203"/>
      <c r="FZ28" s="204"/>
      <c r="GA28" s="204"/>
      <c r="GB28" s="204"/>
      <c r="GC28" s="204"/>
      <c r="GD28" s="204"/>
      <c r="GE28" s="204"/>
      <c r="GF28" s="204"/>
      <c r="GG28" s="205"/>
      <c r="GH28" s="202"/>
      <c r="GI28" s="203"/>
      <c r="GJ28" s="204"/>
      <c r="GK28" s="204"/>
      <c r="GL28" s="204"/>
      <c r="GM28" s="204"/>
      <c r="GN28" s="204"/>
      <c r="GO28" s="204"/>
      <c r="GP28" s="204"/>
      <c r="GQ28" s="205"/>
      <c r="GR28" s="202"/>
      <c r="GS28" s="203"/>
      <c r="GT28" s="204"/>
      <c r="GU28" s="204"/>
      <c r="GV28" s="204"/>
      <c r="GW28" s="204"/>
      <c r="GX28" s="204"/>
      <c r="GY28" s="204"/>
      <c r="GZ28" s="204"/>
      <c r="HA28" s="205"/>
      <c r="HB28" s="202"/>
      <c r="HC28" s="203"/>
      <c r="HD28" s="204"/>
      <c r="HE28" s="204"/>
      <c r="HF28" s="204"/>
      <c r="HG28" s="204"/>
      <c r="HH28" s="204"/>
      <c r="HI28" s="204"/>
      <c r="HJ28" s="204"/>
      <c r="HK28" s="205"/>
      <c r="HL28" s="202"/>
      <c r="HM28" s="203"/>
      <c r="HN28" s="204"/>
      <c r="HO28" s="204"/>
      <c r="HP28" s="204"/>
      <c r="HQ28" s="204"/>
      <c r="HR28" s="204"/>
      <c r="HS28" s="204"/>
      <c r="HT28" s="204"/>
      <c r="HU28" s="205"/>
      <c r="HV28" s="202"/>
      <c r="HW28" s="203"/>
      <c r="HX28" s="204"/>
      <c r="HY28" s="204"/>
      <c r="HZ28" s="204"/>
      <c r="IA28" s="204"/>
      <c r="IB28" s="204"/>
      <c r="IC28" s="204"/>
      <c r="ID28" s="204"/>
      <c r="IE28" s="205"/>
      <c r="IF28" s="33"/>
      <c r="IG28" s="25">
        <v>6</v>
      </c>
      <c r="IH28" s="26">
        <v>2.0099999999999998</v>
      </c>
      <c r="II28" s="26">
        <v>2.0099999999999998</v>
      </c>
      <c r="IJ28" s="26">
        <v>1.952</v>
      </c>
      <c r="IK28" s="26">
        <v>1</v>
      </c>
      <c r="IL28" s="26">
        <v>1</v>
      </c>
      <c r="IM28" s="26">
        <v>1.125</v>
      </c>
      <c r="IN28" s="8"/>
    </row>
    <row r="29" spans="2:248" ht="15.75" thickBot="1" x14ac:dyDescent="0.3">
      <c r="B29" s="103">
        <f t="shared" si="12"/>
        <v>72</v>
      </c>
      <c r="C29" s="102">
        <v>12</v>
      </c>
      <c r="D29" s="98">
        <f t="shared" si="1"/>
        <v>0.25523148148148139</v>
      </c>
      <c r="E29" s="96">
        <f t="shared" si="2"/>
        <v>0.27224691358024677</v>
      </c>
      <c r="F29" s="96">
        <f t="shared" si="3"/>
        <v>0.28075462962962955</v>
      </c>
      <c r="G29" s="96">
        <f t="shared" si="4"/>
        <v>0.28585925925925915</v>
      </c>
      <c r="H29" s="96">
        <f t="shared" si="5"/>
        <v>0.28926234567901227</v>
      </c>
      <c r="I29" s="96">
        <f t="shared" si="6"/>
        <v>0.29169312169312162</v>
      </c>
      <c r="J29" s="96">
        <f t="shared" si="7"/>
        <v>0.29351620370370357</v>
      </c>
      <c r="K29" s="96">
        <f t="shared" si="8"/>
        <v>0.29493415637860076</v>
      </c>
      <c r="L29" s="96">
        <f t="shared" si="9"/>
        <v>0.29606851851851845</v>
      </c>
      <c r="M29" s="96">
        <f t="shared" si="10"/>
        <v>0.29699663299663287</v>
      </c>
      <c r="N29" s="96">
        <f t="shared" si="11"/>
        <v>0.29777006172839493</v>
      </c>
      <c r="O29" s="259"/>
      <c r="P29" s="259"/>
      <c r="Q29" s="259"/>
      <c r="R29" s="259"/>
      <c r="S29" s="259"/>
      <c r="T29" s="259"/>
      <c r="U29" s="259"/>
      <c r="V29" s="259"/>
      <c r="W29" s="64"/>
      <c r="X29" s="65"/>
      <c r="Z29" s="83"/>
      <c r="AA29" s="83"/>
      <c r="AT29" s="4"/>
      <c r="AU29" s="14">
        <f t="shared" si="92"/>
        <v>54</v>
      </c>
      <c r="AV29" s="12" t="str">
        <f t="shared" si="26"/>
        <v>(1350)</v>
      </c>
      <c r="AW29" s="19">
        <f t="shared" si="93"/>
        <v>15</v>
      </c>
      <c r="AX29" s="373">
        <f t="shared" si="27"/>
        <v>1.1126388888888887</v>
      </c>
      <c r="AY29" s="374" t="str">
        <f t="shared" si="16"/>
        <v>(0.10)</v>
      </c>
      <c r="AZ29" s="375">
        <v>2</v>
      </c>
      <c r="BA29" s="375">
        <f t="shared" si="28"/>
        <v>2</v>
      </c>
      <c r="BB29" s="375">
        <v>0</v>
      </c>
      <c r="BC29" s="375">
        <f t="shared" si="29"/>
        <v>0</v>
      </c>
      <c r="BD29" s="375">
        <v>0</v>
      </c>
      <c r="BE29" s="375">
        <f t="shared" si="30"/>
        <v>0</v>
      </c>
      <c r="BF29" s="375">
        <f t="shared" si="94"/>
        <v>2</v>
      </c>
      <c r="BG29" s="376">
        <f t="shared" si="31"/>
        <v>10</v>
      </c>
      <c r="BH29" s="373">
        <f t="shared" si="32"/>
        <v>1.7802222222222222</v>
      </c>
      <c r="BI29" s="374" t="str">
        <f t="shared" si="17"/>
        <v>(0.17)</v>
      </c>
      <c r="BJ29" s="375">
        <v>2</v>
      </c>
      <c r="BK29" s="375">
        <f t="shared" si="33"/>
        <v>2</v>
      </c>
      <c r="BL29" s="375">
        <v>0</v>
      </c>
      <c r="BM29" s="375">
        <f t="shared" si="34"/>
        <v>0</v>
      </c>
      <c r="BN29" s="375">
        <v>0</v>
      </c>
      <c r="BO29" s="375">
        <f t="shared" si="35"/>
        <v>0</v>
      </c>
      <c r="BP29" s="375">
        <f t="shared" si="36"/>
        <v>2</v>
      </c>
      <c r="BQ29" s="376">
        <f t="shared" si="37"/>
        <v>16</v>
      </c>
      <c r="BR29" s="373">
        <f t="shared" si="38"/>
        <v>2.4478055555555556</v>
      </c>
      <c r="BS29" s="374" t="str">
        <f t="shared" si="18"/>
        <v>(0.23)</v>
      </c>
      <c r="BT29" s="375">
        <v>2</v>
      </c>
      <c r="BU29" s="375">
        <f t="shared" si="39"/>
        <v>2</v>
      </c>
      <c r="BV29" s="375">
        <v>0</v>
      </c>
      <c r="BW29" s="375">
        <f t="shared" si="40"/>
        <v>0</v>
      </c>
      <c r="BX29" s="375">
        <v>0</v>
      </c>
      <c r="BY29" s="375">
        <f t="shared" si="41"/>
        <v>0</v>
      </c>
      <c r="BZ29" s="375">
        <f t="shared" si="42"/>
        <v>2</v>
      </c>
      <c r="CA29" s="376">
        <f t="shared" si="43"/>
        <v>22</v>
      </c>
      <c r="CB29" s="373">
        <f t="shared" si="44"/>
        <v>3.115388888888889</v>
      </c>
      <c r="CC29" s="374" t="str">
        <f t="shared" si="19"/>
        <v>(0.29)</v>
      </c>
      <c r="CD29" s="375">
        <v>2</v>
      </c>
      <c r="CE29" s="375">
        <f t="shared" si="45"/>
        <v>2</v>
      </c>
      <c r="CF29" s="375">
        <v>0</v>
      </c>
      <c r="CG29" s="375">
        <f t="shared" si="46"/>
        <v>0</v>
      </c>
      <c r="CH29" s="375">
        <v>0</v>
      </c>
      <c r="CI29" s="375">
        <f t="shared" si="47"/>
        <v>0</v>
      </c>
      <c r="CJ29" s="375">
        <f t="shared" si="48"/>
        <v>2</v>
      </c>
      <c r="CK29" s="376">
        <f t="shared" si="49"/>
        <v>28</v>
      </c>
      <c r="CL29" s="373">
        <f t="shared" si="50"/>
        <v>3.782972222222222</v>
      </c>
      <c r="CM29" s="374" t="str">
        <f t="shared" si="20"/>
        <v>(0.35)</v>
      </c>
      <c r="CN29" s="375">
        <v>2</v>
      </c>
      <c r="CO29" s="375">
        <f t="shared" si="51"/>
        <v>2</v>
      </c>
      <c r="CP29" s="375">
        <v>0</v>
      </c>
      <c r="CQ29" s="375">
        <f t="shared" si="52"/>
        <v>0</v>
      </c>
      <c r="CR29" s="375">
        <v>0</v>
      </c>
      <c r="CS29" s="375">
        <f t="shared" si="53"/>
        <v>0</v>
      </c>
      <c r="CT29" s="375">
        <f t="shared" si="54"/>
        <v>2</v>
      </c>
      <c r="CU29" s="376">
        <f t="shared" si="55"/>
        <v>34</v>
      </c>
      <c r="CV29" s="373">
        <f t="shared" si="56"/>
        <v>4.4505555555555549</v>
      </c>
      <c r="CW29" s="374" t="str">
        <f t="shared" si="21"/>
        <v>(0.41)</v>
      </c>
      <c r="CX29" s="375">
        <v>2</v>
      </c>
      <c r="CY29" s="375">
        <f t="shared" si="57"/>
        <v>2</v>
      </c>
      <c r="CZ29" s="375">
        <v>0</v>
      </c>
      <c r="DA29" s="375">
        <f t="shared" si="58"/>
        <v>0</v>
      </c>
      <c r="DB29" s="375">
        <v>0</v>
      </c>
      <c r="DC29" s="375">
        <f t="shared" si="59"/>
        <v>0</v>
      </c>
      <c r="DD29" s="375">
        <f t="shared" si="60"/>
        <v>2</v>
      </c>
      <c r="DE29" s="376">
        <f t="shared" si="61"/>
        <v>40</v>
      </c>
      <c r="DF29" s="373">
        <f t="shared" si="62"/>
        <v>5.1181388888888888</v>
      </c>
      <c r="DG29" s="374" t="str">
        <f t="shared" si="22"/>
        <v>(0.48)</v>
      </c>
      <c r="DH29" s="375">
        <v>2</v>
      </c>
      <c r="DI29" s="375">
        <f t="shared" si="63"/>
        <v>2</v>
      </c>
      <c r="DJ29" s="375">
        <v>0</v>
      </c>
      <c r="DK29" s="375">
        <f t="shared" si="64"/>
        <v>0</v>
      </c>
      <c r="DL29" s="375">
        <v>0</v>
      </c>
      <c r="DM29" s="375">
        <f t="shared" si="65"/>
        <v>0</v>
      </c>
      <c r="DN29" s="375">
        <f t="shared" si="66"/>
        <v>2</v>
      </c>
      <c r="DO29" s="376">
        <f t="shared" si="67"/>
        <v>46</v>
      </c>
      <c r="DP29" s="373">
        <f t="shared" si="68"/>
        <v>5.7857222222222218</v>
      </c>
      <c r="DQ29" s="374" t="str">
        <f t="shared" si="23"/>
        <v>(0.54)</v>
      </c>
      <c r="DR29" s="375">
        <v>2</v>
      </c>
      <c r="DS29" s="375">
        <f t="shared" si="69"/>
        <v>2</v>
      </c>
      <c r="DT29" s="375">
        <v>0</v>
      </c>
      <c r="DU29" s="375">
        <f t="shared" si="70"/>
        <v>0</v>
      </c>
      <c r="DV29" s="375">
        <v>0</v>
      </c>
      <c r="DW29" s="375">
        <f t="shared" si="71"/>
        <v>0</v>
      </c>
      <c r="DX29" s="375">
        <f t="shared" si="72"/>
        <v>2</v>
      </c>
      <c r="DY29" s="376">
        <f t="shared" si="73"/>
        <v>52</v>
      </c>
      <c r="DZ29" s="373">
        <f t="shared" si="74"/>
        <v>6.4533055555555556</v>
      </c>
      <c r="EA29" s="374" t="str">
        <f t="shared" si="24"/>
        <v>(0.60)</v>
      </c>
      <c r="EB29" s="375">
        <v>2</v>
      </c>
      <c r="EC29" s="375">
        <f t="shared" si="75"/>
        <v>2</v>
      </c>
      <c r="ED29" s="375">
        <v>0</v>
      </c>
      <c r="EE29" s="375">
        <f t="shared" si="76"/>
        <v>0</v>
      </c>
      <c r="EF29" s="375">
        <v>0</v>
      </c>
      <c r="EG29" s="375">
        <f t="shared" si="77"/>
        <v>0</v>
      </c>
      <c r="EH29" s="375">
        <f t="shared" si="78"/>
        <v>2</v>
      </c>
      <c r="EI29" s="376">
        <f t="shared" si="79"/>
        <v>58</v>
      </c>
      <c r="EJ29" s="373">
        <f t="shared" si="80"/>
        <v>7.1208888888888886</v>
      </c>
      <c r="EK29" s="374" t="str">
        <f t="shared" si="95"/>
        <v>(0.66)</v>
      </c>
      <c r="EL29" s="375">
        <v>2</v>
      </c>
      <c r="EM29" s="375">
        <f t="shared" si="81"/>
        <v>2</v>
      </c>
      <c r="EN29" s="375">
        <v>0</v>
      </c>
      <c r="EO29" s="375">
        <f t="shared" si="82"/>
        <v>0</v>
      </c>
      <c r="EP29" s="375">
        <v>0</v>
      </c>
      <c r="EQ29" s="375">
        <f t="shared" si="83"/>
        <v>0</v>
      </c>
      <c r="ER29" s="375">
        <f t="shared" si="84"/>
        <v>2</v>
      </c>
      <c r="ES29" s="376">
        <f t="shared" si="85"/>
        <v>64</v>
      </c>
      <c r="ET29" s="373">
        <f t="shared" si="86"/>
        <v>7.7884722222222216</v>
      </c>
      <c r="EU29" s="374" t="str">
        <f t="shared" si="25"/>
        <v>(0.72)</v>
      </c>
      <c r="EV29" s="22">
        <v>2</v>
      </c>
      <c r="EW29" s="22">
        <f t="shared" si="87"/>
        <v>2</v>
      </c>
      <c r="EX29" s="22">
        <v>0</v>
      </c>
      <c r="EY29" s="22">
        <f t="shared" si="88"/>
        <v>0</v>
      </c>
      <c r="EZ29" s="22">
        <v>0</v>
      </c>
      <c r="FA29" s="22">
        <f t="shared" si="89"/>
        <v>0</v>
      </c>
      <c r="FB29" s="22">
        <f t="shared" si="90"/>
        <v>2</v>
      </c>
      <c r="FC29" s="23">
        <f t="shared" si="91"/>
        <v>70</v>
      </c>
      <c r="FD29" s="202"/>
      <c r="FE29" s="203"/>
      <c r="FF29" s="204"/>
      <c r="FG29" s="204"/>
      <c r="FH29" s="204"/>
      <c r="FI29" s="204"/>
      <c r="FJ29" s="204"/>
      <c r="FK29" s="204"/>
      <c r="FL29" s="204"/>
      <c r="FM29" s="205"/>
      <c r="FN29" s="202"/>
      <c r="FO29" s="203"/>
      <c r="FP29" s="204"/>
      <c r="FQ29" s="204"/>
      <c r="FR29" s="204"/>
      <c r="FS29" s="204"/>
      <c r="FT29" s="204"/>
      <c r="FU29" s="204"/>
      <c r="FV29" s="204"/>
      <c r="FW29" s="205"/>
      <c r="FX29" s="202"/>
      <c r="FY29" s="203"/>
      <c r="FZ29" s="204"/>
      <c r="GA29" s="204"/>
      <c r="GB29" s="204"/>
      <c r="GC29" s="204"/>
      <c r="GD29" s="204"/>
      <c r="GE29" s="204"/>
      <c r="GF29" s="204"/>
      <c r="GG29" s="205"/>
      <c r="GH29" s="202"/>
      <c r="GI29" s="203"/>
      <c r="GJ29" s="204"/>
      <c r="GK29" s="204"/>
      <c r="GL29" s="204"/>
      <c r="GM29" s="204"/>
      <c r="GN29" s="204"/>
      <c r="GO29" s="204"/>
      <c r="GP29" s="204"/>
      <c r="GQ29" s="205"/>
      <c r="GR29" s="202"/>
      <c r="GS29" s="203"/>
      <c r="GT29" s="204"/>
      <c r="GU29" s="204"/>
      <c r="GV29" s="204"/>
      <c r="GW29" s="204"/>
      <c r="GX29" s="204"/>
      <c r="GY29" s="204"/>
      <c r="GZ29" s="204"/>
      <c r="HA29" s="205"/>
      <c r="HB29" s="202"/>
      <c r="HC29" s="203"/>
      <c r="HD29" s="204"/>
      <c r="HE29" s="204"/>
      <c r="HF29" s="204"/>
      <c r="HG29" s="204"/>
      <c r="HH29" s="204"/>
      <c r="HI29" s="204"/>
      <c r="HJ29" s="204"/>
      <c r="HK29" s="205"/>
      <c r="HL29" s="202"/>
      <c r="HM29" s="203"/>
      <c r="HN29" s="204"/>
      <c r="HO29" s="204"/>
      <c r="HP29" s="204"/>
      <c r="HQ29" s="204"/>
      <c r="HR29" s="204"/>
      <c r="HS29" s="204"/>
      <c r="HT29" s="204"/>
      <c r="HU29" s="205"/>
      <c r="HV29" s="202"/>
      <c r="HW29" s="203"/>
      <c r="HX29" s="204"/>
      <c r="HY29" s="204"/>
      <c r="HZ29" s="204"/>
      <c r="IA29" s="204"/>
      <c r="IB29" s="204"/>
      <c r="IC29" s="204"/>
      <c r="ID29" s="204"/>
      <c r="IE29" s="205"/>
      <c r="IF29" s="33"/>
      <c r="IG29" s="25">
        <v>7</v>
      </c>
      <c r="IH29" s="26">
        <v>2.0099999999999998</v>
      </c>
      <c r="II29" s="26">
        <v>2.0099999999999998</v>
      </c>
      <c r="IJ29" s="26">
        <v>1.952</v>
      </c>
      <c r="IK29" s="26">
        <v>1</v>
      </c>
      <c r="IL29" s="26">
        <v>1</v>
      </c>
      <c r="IM29" s="26">
        <v>1.125</v>
      </c>
      <c r="IN29" s="8"/>
    </row>
    <row r="30" spans="2:248" ht="15.75" thickBot="1" x14ac:dyDescent="0.3">
      <c r="B30" s="103">
        <f t="shared" si="12"/>
        <v>78</v>
      </c>
      <c r="C30" s="102">
        <v>13</v>
      </c>
      <c r="D30" s="98">
        <f t="shared" si="1"/>
        <v>0.25707264957264953</v>
      </c>
      <c r="E30" s="96">
        <f t="shared" si="2"/>
        <v>0.27421082621082615</v>
      </c>
      <c r="F30" s="96">
        <f t="shared" si="3"/>
        <v>0.28277991452991447</v>
      </c>
      <c r="G30" s="96">
        <f t="shared" si="4"/>
        <v>0.28792136752136749</v>
      </c>
      <c r="H30" s="96">
        <f t="shared" si="5"/>
        <v>0.29134900284900284</v>
      </c>
      <c r="I30" s="96">
        <f t="shared" si="6"/>
        <v>0.29379731379731377</v>
      </c>
      <c r="J30" s="96">
        <f t="shared" si="7"/>
        <v>0.29563354700854699</v>
      </c>
      <c r="K30" s="96">
        <f t="shared" si="8"/>
        <v>0.29706172839506173</v>
      </c>
      <c r="L30" s="96">
        <f t="shared" si="9"/>
        <v>0.29820427350427348</v>
      </c>
      <c r="M30" s="96">
        <f t="shared" si="10"/>
        <v>0.29913908313908311</v>
      </c>
      <c r="N30" s="96">
        <f t="shared" si="11"/>
        <v>0.29991809116809115</v>
      </c>
      <c r="O30" s="259"/>
      <c r="P30" s="259"/>
      <c r="Q30" s="259"/>
      <c r="R30" s="259"/>
      <c r="S30" s="259"/>
      <c r="T30" s="259"/>
      <c r="U30" s="259"/>
      <c r="V30" s="260"/>
      <c r="W30" s="64"/>
      <c r="X30" s="65"/>
      <c r="Z30" s="83"/>
      <c r="AA30" s="83"/>
      <c r="AT30" s="4"/>
      <c r="AU30" s="27">
        <f t="shared" si="92"/>
        <v>60</v>
      </c>
      <c r="AV30" s="28" t="str">
        <f t="shared" si="26"/>
        <v>(1500)</v>
      </c>
      <c r="AW30" s="19">
        <f t="shared" si="93"/>
        <v>16</v>
      </c>
      <c r="AX30" s="373">
        <f t="shared" si="27"/>
        <v>1.2522222222222219</v>
      </c>
      <c r="AY30" s="374" t="str">
        <f>"("&amp;FIXED(AX30*0.092903,2)&amp;")"</f>
        <v>(0.12)</v>
      </c>
      <c r="AZ30" s="375">
        <v>2</v>
      </c>
      <c r="BA30" s="375">
        <f t="shared" si="28"/>
        <v>2</v>
      </c>
      <c r="BB30" s="375">
        <v>0</v>
      </c>
      <c r="BC30" s="375">
        <f t="shared" si="29"/>
        <v>0</v>
      </c>
      <c r="BD30" s="375">
        <v>0</v>
      </c>
      <c r="BE30" s="375">
        <f t="shared" si="30"/>
        <v>0</v>
      </c>
      <c r="BF30" s="375">
        <f t="shared" si="94"/>
        <v>2</v>
      </c>
      <c r="BG30" s="376">
        <f t="shared" si="31"/>
        <v>10</v>
      </c>
      <c r="BH30" s="373">
        <f t="shared" si="32"/>
        <v>2.0035555555555553</v>
      </c>
      <c r="BI30" s="374" t="str">
        <f t="shared" si="17"/>
        <v>(0.19)</v>
      </c>
      <c r="BJ30" s="375">
        <v>2</v>
      </c>
      <c r="BK30" s="375">
        <f t="shared" si="33"/>
        <v>2</v>
      </c>
      <c r="BL30" s="375">
        <v>0</v>
      </c>
      <c r="BM30" s="375">
        <f t="shared" si="34"/>
        <v>0</v>
      </c>
      <c r="BN30" s="375">
        <v>0</v>
      </c>
      <c r="BO30" s="375">
        <f t="shared" si="35"/>
        <v>0</v>
      </c>
      <c r="BP30" s="375">
        <f t="shared" si="36"/>
        <v>2</v>
      </c>
      <c r="BQ30" s="376">
        <f t="shared" si="37"/>
        <v>16</v>
      </c>
      <c r="BR30" s="373">
        <f t="shared" si="38"/>
        <v>2.7548888888888885</v>
      </c>
      <c r="BS30" s="374" t="str">
        <f t="shared" si="18"/>
        <v>(0.26)</v>
      </c>
      <c r="BT30" s="375">
        <v>2</v>
      </c>
      <c r="BU30" s="375">
        <f t="shared" si="39"/>
        <v>2</v>
      </c>
      <c r="BV30" s="375">
        <v>0</v>
      </c>
      <c r="BW30" s="375">
        <f t="shared" si="40"/>
        <v>0</v>
      </c>
      <c r="BX30" s="375">
        <v>0</v>
      </c>
      <c r="BY30" s="375">
        <f t="shared" si="41"/>
        <v>0</v>
      </c>
      <c r="BZ30" s="375">
        <f t="shared" si="42"/>
        <v>2</v>
      </c>
      <c r="CA30" s="376">
        <f t="shared" si="43"/>
        <v>22</v>
      </c>
      <c r="CB30" s="373">
        <f t="shared" si="44"/>
        <v>3.5062222222222217</v>
      </c>
      <c r="CC30" s="374" t="str">
        <f t="shared" si="19"/>
        <v>(0.33)</v>
      </c>
      <c r="CD30" s="375">
        <v>2</v>
      </c>
      <c r="CE30" s="375">
        <f t="shared" si="45"/>
        <v>2</v>
      </c>
      <c r="CF30" s="375">
        <v>0</v>
      </c>
      <c r="CG30" s="375">
        <f t="shared" si="46"/>
        <v>0</v>
      </c>
      <c r="CH30" s="375">
        <v>0</v>
      </c>
      <c r="CI30" s="375">
        <f t="shared" si="47"/>
        <v>0</v>
      </c>
      <c r="CJ30" s="375">
        <f t="shared" si="48"/>
        <v>2</v>
      </c>
      <c r="CK30" s="376">
        <f t="shared" si="49"/>
        <v>28</v>
      </c>
      <c r="CL30" s="373">
        <f t="shared" si="50"/>
        <v>4.2575555555555544</v>
      </c>
      <c r="CM30" s="374" t="str">
        <f t="shared" si="20"/>
        <v>(0.4)</v>
      </c>
      <c r="CN30" s="375">
        <v>2</v>
      </c>
      <c r="CO30" s="375">
        <f t="shared" si="51"/>
        <v>2</v>
      </c>
      <c r="CP30" s="375">
        <v>0</v>
      </c>
      <c r="CQ30" s="375">
        <f t="shared" si="52"/>
        <v>0</v>
      </c>
      <c r="CR30" s="375">
        <v>0</v>
      </c>
      <c r="CS30" s="375">
        <f t="shared" si="53"/>
        <v>0</v>
      </c>
      <c r="CT30" s="375">
        <f t="shared" si="54"/>
        <v>2</v>
      </c>
      <c r="CU30" s="376">
        <f t="shared" si="55"/>
        <v>34</v>
      </c>
      <c r="CV30" s="373">
        <f t="shared" si="56"/>
        <v>5.0088888888888876</v>
      </c>
      <c r="CW30" s="374" t="str">
        <f t="shared" si="21"/>
        <v>(0.47)</v>
      </c>
      <c r="CX30" s="375">
        <v>2</v>
      </c>
      <c r="CY30" s="375">
        <f t="shared" si="57"/>
        <v>2</v>
      </c>
      <c r="CZ30" s="375">
        <v>0</v>
      </c>
      <c r="DA30" s="375">
        <f t="shared" si="58"/>
        <v>0</v>
      </c>
      <c r="DB30" s="375">
        <v>0</v>
      </c>
      <c r="DC30" s="375">
        <f t="shared" si="59"/>
        <v>0</v>
      </c>
      <c r="DD30" s="375">
        <f t="shared" si="60"/>
        <v>2</v>
      </c>
      <c r="DE30" s="376">
        <f t="shared" si="61"/>
        <v>40</v>
      </c>
      <c r="DF30" s="373">
        <f t="shared" si="62"/>
        <v>5.7602222222222217</v>
      </c>
      <c r="DG30" s="374" t="str">
        <f t="shared" si="22"/>
        <v>(0.54)</v>
      </c>
      <c r="DH30" s="375">
        <v>2</v>
      </c>
      <c r="DI30" s="375">
        <f t="shared" si="63"/>
        <v>2</v>
      </c>
      <c r="DJ30" s="375">
        <v>0</v>
      </c>
      <c r="DK30" s="375">
        <f t="shared" si="64"/>
        <v>0</v>
      </c>
      <c r="DL30" s="375">
        <v>0</v>
      </c>
      <c r="DM30" s="375">
        <f t="shared" si="65"/>
        <v>0</v>
      </c>
      <c r="DN30" s="375">
        <f t="shared" si="66"/>
        <v>2</v>
      </c>
      <c r="DO30" s="376">
        <f t="shared" si="67"/>
        <v>46</v>
      </c>
      <c r="DP30" s="373">
        <f t="shared" si="68"/>
        <v>6.511555555555554</v>
      </c>
      <c r="DQ30" s="374" t="str">
        <f>"("&amp;FIXED(DP30*0.092903,2)&amp;")"</f>
        <v>(0.60)</v>
      </c>
      <c r="DR30" s="375">
        <v>2</v>
      </c>
      <c r="DS30" s="375">
        <f t="shared" si="69"/>
        <v>2</v>
      </c>
      <c r="DT30" s="375">
        <v>0</v>
      </c>
      <c r="DU30" s="375">
        <f t="shared" si="70"/>
        <v>0</v>
      </c>
      <c r="DV30" s="375">
        <v>0</v>
      </c>
      <c r="DW30" s="375">
        <f t="shared" si="71"/>
        <v>0</v>
      </c>
      <c r="DX30" s="375">
        <f t="shared" si="72"/>
        <v>2</v>
      </c>
      <c r="DY30" s="376">
        <f t="shared" si="73"/>
        <v>52</v>
      </c>
      <c r="DZ30" s="373">
        <f t="shared" si="74"/>
        <v>7.2628888888888872</v>
      </c>
      <c r="EA30" s="374" t="str">
        <f>"("&amp;FIXED(DZ30*0.092903,2)&amp;")"</f>
        <v>(0.67)</v>
      </c>
      <c r="EB30" s="375">
        <v>2</v>
      </c>
      <c r="EC30" s="375">
        <f t="shared" si="75"/>
        <v>2</v>
      </c>
      <c r="ED30" s="375">
        <v>0</v>
      </c>
      <c r="EE30" s="375">
        <f t="shared" si="76"/>
        <v>0</v>
      </c>
      <c r="EF30" s="375">
        <v>0</v>
      </c>
      <c r="EG30" s="375">
        <f t="shared" si="77"/>
        <v>0</v>
      </c>
      <c r="EH30" s="375">
        <f t="shared" si="78"/>
        <v>2</v>
      </c>
      <c r="EI30" s="376">
        <f t="shared" si="79"/>
        <v>58</v>
      </c>
      <c r="EJ30" s="373">
        <f t="shared" si="80"/>
        <v>8.0142222222222212</v>
      </c>
      <c r="EK30" s="374" t="str">
        <f>"("&amp;FIXED(EJ30*0.092903,2)&amp;")"</f>
        <v>(0.74)</v>
      </c>
      <c r="EL30" s="375">
        <v>2</v>
      </c>
      <c r="EM30" s="375">
        <f t="shared" si="81"/>
        <v>2</v>
      </c>
      <c r="EN30" s="375">
        <v>0</v>
      </c>
      <c r="EO30" s="375">
        <f t="shared" si="82"/>
        <v>0</v>
      </c>
      <c r="EP30" s="375">
        <v>0</v>
      </c>
      <c r="EQ30" s="375">
        <f t="shared" si="83"/>
        <v>0</v>
      </c>
      <c r="ER30" s="375">
        <f t="shared" si="84"/>
        <v>2</v>
      </c>
      <c r="ES30" s="376">
        <f t="shared" si="85"/>
        <v>64</v>
      </c>
      <c r="ET30" s="373">
        <f t="shared" si="86"/>
        <v>8.7655555555555544</v>
      </c>
      <c r="EU30" s="374" t="str">
        <f>"("&amp;FIXED(ET30*0.092903,2)&amp;")"</f>
        <v>(0.81)</v>
      </c>
      <c r="EV30" s="22">
        <v>2</v>
      </c>
      <c r="EW30" s="22">
        <f t="shared" si="87"/>
        <v>2</v>
      </c>
      <c r="EX30" s="22">
        <v>0</v>
      </c>
      <c r="EY30" s="22">
        <f t="shared" si="88"/>
        <v>0</v>
      </c>
      <c r="EZ30" s="30">
        <v>0</v>
      </c>
      <c r="FA30" s="22">
        <f t="shared" si="89"/>
        <v>0</v>
      </c>
      <c r="FB30" s="22">
        <f t="shared" si="90"/>
        <v>2</v>
      </c>
      <c r="FC30" s="23">
        <f t="shared" si="91"/>
        <v>70</v>
      </c>
      <c r="FD30" s="202"/>
      <c r="FE30" s="203"/>
      <c r="FF30" s="204"/>
      <c r="FG30" s="204"/>
      <c r="FH30" s="204"/>
      <c r="FI30" s="204"/>
      <c r="FJ30" s="204"/>
      <c r="FK30" s="204"/>
      <c r="FL30" s="204"/>
      <c r="FM30" s="205"/>
      <c r="FN30" s="202"/>
      <c r="FO30" s="203"/>
      <c r="FP30" s="204"/>
      <c r="FQ30" s="204"/>
      <c r="FR30" s="204"/>
      <c r="FS30" s="204"/>
      <c r="FT30" s="204"/>
      <c r="FU30" s="204"/>
      <c r="FV30" s="204"/>
      <c r="FW30" s="205"/>
      <c r="FX30" s="202"/>
      <c r="FY30" s="203"/>
      <c r="FZ30" s="204"/>
      <c r="GA30" s="204"/>
      <c r="GB30" s="204"/>
      <c r="GC30" s="204"/>
      <c r="GD30" s="204"/>
      <c r="GE30" s="204"/>
      <c r="GF30" s="204"/>
      <c r="GG30" s="205"/>
      <c r="GH30" s="202"/>
      <c r="GI30" s="203"/>
      <c r="GJ30" s="204"/>
      <c r="GK30" s="204"/>
      <c r="GL30" s="204"/>
      <c r="GM30" s="204"/>
      <c r="GN30" s="204"/>
      <c r="GO30" s="204"/>
      <c r="GP30" s="204"/>
      <c r="GQ30" s="205"/>
      <c r="GR30" s="202"/>
      <c r="GS30" s="203"/>
      <c r="GT30" s="204"/>
      <c r="GU30" s="204"/>
      <c r="GV30" s="204"/>
      <c r="GW30" s="204"/>
      <c r="GX30" s="204"/>
      <c r="GY30" s="204"/>
      <c r="GZ30" s="204"/>
      <c r="HA30" s="205"/>
      <c r="HB30" s="202"/>
      <c r="HC30" s="203"/>
      <c r="HD30" s="204"/>
      <c r="HE30" s="204"/>
      <c r="HF30" s="204"/>
      <c r="HG30" s="204"/>
      <c r="HH30" s="204"/>
      <c r="HI30" s="204"/>
      <c r="HJ30" s="204"/>
      <c r="HK30" s="205"/>
      <c r="HL30" s="202"/>
      <c r="HM30" s="203"/>
      <c r="HN30" s="204"/>
      <c r="HO30" s="204"/>
      <c r="HP30" s="204"/>
      <c r="HQ30" s="204"/>
      <c r="HR30" s="204"/>
      <c r="HS30" s="204"/>
      <c r="HT30" s="204"/>
      <c r="HU30" s="205"/>
      <c r="HV30" s="202"/>
      <c r="HW30" s="203"/>
      <c r="HX30" s="204"/>
      <c r="HY30" s="204"/>
      <c r="HZ30" s="204"/>
      <c r="IA30" s="204"/>
      <c r="IB30" s="204"/>
      <c r="IC30" s="204"/>
      <c r="ID30" s="204"/>
      <c r="IE30" s="205"/>
      <c r="IF30" s="33"/>
      <c r="IG30" s="25">
        <v>8</v>
      </c>
      <c r="IH30" s="26">
        <v>2.0099999999999998</v>
      </c>
      <c r="II30" s="26">
        <v>2.0099999999999998</v>
      </c>
      <c r="IJ30" s="26">
        <v>1.952</v>
      </c>
      <c r="IK30" s="26">
        <v>1</v>
      </c>
      <c r="IL30" s="26">
        <v>1</v>
      </c>
      <c r="IM30" s="26">
        <v>1.125</v>
      </c>
      <c r="IN30" s="8"/>
    </row>
    <row r="31" spans="2:248" ht="15.75" thickBot="1" x14ac:dyDescent="0.3">
      <c r="B31" s="103">
        <f t="shared" si="12"/>
        <v>84</v>
      </c>
      <c r="C31" s="102">
        <v>14</v>
      </c>
      <c r="D31" s="98">
        <f t="shared" si="1"/>
        <v>0.25865079365079363</v>
      </c>
      <c r="E31" s="96">
        <f t="shared" si="2"/>
        <v>0.27589417989417986</v>
      </c>
      <c r="F31" s="96">
        <f t="shared" si="3"/>
        <v>0.284515873015873</v>
      </c>
      <c r="G31" s="96">
        <f t="shared" si="4"/>
        <v>0.28968888888888883</v>
      </c>
      <c r="H31" s="96">
        <f t="shared" si="5"/>
        <v>0.29313756613756609</v>
      </c>
      <c r="I31" s="96">
        <f t="shared" si="6"/>
        <v>0.29560090702947839</v>
      </c>
      <c r="J31" s="96">
        <f t="shared" si="7"/>
        <v>0.29744841269841266</v>
      </c>
      <c r="K31" s="96">
        <f t="shared" si="8"/>
        <v>0.29888536155202816</v>
      </c>
      <c r="L31" s="96">
        <f t="shared" si="9"/>
        <v>0.30003492063492054</v>
      </c>
      <c r="M31" s="96">
        <f t="shared" si="10"/>
        <v>0.30097546897546895</v>
      </c>
      <c r="N31" s="96">
        <f t="shared" si="11"/>
        <v>0.30175925925925923</v>
      </c>
      <c r="O31" s="259"/>
      <c r="P31" s="260"/>
      <c r="Q31" s="260"/>
      <c r="R31" s="260"/>
      <c r="S31" s="260"/>
      <c r="T31" s="260"/>
      <c r="U31" s="260"/>
      <c r="V31" s="260"/>
      <c r="W31" s="64"/>
      <c r="X31" s="65"/>
      <c r="AT31" s="4"/>
      <c r="AU31" s="14">
        <f t="shared" si="92"/>
        <v>66</v>
      </c>
      <c r="AV31" s="12" t="str">
        <f t="shared" si="26"/>
        <v>(1700)</v>
      </c>
      <c r="AW31" s="19">
        <f t="shared" si="93"/>
        <v>17</v>
      </c>
      <c r="AX31" s="373">
        <f t="shared" si="27"/>
        <v>1.3918055555555553</v>
      </c>
      <c r="AY31" s="374" t="str">
        <f t="shared" si="16"/>
        <v>(0.13)</v>
      </c>
      <c r="AZ31" s="375">
        <v>2</v>
      </c>
      <c r="BA31" s="375">
        <f t="shared" si="28"/>
        <v>2</v>
      </c>
      <c r="BB31" s="375">
        <v>0</v>
      </c>
      <c r="BC31" s="375">
        <f t="shared" si="29"/>
        <v>0</v>
      </c>
      <c r="BD31" s="375">
        <v>0</v>
      </c>
      <c r="BE31" s="375">
        <f t="shared" si="30"/>
        <v>0</v>
      </c>
      <c r="BF31" s="375">
        <f t="shared" si="94"/>
        <v>2</v>
      </c>
      <c r="BG31" s="376">
        <f t="shared" si="31"/>
        <v>10</v>
      </c>
      <c r="BH31" s="373">
        <f t="shared" si="32"/>
        <v>2.2268888888888885</v>
      </c>
      <c r="BI31" s="374" t="str">
        <f t="shared" si="17"/>
        <v>(0.21)</v>
      </c>
      <c r="BJ31" s="375">
        <v>2</v>
      </c>
      <c r="BK31" s="375">
        <f t="shared" si="33"/>
        <v>2</v>
      </c>
      <c r="BL31" s="375">
        <v>0</v>
      </c>
      <c r="BM31" s="375">
        <f t="shared" si="34"/>
        <v>0</v>
      </c>
      <c r="BN31" s="375">
        <v>0</v>
      </c>
      <c r="BO31" s="375">
        <f t="shared" si="35"/>
        <v>0</v>
      </c>
      <c r="BP31" s="375">
        <f t="shared" si="36"/>
        <v>2</v>
      </c>
      <c r="BQ31" s="376">
        <f t="shared" si="37"/>
        <v>16</v>
      </c>
      <c r="BR31" s="373">
        <f t="shared" si="38"/>
        <v>3.0619722222222214</v>
      </c>
      <c r="BS31" s="374" t="str">
        <f t="shared" si="18"/>
        <v>(0.28)</v>
      </c>
      <c r="BT31" s="375">
        <v>2</v>
      </c>
      <c r="BU31" s="375">
        <f t="shared" si="39"/>
        <v>2</v>
      </c>
      <c r="BV31" s="375">
        <v>0</v>
      </c>
      <c r="BW31" s="375">
        <f t="shared" si="40"/>
        <v>0</v>
      </c>
      <c r="BX31" s="375">
        <v>0</v>
      </c>
      <c r="BY31" s="375">
        <f t="shared" si="41"/>
        <v>0</v>
      </c>
      <c r="BZ31" s="375">
        <f t="shared" si="42"/>
        <v>2</v>
      </c>
      <c r="CA31" s="376">
        <f t="shared" si="43"/>
        <v>22</v>
      </c>
      <c r="CB31" s="373">
        <f t="shared" si="44"/>
        <v>3.8970555555555544</v>
      </c>
      <c r="CC31" s="374" t="str">
        <f t="shared" si="19"/>
        <v>(0.36)</v>
      </c>
      <c r="CD31" s="375">
        <v>2</v>
      </c>
      <c r="CE31" s="375">
        <f t="shared" si="45"/>
        <v>2</v>
      </c>
      <c r="CF31" s="375">
        <v>0</v>
      </c>
      <c r="CG31" s="375">
        <f t="shared" si="46"/>
        <v>0</v>
      </c>
      <c r="CH31" s="375">
        <v>0</v>
      </c>
      <c r="CI31" s="375">
        <f t="shared" si="47"/>
        <v>0</v>
      </c>
      <c r="CJ31" s="375">
        <f t="shared" si="48"/>
        <v>2</v>
      </c>
      <c r="CK31" s="376">
        <f t="shared" si="49"/>
        <v>28</v>
      </c>
      <c r="CL31" s="373">
        <f t="shared" si="50"/>
        <v>4.7321388888888869</v>
      </c>
      <c r="CM31" s="374" t="str">
        <f t="shared" si="20"/>
        <v>(0.44)</v>
      </c>
      <c r="CN31" s="375">
        <v>2</v>
      </c>
      <c r="CO31" s="375">
        <f t="shared" si="51"/>
        <v>2</v>
      </c>
      <c r="CP31" s="375">
        <v>0</v>
      </c>
      <c r="CQ31" s="375">
        <f t="shared" si="52"/>
        <v>0</v>
      </c>
      <c r="CR31" s="375">
        <v>0</v>
      </c>
      <c r="CS31" s="375">
        <f t="shared" si="53"/>
        <v>0</v>
      </c>
      <c r="CT31" s="375">
        <f t="shared" si="54"/>
        <v>2</v>
      </c>
      <c r="CU31" s="376">
        <f t="shared" si="55"/>
        <v>34</v>
      </c>
      <c r="CV31" s="373">
        <f t="shared" si="56"/>
        <v>5.5672222222222212</v>
      </c>
      <c r="CW31" s="374" t="str">
        <f t="shared" si="21"/>
        <v>(0.52)</v>
      </c>
      <c r="CX31" s="375">
        <v>2</v>
      </c>
      <c r="CY31" s="375">
        <f t="shared" si="57"/>
        <v>2</v>
      </c>
      <c r="CZ31" s="375">
        <v>0</v>
      </c>
      <c r="DA31" s="375">
        <f t="shared" si="58"/>
        <v>0</v>
      </c>
      <c r="DB31" s="375">
        <v>0</v>
      </c>
      <c r="DC31" s="375">
        <f t="shared" si="59"/>
        <v>0</v>
      </c>
      <c r="DD31" s="375">
        <f t="shared" si="60"/>
        <v>2</v>
      </c>
      <c r="DE31" s="376">
        <f t="shared" si="61"/>
        <v>40</v>
      </c>
      <c r="DF31" s="373">
        <f t="shared" si="62"/>
        <v>6.4023055555555537</v>
      </c>
      <c r="DG31" s="374" t="str">
        <f t="shared" si="22"/>
        <v>(0.59)</v>
      </c>
      <c r="DH31" s="375">
        <v>2</v>
      </c>
      <c r="DI31" s="375">
        <f t="shared" si="63"/>
        <v>2</v>
      </c>
      <c r="DJ31" s="375">
        <v>0</v>
      </c>
      <c r="DK31" s="375">
        <f t="shared" si="64"/>
        <v>0</v>
      </c>
      <c r="DL31" s="375">
        <v>0</v>
      </c>
      <c r="DM31" s="375">
        <f t="shared" si="65"/>
        <v>0</v>
      </c>
      <c r="DN31" s="375">
        <f t="shared" si="66"/>
        <v>2</v>
      </c>
      <c r="DO31" s="376">
        <f t="shared" si="67"/>
        <v>46</v>
      </c>
      <c r="DP31" s="373">
        <f t="shared" si="68"/>
        <v>7.2373888888888871</v>
      </c>
      <c r="DQ31" s="374" t="str">
        <f t="shared" si="23"/>
        <v>(0.67)</v>
      </c>
      <c r="DR31" s="375">
        <v>2</v>
      </c>
      <c r="DS31" s="375">
        <f t="shared" si="69"/>
        <v>2</v>
      </c>
      <c r="DT31" s="375">
        <v>0</v>
      </c>
      <c r="DU31" s="375">
        <f t="shared" si="70"/>
        <v>0</v>
      </c>
      <c r="DV31" s="375">
        <v>0</v>
      </c>
      <c r="DW31" s="375">
        <f t="shared" si="71"/>
        <v>0</v>
      </c>
      <c r="DX31" s="375">
        <f t="shared" si="72"/>
        <v>2</v>
      </c>
      <c r="DY31" s="376">
        <f t="shared" si="73"/>
        <v>52</v>
      </c>
      <c r="DZ31" s="373">
        <f t="shared" si="74"/>
        <v>8.0724722222222205</v>
      </c>
      <c r="EA31" s="374" t="str">
        <f t="shared" ref="EA31:EA36" si="96">"("&amp;FIXED(DZ31*0.092903,2)&amp;")"</f>
        <v>(0.75)</v>
      </c>
      <c r="EB31" s="375">
        <v>2</v>
      </c>
      <c r="EC31" s="375">
        <f t="shared" si="75"/>
        <v>2</v>
      </c>
      <c r="ED31" s="375">
        <v>0</v>
      </c>
      <c r="EE31" s="375">
        <f t="shared" si="76"/>
        <v>0</v>
      </c>
      <c r="EF31" s="375">
        <v>0</v>
      </c>
      <c r="EG31" s="375">
        <f t="shared" si="77"/>
        <v>0</v>
      </c>
      <c r="EH31" s="375">
        <f t="shared" si="78"/>
        <v>2</v>
      </c>
      <c r="EI31" s="376">
        <f t="shared" si="79"/>
        <v>58</v>
      </c>
      <c r="EJ31" s="373">
        <f t="shared" si="80"/>
        <v>8.9075555555555539</v>
      </c>
      <c r="EK31" s="374" t="str">
        <f t="shared" ref="EK31:EK36" si="97">"("&amp;FIXED(EJ31*0.092903,2)&amp;")"</f>
        <v>(0.83)</v>
      </c>
      <c r="EL31" s="375">
        <v>2</v>
      </c>
      <c r="EM31" s="375">
        <f t="shared" si="81"/>
        <v>2</v>
      </c>
      <c r="EN31" s="375">
        <v>0</v>
      </c>
      <c r="EO31" s="375">
        <f t="shared" si="82"/>
        <v>0</v>
      </c>
      <c r="EP31" s="375">
        <v>0</v>
      </c>
      <c r="EQ31" s="375">
        <f t="shared" si="83"/>
        <v>0</v>
      </c>
      <c r="ER31" s="375">
        <f t="shared" si="84"/>
        <v>2</v>
      </c>
      <c r="ES31" s="376">
        <f t="shared" si="85"/>
        <v>64</v>
      </c>
      <c r="ET31" s="373">
        <f t="shared" si="86"/>
        <v>9.7426388888888855</v>
      </c>
      <c r="EU31" s="374" t="str">
        <f t="shared" si="25"/>
        <v>(0.91)</v>
      </c>
      <c r="EV31" s="22">
        <v>2</v>
      </c>
      <c r="EW31" s="22">
        <f t="shared" si="87"/>
        <v>2</v>
      </c>
      <c r="EX31" s="22">
        <v>0</v>
      </c>
      <c r="EY31" s="22">
        <f t="shared" si="88"/>
        <v>0</v>
      </c>
      <c r="EZ31" s="22">
        <v>0</v>
      </c>
      <c r="FA31" s="22">
        <f t="shared" si="89"/>
        <v>0</v>
      </c>
      <c r="FB31" s="22">
        <f t="shared" si="90"/>
        <v>2</v>
      </c>
      <c r="FC31" s="23">
        <f t="shared" si="91"/>
        <v>70</v>
      </c>
      <c r="FD31" s="202"/>
      <c r="FE31" s="203"/>
      <c r="FF31" s="204"/>
      <c r="FG31" s="204"/>
      <c r="FH31" s="204"/>
      <c r="FI31" s="204"/>
      <c r="FJ31" s="204"/>
      <c r="FK31" s="204"/>
      <c r="FL31" s="204"/>
      <c r="FM31" s="205"/>
      <c r="FN31" s="202"/>
      <c r="FO31" s="203"/>
      <c r="FP31" s="204"/>
      <c r="FQ31" s="204"/>
      <c r="FR31" s="204"/>
      <c r="FS31" s="204"/>
      <c r="FT31" s="204"/>
      <c r="FU31" s="204"/>
      <c r="FV31" s="204"/>
      <c r="FW31" s="205"/>
      <c r="FX31" s="202"/>
      <c r="FY31" s="203"/>
      <c r="FZ31" s="204"/>
      <c r="GA31" s="204"/>
      <c r="GB31" s="204"/>
      <c r="GC31" s="204"/>
      <c r="GD31" s="204"/>
      <c r="GE31" s="204"/>
      <c r="GF31" s="204"/>
      <c r="GG31" s="205"/>
      <c r="GH31" s="202"/>
      <c r="GI31" s="203"/>
      <c r="GJ31" s="204"/>
      <c r="GK31" s="204"/>
      <c r="GL31" s="204"/>
      <c r="GM31" s="204"/>
      <c r="GN31" s="204"/>
      <c r="GO31" s="204"/>
      <c r="GP31" s="204"/>
      <c r="GQ31" s="205"/>
      <c r="GR31" s="202"/>
      <c r="GS31" s="203"/>
      <c r="GT31" s="204"/>
      <c r="GU31" s="204"/>
      <c r="GV31" s="204"/>
      <c r="GW31" s="204"/>
      <c r="GX31" s="204"/>
      <c r="GY31" s="204"/>
      <c r="GZ31" s="204"/>
      <c r="HA31" s="205"/>
      <c r="HB31" s="202"/>
      <c r="HC31" s="203"/>
      <c r="HD31" s="204"/>
      <c r="HE31" s="204"/>
      <c r="HF31" s="204"/>
      <c r="HG31" s="204"/>
      <c r="HH31" s="204"/>
      <c r="HI31" s="204"/>
      <c r="HJ31" s="204"/>
      <c r="HK31" s="205"/>
      <c r="HL31" s="202"/>
      <c r="HM31" s="203"/>
      <c r="HN31" s="204"/>
      <c r="HO31" s="204"/>
      <c r="HP31" s="204"/>
      <c r="HQ31" s="204"/>
      <c r="HR31" s="204"/>
      <c r="HS31" s="204"/>
      <c r="HT31" s="204"/>
      <c r="HU31" s="205"/>
      <c r="HV31" s="202"/>
      <c r="HW31" s="203"/>
      <c r="HX31" s="204"/>
      <c r="HY31" s="204"/>
      <c r="HZ31" s="204"/>
      <c r="IA31" s="204"/>
      <c r="IB31" s="204"/>
      <c r="IC31" s="204"/>
      <c r="ID31" s="204"/>
      <c r="IE31" s="205"/>
      <c r="IF31" s="33"/>
      <c r="IG31" s="25">
        <v>9</v>
      </c>
      <c r="IH31" s="26">
        <v>2.0099999999999998</v>
      </c>
      <c r="II31" s="26">
        <v>2.0099999999999998</v>
      </c>
      <c r="IJ31" s="26">
        <v>1.952</v>
      </c>
      <c r="IK31" s="26">
        <v>1</v>
      </c>
      <c r="IL31" s="26">
        <v>1</v>
      </c>
      <c r="IM31" s="26">
        <v>1.125</v>
      </c>
      <c r="IN31" s="8"/>
    </row>
    <row r="32" spans="2:248" ht="15.75" thickBot="1" x14ac:dyDescent="0.3">
      <c r="B32" s="103">
        <f t="shared" si="12"/>
        <v>90</v>
      </c>
      <c r="C32" s="102">
        <v>15</v>
      </c>
      <c r="D32" s="98">
        <f t="shared" si="1"/>
        <v>0.26001851851851848</v>
      </c>
      <c r="E32" s="96">
        <f t="shared" si="2"/>
        <v>0.27735308641975304</v>
      </c>
      <c r="F32" s="96">
        <f t="shared" si="3"/>
        <v>0.28602037037037031</v>
      </c>
      <c r="G32" s="96">
        <f t="shared" si="4"/>
        <v>0.29122074074074067</v>
      </c>
      <c r="H32" s="96">
        <f t="shared" si="5"/>
        <v>0.29468765432098759</v>
      </c>
      <c r="I32" s="96">
        <f t="shared" si="6"/>
        <v>0.29716402116402107</v>
      </c>
      <c r="J32" s="96">
        <f t="shared" si="7"/>
        <v>0.29902129629629626</v>
      </c>
      <c r="K32" s="96">
        <f t="shared" si="8"/>
        <v>0.30046584362139911</v>
      </c>
      <c r="L32" s="96">
        <f t="shared" si="9"/>
        <v>0.30162148148148143</v>
      </c>
      <c r="M32" s="96">
        <f t="shared" si="10"/>
        <v>0.30256700336700332</v>
      </c>
      <c r="N32" s="96">
        <f t="shared" si="11"/>
        <v>0.30335493827160487</v>
      </c>
      <c r="O32" s="259"/>
      <c r="P32" s="260"/>
      <c r="Q32" s="260"/>
      <c r="R32" s="260"/>
      <c r="S32" s="260"/>
      <c r="T32" s="260"/>
      <c r="U32" s="260"/>
      <c r="V32" s="260"/>
      <c r="W32" s="64"/>
      <c r="X32" s="65"/>
      <c r="AT32" s="4"/>
      <c r="AU32" s="14">
        <f t="shared" si="92"/>
        <v>72</v>
      </c>
      <c r="AV32" s="12" t="str">
        <f t="shared" si="26"/>
        <v>(1850)</v>
      </c>
      <c r="AW32" s="19">
        <f t="shared" si="93"/>
        <v>18</v>
      </c>
      <c r="AX32" s="373">
        <f t="shared" si="27"/>
        <v>1.5313888888888885</v>
      </c>
      <c r="AY32" s="374" t="str">
        <f t="shared" si="16"/>
        <v>(0.14)</v>
      </c>
      <c r="AZ32" s="375">
        <v>2</v>
      </c>
      <c r="BA32" s="375">
        <f t="shared" si="28"/>
        <v>2</v>
      </c>
      <c r="BB32" s="375">
        <v>0</v>
      </c>
      <c r="BC32" s="375">
        <f t="shared" si="29"/>
        <v>0</v>
      </c>
      <c r="BD32" s="375">
        <v>0</v>
      </c>
      <c r="BE32" s="375">
        <f t="shared" si="30"/>
        <v>0</v>
      </c>
      <c r="BF32" s="375">
        <f t="shared" si="94"/>
        <v>2</v>
      </c>
      <c r="BG32" s="376">
        <f t="shared" si="31"/>
        <v>10</v>
      </c>
      <c r="BH32" s="373">
        <f t="shared" si="32"/>
        <v>2.4502222222222212</v>
      </c>
      <c r="BI32" s="374" t="str">
        <f t="shared" si="17"/>
        <v>(0.23)</v>
      </c>
      <c r="BJ32" s="375">
        <v>2</v>
      </c>
      <c r="BK32" s="375">
        <f t="shared" si="33"/>
        <v>2</v>
      </c>
      <c r="BL32" s="375">
        <v>0</v>
      </c>
      <c r="BM32" s="375">
        <f t="shared" si="34"/>
        <v>0</v>
      </c>
      <c r="BN32" s="375">
        <v>0</v>
      </c>
      <c r="BO32" s="375">
        <f t="shared" si="35"/>
        <v>0</v>
      </c>
      <c r="BP32" s="375">
        <f t="shared" si="36"/>
        <v>2</v>
      </c>
      <c r="BQ32" s="376">
        <f t="shared" si="37"/>
        <v>16</v>
      </c>
      <c r="BR32" s="373">
        <f t="shared" si="38"/>
        <v>3.3690555555555544</v>
      </c>
      <c r="BS32" s="374" t="str">
        <f t="shared" si="18"/>
        <v>(0.31)</v>
      </c>
      <c r="BT32" s="375">
        <v>2</v>
      </c>
      <c r="BU32" s="375">
        <f t="shared" si="39"/>
        <v>2</v>
      </c>
      <c r="BV32" s="375">
        <v>0</v>
      </c>
      <c r="BW32" s="375">
        <f t="shared" si="40"/>
        <v>0</v>
      </c>
      <c r="BX32" s="375">
        <v>0</v>
      </c>
      <c r="BY32" s="375">
        <f t="shared" si="41"/>
        <v>0</v>
      </c>
      <c r="BZ32" s="375">
        <f t="shared" si="42"/>
        <v>2</v>
      </c>
      <c r="CA32" s="376">
        <f t="shared" si="43"/>
        <v>22</v>
      </c>
      <c r="CB32" s="373">
        <f t="shared" si="44"/>
        <v>4.2878888888888875</v>
      </c>
      <c r="CC32" s="374" t="str">
        <f t="shared" si="19"/>
        <v>(0.4)</v>
      </c>
      <c r="CD32" s="375">
        <v>2</v>
      </c>
      <c r="CE32" s="375">
        <f t="shared" si="45"/>
        <v>2</v>
      </c>
      <c r="CF32" s="375">
        <v>0</v>
      </c>
      <c r="CG32" s="375">
        <f t="shared" si="46"/>
        <v>0</v>
      </c>
      <c r="CH32" s="375">
        <v>0</v>
      </c>
      <c r="CI32" s="375">
        <f t="shared" si="47"/>
        <v>0</v>
      </c>
      <c r="CJ32" s="375">
        <f t="shared" si="48"/>
        <v>2</v>
      </c>
      <c r="CK32" s="376">
        <f t="shared" si="49"/>
        <v>28</v>
      </c>
      <c r="CL32" s="373">
        <f t="shared" si="50"/>
        <v>5.2067222222222211</v>
      </c>
      <c r="CM32" s="374" t="str">
        <f t="shared" si="20"/>
        <v>(0.48)</v>
      </c>
      <c r="CN32" s="375">
        <v>2</v>
      </c>
      <c r="CO32" s="375">
        <f t="shared" si="51"/>
        <v>2</v>
      </c>
      <c r="CP32" s="375">
        <v>0</v>
      </c>
      <c r="CQ32" s="375">
        <f t="shared" si="52"/>
        <v>0</v>
      </c>
      <c r="CR32" s="375">
        <v>0</v>
      </c>
      <c r="CS32" s="375">
        <f t="shared" si="53"/>
        <v>0</v>
      </c>
      <c r="CT32" s="375">
        <f t="shared" si="54"/>
        <v>2</v>
      </c>
      <c r="CU32" s="376">
        <f t="shared" si="55"/>
        <v>34</v>
      </c>
      <c r="CV32" s="373">
        <f t="shared" si="56"/>
        <v>6.1255555555555539</v>
      </c>
      <c r="CW32" s="374" t="str">
        <f t="shared" si="21"/>
        <v>(0.57)</v>
      </c>
      <c r="CX32" s="375">
        <v>2</v>
      </c>
      <c r="CY32" s="375">
        <f t="shared" si="57"/>
        <v>2</v>
      </c>
      <c r="CZ32" s="375">
        <v>0</v>
      </c>
      <c r="DA32" s="375">
        <f t="shared" si="58"/>
        <v>0</v>
      </c>
      <c r="DB32" s="375">
        <v>0</v>
      </c>
      <c r="DC32" s="375">
        <f t="shared" si="59"/>
        <v>0</v>
      </c>
      <c r="DD32" s="375">
        <f t="shared" si="60"/>
        <v>2</v>
      </c>
      <c r="DE32" s="376">
        <f t="shared" si="61"/>
        <v>40</v>
      </c>
      <c r="DF32" s="373">
        <f t="shared" si="62"/>
        <v>7.0443888888888857</v>
      </c>
      <c r="DG32" s="374" t="str">
        <f t="shared" si="22"/>
        <v>(0.65)</v>
      </c>
      <c r="DH32" s="375">
        <v>2</v>
      </c>
      <c r="DI32" s="375">
        <f t="shared" si="63"/>
        <v>2</v>
      </c>
      <c r="DJ32" s="375">
        <v>0</v>
      </c>
      <c r="DK32" s="375">
        <f t="shared" si="64"/>
        <v>0</v>
      </c>
      <c r="DL32" s="375">
        <v>0</v>
      </c>
      <c r="DM32" s="375">
        <f t="shared" si="65"/>
        <v>0</v>
      </c>
      <c r="DN32" s="375">
        <f t="shared" si="66"/>
        <v>2</v>
      </c>
      <c r="DO32" s="376">
        <f t="shared" si="67"/>
        <v>46</v>
      </c>
      <c r="DP32" s="373">
        <f t="shared" si="68"/>
        <v>7.9632222222222202</v>
      </c>
      <c r="DQ32" s="374" t="str">
        <f t="shared" si="23"/>
        <v>(0.74)</v>
      </c>
      <c r="DR32" s="375">
        <v>2</v>
      </c>
      <c r="DS32" s="375">
        <f t="shared" si="69"/>
        <v>2</v>
      </c>
      <c r="DT32" s="375">
        <v>0</v>
      </c>
      <c r="DU32" s="375">
        <f t="shared" si="70"/>
        <v>0</v>
      </c>
      <c r="DV32" s="375">
        <v>0</v>
      </c>
      <c r="DW32" s="375">
        <f t="shared" si="71"/>
        <v>0</v>
      </c>
      <c r="DX32" s="375">
        <f t="shared" si="72"/>
        <v>2</v>
      </c>
      <c r="DY32" s="376">
        <f t="shared" si="73"/>
        <v>52</v>
      </c>
      <c r="DZ32" s="373">
        <f t="shared" si="74"/>
        <v>8.8820555555555529</v>
      </c>
      <c r="EA32" s="374" t="str">
        <f t="shared" si="96"/>
        <v>(0.83)</v>
      </c>
      <c r="EB32" s="375">
        <v>2</v>
      </c>
      <c r="EC32" s="375">
        <f t="shared" si="75"/>
        <v>2</v>
      </c>
      <c r="ED32" s="375">
        <v>0</v>
      </c>
      <c r="EE32" s="375">
        <f t="shared" si="76"/>
        <v>0</v>
      </c>
      <c r="EF32" s="375">
        <v>0</v>
      </c>
      <c r="EG32" s="375">
        <f t="shared" si="77"/>
        <v>0</v>
      </c>
      <c r="EH32" s="375">
        <f t="shared" si="78"/>
        <v>2</v>
      </c>
      <c r="EI32" s="376">
        <f t="shared" si="79"/>
        <v>58</v>
      </c>
      <c r="EJ32" s="373">
        <f t="shared" si="80"/>
        <v>9.8008888888888848</v>
      </c>
      <c r="EK32" s="374" t="str">
        <f t="shared" si="97"/>
        <v>(0.91)</v>
      </c>
      <c r="EL32" s="375">
        <v>2</v>
      </c>
      <c r="EM32" s="375">
        <f t="shared" si="81"/>
        <v>2</v>
      </c>
      <c r="EN32" s="375">
        <v>0</v>
      </c>
      <c r="EO32" s="375">
        <f t="shared" si="82"/>
        <v>0</v>
      </c>
      <c r="EP32" s="375">
        <v>0</v>
      </c>
      <c r="EQ32" s="375">
        <f t="shared" si="83"/>
        <v>0</v>
      </c>
      <c r="ER32" s="375">
        <f t="shared" si="84"/>
        <v>2</v>
      </c>
      <c r="ES32" s="376">
        <f t="shared" si="85"/>
        <v>64</v>
      </c>
      <c r="ET32" s="373">
        <f t="shared" si="86"/>
        <v>10.719722222222218</v>
      </c>
      <c r="EU32" s="374" t="str">
        <f t="shared" si="25"/>
        <v>(1.00)</v>
      </c>
      <c r="EV32" s="22">
        <v>2</v>
      </c>
      <c r="EW32" s="22">
        <f t="shared" si="87"/>
        <v>2</v>
      </c>
      <c r="EX32" s="22">
        <v>0</v>
      </c>
      <c r="EY32" s="22">
        <f t="shared" si="88"/>
        <v>0</v>
      </c>
      <c r="EZ32" s="22">
        <v>0</v>
      </c>
      <c r="FA32" s="22">
        <f t="shared" si="89"/>
        <v>0</v>
      </c>
      <c r="FB32" s="22">
        <f t="shared" si="90"/>
        <v>2</v>
      </c>
      <c r="FC32" s="23">
        <f t="shared" si="91"/>
        <v>70</v>
      </c>
      <c r="FD32" s="202"/>
      <c r="FE32" s="203"/>
      <c r="FF32" s="204"/>
      <c r="FG32" s="204"/>
      <c r="FH32" s="204"/>
      <c r="FI32" s="204"/>
      <c r="FJ32" s="204"/>
      <c r="FK32" s="204"/>
      <c r="FL32" s="204"/>
      <c r="FM32" s="205"/>
      <c r="FN32" s="202"/>
      <c r="FO32" s="203"/>
      <c r="FP32" s="204"/>
      <c r="FQ32" s="204"/>
      <c r="FR32" s="204"/>
      <c r="FS32" s="204"/>
      <c r="FT32" s="204"/>
      <c r="FU32" s="204"/>
      <c r="FV32" s="204"/>
      <c r="FW32" s="205"/>
      <c r="FX32" s="202"/>
      <c r="FY32" s="203"/>
      <c r="FZ32" s="204"/>
      <c r="GA32" s="204"/>
      <c r="GB32" s="204"/>
      <c r="GC32" s="204"/>
      <c r="GD32" s="204"/>
      <c r="GE32" s="204"/>
      <c r="GF32" s="204"/>
      <c r="GG32" s="205"/>
      <c r="GH32" s="202"/>
      <c r="GI32" s="203"/>
      <c r="GJ32" s="204"/>
      <c r="GK32" s="204"/>
      <c r="GL32" s="204"/>
      <c r="GM32" s="204"/>
      <c r="GN32" s="204"/>
      <c r="GO32" s="204"/>
      <c r="GP32" s="204"/>
      <c r="GQ32" s="205"/>
      <c r="GR32" s="202"/>
      <c r="GS32" s="203"/>
      <c r="GT32" s="204"/>
      <c r="GU32" s="204"/>
      <c r="GV32" s="204"/>
      <c r="GW32" s="204"/>
      <c r="GX32" s="204"/>
      <c r="GY32" s="204"/>
      <c r="GZ32" s="204"/>
      <c r="HA32" s="205"/>
      <c r="HB32" s="202"/>
      <c r="HC32" s="203"/>
      <c r="HD32" s="204"/>
      <c r="HE32" s="204"/>
      <c r="HF32" s="204"/>
      <c r="HG32" s="204"/>
      <c r="HH32" s="204"/>
      <c r="HI32" s="204"/>
      <c r="HJ32" s="204"/>
      <c r="HK32" s="205"/>
      <c r="HL32" s="202"/>
      <c r="HM32" s="203"/>
      <c r="HN32" s="204"/>
      <c r="HO32" s="204"/>
      <c r="HP32" s="204"/>
      <c r="HQ32" s="204"/>
      <c r="HR32" s="204"/>
      <c r="HS32" s="204"/>
      <c r="HT32" s="204"/>
      <c r="HU32" s="205"/>
      <c r="HV32" s="202"/>
      <c r="HW32" s="203"/>
      <c r="HX32" s="204"/>
      <c r="HY32" s="204"/>
      <c r="HZ32" s="204"/>
      <c r="IA32" s="204"/>
      <c r="IB32" s="204"/>
      <c r="IC32" s="204"/>
      <c r="ID32" s="204"/>
      <c r="IE32" s="205"/>
      <c r="IF32" s="33"/>
      <c r="IG32" s="25">
        <v>10</v>
      </c>
      <c r="IH32" s="26">
        <v>2.0099999999999998</v>
      </c>
      <c r="II32" s="26">
        <v>2.0099999999999998</v>
      </c>
      <c r="IJ32" s="26">
        <v>1.952</v>
      </c>
      <c r="IK32" s="26">
        <v>1</v>
      </c>
      <c r="IL32" s="26">
        <v>1</v>
      </c>
      <c r="IM32" s="26">
        <v>1.125</v>
      </c>
      <c r="IN32" s="8"/>
    </row>
    <row r="33" spans="1:248" ht="15.75" thickBot="1" x14ac:dyDescent="0.3">
      <c r="B33" s="103">
        <f t="shared" si="12"/>
        <v>96</v>
      </c>
      <c r="C33" s="102">
        <v>16</v>
      </c>
      <c r="D33" s="98">
        <f t="shared" si="1"/>
        <v>0.2612152777777777</v>
      </c>
      <c r="E33" s="96">
        <f t="shared" si="2"/>
        <v>0.27862962962962956</v>
      </c>
      <c r="F33" s="96">
        <f t="shared" si="3"/>
        <v>0.28733680555555546</v>
      </c>
      <c r="G33" s="96">
        <f t="shared" si="4"/>
        <v>0.29256111111111105</v>
      </c>
      <c r="H33" s="96">
        <f t="shared" si="5"/>
        <v>0.29604398148148142</v>
      </c>
      <c r="I33" s="96">
        <f t="shared" si="6"/>
        <v>0.29853174603174593</v>
      </c>
      <c r="J33" s="96">
        <f t="shared" si="7"/>
        <v>0.30039756944444435</v>
      </c>
      <c r="K33" s="96">
        <f t="shared" si="8"/>
        <v>0.30184876543209871</v>
      </c>
      <c r="L33" s="96">
        <f t="shared" si="9"/>
        <v>0.30300972222222217</v>
      </c>
      <c r="M33" s="96">
        <f t="shared" si="10"/>
        <v>0.30395959595959587</v>
      </c>
      <c r="N33" s="96">
        <f t="shared" si="11"/>
        <v>0.30475115740740738</v>
      </c>
      <c r="O33" s="259"/>
      <c r="P33" s="260"/>
      <c r="Q33" s="260"/>
      <c r="R33" s="259"/>
      <c r="S33" s="259"/>
      <c r="T33" s="260"/>
      <c r="U33" s="260"/>
      <c r="V33" s="260"/>
      <c r="W33" s="64"/>
      <c r="X33" s="65"/>
      <c r="AT33" s="4"/>
      <c r="AU33" s="14">
        <f t="shared" si="92"/>
        <v>78</v>
      </c>
      <c r="AV33" s="12" t="str">
        <f t="shared" si="26"/>
        <v>(2000)</v>
      </c>
      <c r="AW33" s="19">
        <f t="shared" si="93"/>
        <v>19</v>
      </c>
      <c r="AX33" s="373">
        <f t="shared" si="27"/>
        <v>1.6709722222222221</v>
      </c>
      <c r="AY33" s="374" t="str">
        <f t="shared" si="16"/>
        <v>(0.16)</v>
      </c>
      <c r="AZ33" s="375">
        <v>2</v>
      </c>
      <c r="BA33" s="375">
        <f t="shared" si="28"/>
        <v>2</v>
      </c>
      <c r="BB33" s="375">
        <v>0</v>
      </c>
      <c r="BC33" s="375">
        <f t="shared" si="29"/>
        <v>0</v>
      </c>
      <c r="BD33" s="375">
        <v>0</v>
      </c>
      <c r="BE33" s="375">
        <f t="shared" si="30"/>
        <v>0</v>
      </c>
      <c r="BF33" s="375">
        <f t="shared" si="94"/>
        <v>2</v>
      </c>
      <c r="BG33" s="376">
        <f t="shared" si="31"/>
        <v>10</v>
      </c>
      <c r="BH33" s="373">
        <f t="shared" si="32"/>
        <v>2.6735555555555552</v>
      </c>
      <c r="BI33" s="374" t="str">
        <f t="shared" si="17"/>
        <v>(0.25)</v>
      </c>
      <c r="BJ33" s="375">
        <v>2</v>
      </c>
      <c r="BK33" s="375">
        <f t="shared" si="33"/>
        <v>2</v>
      </c>
      <c r="BL33" s="375">
        <v>0</v>
      </c>
      <c r="BM33" s="375">
        <f t="shared" si="34"/>
        <v>0</v>
      </c>
      <c r="BN33" s="375">
        <v>0</v>
      </c>
      <c r="BO33" s="375">
        <f t="shared" si="35"/>
        <v>0</v>
      </c>
      <c r="BP33" s="375">
        <f t="shared" si="36"/>
        <v>2</v>
      </c>
      <c r="BQ33" s="376">
        <f t="shared" si="37"/>
        <v>16</v>
      </c>
      <c r="BR33" s="373">
        <f t="shared" si="38"/>
        <v>3.6761388888888882</v>
      </c>
      <c r="BS33" s="374" t="str">
        <f t="shared" si="18"/>
        <v>(0.34)</v>
      </c>
      <c r="BT33" s="375">
        <v>2</v>
      </c>
      <c r="BU33" s="375">
        <f t="shared" si="39"/>
        <v>2</v>
      </c>
      <c r="BV33" s="375">
        <v>0</v>
      </c>
      <c r="BW33" s="375">
        <f t="shared" si="40"/>
        <v>0</v>
      </c>
      <c r="BX33" s="375">
        <v>0</v>
      </c>
      <c r="BY33" s="375">
        <f t="shared" si="41"/>
        <v>0</v>
      </c>
      <c r="BZ33" s="375">
        <f t="shared" si="42"/>
        <v>2</v>
      </c>
      <c r="CA33" s="376">
        <f t="shared" si="43"/>
        <v>22</v>
      </c>
      <c r="CB33" s="373">
        <f t="shared" si="44"/>
        <v>4.6787222222222216</v>
      </c>
      <c r="CC33" s="374" t="str">
        <f t="shared" si="19"/>
        <v>(0.43)</v>
      </c>
      <c r="CD33" s="375">
        <v>2</v>
      </c>
      <c r="CE33" s="375">
        <f t="shared" si="45"/>
        <v>2</v>
      </c>
      <c r="CF33" s="375">
        <v>0</v>
      </c>
      <c r="CG33" s="375">
        <f t="shared" si="46"/>
        <v>0</v>
      </c>
      <c r="CH33" s="375">
        <v>0</v>
      </c>
      <c r="CI33" s="375">
        <f t="shared" si="47"/>
        <v>0</v>
      </c>
      <c r="CJ33" s="375">
        <f t="shared" si="48"/>
        <v>2</v>
      </c>
      <c r="CK33" s="376">
        <f t="shared" si="49"/>
        <v>28</v>
      </c>
      <c r="CL33" s="373">
        <f t="shared" si="50"/>
        <v>5.6813055555555554</v>
      </c>
      <c r="CM33" s="374" t="str">
        <f t="shared" si="20"/>
        <v>(0.53)</v>
      </c>
      <c r="CN33" s="375">
        <v>2</v>
      </c>
      <c r="CO33" s="375">
        <f t="shared" si="51"/>
        <v>2</v>
      </c>
      <c r="CP33" s="375">
        <v>0</v>
      </c>
      <c r="CQ33" s="375">
        <f t="shared" si="52"/>
        <v>0</v>
      </c>
      <c r="CR33" s="375">
        <v>0</v>
      </c>
      <c r="CS33" s="375">
        <f t="shared" si="53"/>
        <v>0</v>
      </c>
      <c r="CT33" s="375">
        <f t="shared" si="54"/>
        <v>2</v>
      </c>
      <c r="CU33" s="376">
        <f t="shared" si="55"/>
        <v>34</v>
      </c>
      <c r="CV33" s="373">
        <f t="shared" si="56"/>
        <v>6.6838888888888883</v>
      </c>
      <c r="CW33" s="374" t="str">
        <f t="shared" si="21"/>
        <v>(0.62)</v>
      </c>
      <c r="CX33" s="375">
        <v>2</v>
      </c>
      <c r="CY33" s="375">
        <f t="shared" si="57"/>
        <v>2</v>
      </c>
      <c r="CZ33" s="375">
        <v>0</v>
      </c>
      <c r="DA33" s="375">
        <f t="shared" si="58"/>
        <v>0</v>
      </c>
      <c r="DB33" s="375">
        <v>0</v>
      </c>
      <c r="DC33" s="375">
        <f t="shared" si="59"/>
        <v>0</v>
      </c>
      <c r="DD33" s="375">
        <f t="shared" si="60"/>
        <v>2</v>
      </c>
      <c r="DE33" s="376">
        <f t="shared" si="61"/>
        <v>40</v>
      </c>
      <c r="DF33" s="373">
        <f t="shared" si="62"/>
        <v>7.6864722222222213</v>
      </c>
      <c r="DG33" s="374" t="str">
        <f t="shared" si="22"/>
        <v>(0.71)</v>
      </c>
      <c r="DH33" s="375">
        <v>2</v>
      </c>
      <c r="DI33" s="375">
        <f t="shared" si="63"/>
        <v>2</v>
      </c>
      <c r="DJ33" s="375">
        <v>0</v>
      </c>
      <c r="DK33" s="375">
        <f t="shared" si="64"/>
        <v>0</v>
      </c>
      <c r="DL33" s="375">
        <v>0</v>
      </c>
      <c r="DM33" s="375">
        <f t="shared" si="65"/>
        <v>0</v>
      </c>
      <c r="DN33" s="375">
        <f t="shared" si="66"/>
        <v>2</v>
      </c>
      <c r="DO33" s="376">
        <f t="shared" si="67"/>
        <v>46</v>
      </c>
      <c r="DP33" s="373">
        <f t="shared" si="68"/>
        <v>8.6890555555555551</v>
      </c>
      <c r="DQ33" s="374" t="str">
        <f t="shared" si="23"/>
        <v>(0.81)</v>
      </c>
      <c r="DR33" s="375">
        <v>2</v>
      </c>
      <c r="DS33" s="375">
        <f t="shared" si="69"/>
        <v>2</v>
      </c>
      <c r="DT33" s="375">
        <v>0</v>
      </c>
      <c r="DU33" s="375">
        <f t="shared" si="70"/>
        <v>0</v>
      </c>
      <c r="DV33" s="375">
        <v>0</v>
      </c>
      <c r="DW33" s="375">
        <f t="shared" si="71"/>
        <v>0</v>
      </c>
      <c r="DX33" s="375">
        <f t="shared" si="72"/>
        <v>2</v>
      </c>
      <c r="DY33" s="376">
        <f t="shared" si="73"/>
        <v>52</v>
      </c>
      <c r="DZ33" s="373">
        <f t="shared" si="74"/>
        <v>9.6916388888888871</v>
      </c>
      <c r="EA33" s="374" t="str">
        <f t="shared" si="96"/>
        <v>(0.90)</v>
      </c>
      <c r="EB33" s="375">
        <v>2</v>
      </c>
      <c r="EC33" s="375">
        <f t="shared" si="75"/>
        <v>2</v>
      </c>
      <c r="ED33" s="375">
        <v>0</v>
      </c>
      <c r="EE33" s="375">
        <f t="shared" si="76"/>
        <v>0</v>
      </c>
      <c r="EF33" s="375">
        <v>0</v>
      </c>
      <c r="EG33" s="375">
        <f t="shared" si="77"/>
        <v>0</v>
      </c>
      <c r="EH33" s="375">
        <f t="shared" si="78"/>
        <v>2</v>
      </c>
      <c r="EI33" s="376">
        <f t="shared" si="79"/>
        <v>58</v>
      </c>
      <c r="EJ33" s="373">
        <f t="shared" si="80"/>
        <v>10.694222222222221</v>
      </c>
      <c r="EK33" s="374" t="str">
        <f t="shared" si="97"/>
        <v>(0.99)</v>
      </c>
      <c r="EL33" s="375">
        <v>2</v>
      </c>
      <c r="EM33" s="375">
        <f t="shared" si="81"/>
        <v>2</v>
      </c>
      <c r="EN33" s="375">
        <v>0</v>
      </c>
      <c r="EO33" s="375">
        <f t="shared" si="82"/>
        <v>0</v>
      </c>
      <c r="EP33" s="375">
        <v>0</v>
      </c>
      <c r="EQ33" s="375">
        <f t="shared" si="83"/>
        <v>0</v>
      </c>
      <c r="ER33" s="375">
        <f t="shared" si="84"/>
        <v>2</v>
      </c>
      <c r="ES33" s="376">
        <f t="shared" si="85"/>
        <v>64</v>
      </c>
      <c r="ET33" s="373">
        <f t="shared" si="86"/>
        <v>11.696805555555555</v>
      </c>
      <c r="EU33" s="374" t="str">
        <f t="shared" si="25"/>
        <v>(1.09)</v>
      </c>
      <c r="EV33" s="22">
        <v>2</v>
      </c>
      <c r="EW33" s="22">
        <f t="shared" si="87"/>
        <v>2</v>
      </c>
      <c r="EX33" s="22">
        <v>0</v>
      </c>
      <c r="EY33" s="22">
        <f t="shared" si="88"/>
        <v>0</v>
      </c>
      <c r="EZ33" s="22">
        <v>0</v>
      </c>
      <c r="FA33" s="22">
        <f t="shared" si="89"/>
        <v>0</v>
      </c>
      <c r="FB33" s="22">
        <f t="shared" si="90"/>
        <v>2</v>
      </c>
      <c r="FC33" s="23">
        <f t="shared" si="91"/>
        <v>70</v>
      </c>
      <c r="FD33" s="31"/>
      <c r="FE33" s="31"/>
      <c r="FF33" s="32"/>
      <c r="FG33" s="32"/>
      <c r="FH33" s="32"/>
      <c r="FI33" s="32"/>
      <c r="FJ33" s="32"/>
      <c r="FK33" s="32"/>
      <c r="FL33" s="32"/>
      <c r="FM33" s="32"/>
      <c r="FN33" s="31"/>
      <c r="FO33" s="31"/>
      <c r="FP33" s="32"/>
      <c r="FQ33" s="32"/>
      <c r="FR33" s="32"/>
      <c r="FS33" s="32"/>
      <c r="FT33" s="32"/>
      <c r="FU33" s="32"/>
      <c r="FV33" s="32"/>
      <c r="FW33" s="32"/>
      <c r="FX33" s="31"/>
      <c r="FY33" s="31"/>
      <c r="FZ33" s="32"/>
      <c r="GA33" s="32"/>
      <c r="GB33" s="32"/>
      <c r="GC33" s="32"/>
      <c r="GD33" s="32"/>
      <c r="GE33" s="32"/>
      <c r="GF33" s="32"/>
      <c r="GG33" s="32"/>
      <c r="GH33" s="31"/>
      <c r="GI33" s="31"/>
      <c r="GJ33" s="32"/>
      <c r="GK33" s="32"/>
      <c r="GL33" s="32"/>
      <c r="GM33" s="32"/>
      <c r="GN33" s="32"/>
      <c r="GO33" s="32"/>
      <c r="GP33" s="32"/>
      <c r="GQ33" s="32"/>
      <c r="GR33" s="31"/>
      <c r="GS33" s="31"/>
      <c r="GT33" s="32"/>
      <c r="GU33" s="32"/>
      <c r="GV33" s="32"/>
      <c r="GW33" s="32"/>
      <c r="GX33" s="32"/>
      <c r="GY33" s="32"/>
      <c r="GZ33" s="32"/>
      <c r="HA33" s="32"/>
      <c r="HB33" s="31"/>
      <c r="HC33" s="31"/>
      <c r="HD33" s="32"/>
      <c r="HE33" s="32"/>
      <c r="HF33" s="32"/>
      <c r="HG33" s="32"/>
      <c r="HH33" s="32"/>
      <c r="HI33" s="32"/>
      <c r="HJ33" s="32"/>
      <c r="HK33" s="32"/>
      <c r="HL33" s="31"/>
      <c r="HM33" s="31"/>
      <c r="HN33" s="32"/>
      <c r="HO33" s="32"/>
      <c r="HP33" s="32"/>
      <c r="HQ33" s="32"/>
      <c r="HR33" s="32"/>
      <c r="HS33" s="32"/>
      <c r="HT33" s="32"/>
      <c r="HU33" s="32"/>
      <c r="HV33" s="31"/>
      <c r="HW33" s="31"/>
      <c r="HX33" s="32"/>
      <c r="HY33" s="32"/>
      <c r="HZ33" s="32"/>
      <c r="IA33" s="32"/>
      <c r="IB33" s="32"/>
      <c r="IC33" s="32"/>
      <c r="ID33" s="33"/>
      <c r="IE33" s="33"/>
      <c r="IF33" s="33"/>
      <c r="IG33" s="25">
        <v>11</v>
      </c>
      <c r="IH33" s="26">
        <v>2.0099999999999998</v>
      </c>
      <c r="II33" s="26">
        <v>2.0099999999999998</v>
      </c>
      <c r="IJ33" s="26">
        <v>1.952</v>
      </c>
      <c r="IK33" s="26">
        <v>1</v>
      </c>
      <c r="IL33" s="26">
        <v>1</v>
      </c>
      <c r="IM33" s="26">
        <v>1.125</v>
      </c>
      <c r="IN33" s="8"/>
    </row>
    <row r="34" spans="1:248" ht="15.75" thickBot="1" x14ac:dyDescent="0.3">
      <c r="B34" s="103">
        <f t="shared" si="12"/>
        <v>102</v>
      </c>
      <c r="C34" s="102">
        <v>17</v>
      </c>
      <c r="D34" s="261"/>
      <c r="E34" s="259"/>
      <c r="F34" s="259"/>
      <c r="G34" s="259"/>
      <c r="H34" s="259"/>
      <c r="I34" s="259"/>
      <c r="J34" s="259"/>
      <c r="K34" s="259"/>
      <c r="L34" s="259"/>
      <c r="M34" s="259"/>
      <c r="N34" s="259"/>
      <c r="O34" s="259"/>
      <c r="P34" s="260"/>
      <c r="Q34" s="260"/>
      <c r="R34" s="259"/>
      <c r="S34" s="259"/>
      <c r="T34" s="260"/>
      <c r="U34" s="260"/>
      <c r="V34" s="260"/>
      <c r="W34" s="64"/>
      <c r="X34" s="65"/>
      <c r="AT34" s="4"/>
      <c r="AU34" s="14">
        <f t="shared" si="92"/>
        <v>84</v>
      </c>
      <c r="AV34" s="12" t="str">
        <f t="shared" si="26"/>
        <v>(2150)</v>
      </c>
      <c r="AW34" s="19">
        <f t="shared" si="93"/>
        <v>20</v>
      </c>
      <c r="AX34" s="373">
        <f t="shared" si="27"/>
        <v>1.8105555555555553</v>
      </c>
      <c r="AY34" s="374" t="str">
        <f t="shared" si="16"/>
        <v>(0.17)</v>
      </c>
      <c r="AZ34" s="375">
        <v>2</v>
      </c>
      <c r="BA34" s="375">
        <f t="shared" si="28"/>
        <v>2</v>
      </c>
      <c r="BB34" s="375">
        <v>0</v>
      </c>
      <c r="BC34" s="375">
        <f t="shared" si="29"/>
        <v>0</v>
      </c>
      <c r="BD34" s="375">
        <v>0</v>
      </c>
      <c r="BE34" s="375">
        <f t="shared" si="30"/>
        <v>0</v>
      </c>
      <c r="BF34" s="375">
        <f t="shared" si="94"/>
        <v>2</v>
      </c>
      <c r="BG34" s="376">
        <f t="shared" si="31"/>
        <v>10</v>
      </c>
      <c r="BH34" s="373">
        <f t="shared" si="32"/>
        <v>2.8968888888888884</v>
      </c>
      <c r="BI34" s="374" t="str">
        <f t="shared" si="17"/>
        <v>(0.27)</v>
      </c>
      <c r="BJ34" s="375">
        <v>2</v>
      </c>
      <c r="BK34" s="375">
        <f t="shared" si="33"/>
        <v>2</v>
      </c>
      <c r="BL34" s="375">
        <v>0</v>
      </c>
      <c r="BM34" s="375">
        <f t="shared" si="34"/>
        <v>0</v>
      </c>
      <c r="BN34" s="375">
        <v>0</v>
      </c>
      <c r="BO34" s="375">
        <f t="shared" si="35"/>
        <v>0</v>
      </c>
      <c r="BP34" s="375">
        <f t="shared" si="36"/>
        <v>2</v>
      </c>
      <c r="BQ34" s="376">
        <f t="shared" si="37"/>
        <v>16</v>
      </c>
      <c r="BR34" s="373">
        <f t="shared" si="38"/>
        <v>3.983222222222222</v>
      </c>
      <c r="BS34" s="374" t="str">
        <f t="shared" si="18"/>
        <v>(0.37)</v>
      </c>
      <c r="BT34" s="375">
        <v>2</v>
      </c>
      <c r="BU34" s="375">
        <f t="shared" si="39"/>
        <v>2</v>
      </c>
      <c r="BV34" s="375">
        <v>0</v>
      </c>
      <c r="BW34" s="375">
        <f t="shared" si="40"/>
        <v>0</v>
      </c>
      <c r="BX34" s="375">
        <v>0</v>
      </c>
      <c r="BY34" s="375">
        <f t="shared" si="41"/>
        <v>0</v>
      </c>
      <c r="BZ34" s="375">
        <f t="shared" si="42"/>
        <v>2</v>
      </c>
      <c r="CA34" s="376">
        <f t="shared" si="43"/>
        <v>22</v>
      </c>
      <c r="CB34" s="373">
        <f t="shared" si="44"/>
        <v>5.0695555555555547</v>
      </c>
      <c r="CC34" s="374" t="str">
        <f t="shared" si="19"/>
        <v>(0.47)</v>
      </c>
      <c r="CD34" s="375">
        <v>2</v>
      </c>
      <c r="CE34" s="375">
        <f t="shared" si="45"/>
        <v>2</v>
      </c>
      <c r="CF34" s="375">
        <v>0</v>
      </c>
      <c r="CG34" s="375">
        <f t="shared" si="46"/>
        <v>0</v>
      </c>
      <c r="CH34" s="375">
        <v>0</v>
      </c>
      <c r="CI34" s="375">
        <f t="shared" si="47"/>
        <v>0</v>
      </c>
      <c r="CJ34" s="375">
        <f t="shared" si="48"/>
        <v>2</v>
      </c>
      <c r="CK34" s="376">
        <f t="shared" si="49"/>
        <v>28</v>
      </c>
      <c r="CL34" s="373">
        <f t="shared" si="50"/>
        <v>6.1558888888888879</v>
      </c>
      <c r="CM34" s="374" t="str">
        <f t="shared" si="20"/>
        <v>(0.57)</v>
      </c>
      <c r="CN34" s="375">
        <v>2</v>
      </c>
      <c r="CO34" s="375">
        <f t="shared" si="51"/>
        <v>2</v>
      </c>
      <c r="CP34" s="375">
        <v>0</v>
      </c>
      <c r="CQ34" s="375">
        <f t="shared" si="52"/>
        <v>0</v>
      </c>
      <c r="CR34" s="375">
        <v>0</v>
      </c>
      <c r="CS34" s="375">
        <f t="shared" si="53"/>
        <v>0</v>
      </c>
      <c r="CT34" s="375">
        <f t="shared" si="54"/>
        <v>2</v>
      </c>
      <c r="CU34" s="376">
        <f t="shared" si="55"/>
        <v>34</v>
      </c>
      <c r="CV34" s="373">
        <f t="shared" si="56"/>
        <v>7.242222222222221</v>
      </c>
      <c r="CW34" s="374" t="str">
        <f t="shared" si="21"/>
        <v>(0.67)</v>
      </c>
      <c r="CX34" s="375">
        <v>2</v>
      </c>
      <c r="CY34" s="375">
        <f t="shared" si="57"/>
        <v>2</v>
      </c>
      <c r="CZ34" s="375">
        <v>0</v>
      </c>
      <c r="DA34" s="375">
        <f t="shared" si="58"/>
        <v>0</v>
      </c>
      <c r="DB34" s="375">
        <v>0</v>
      </c>
      <c r="DC34" s="375">
        <f t="shared" si="59"/>
        <v>0</v>
      </c>
      <c r="DD34" s="375">
        <f t="shared" si="60"/>
        <v>2</v>
      </c>
      <c r="DE34" s="376">
        <f t="shared" si="61"/>
        <v>40</v>
      </c>
      <c r="DF34" s="373">
        <f t="shared" si="62"/>
        <v>8.328555555555555</v>
      </c>
      <c r="DG34" s="374" t="str">
        <f t="shared" si="22"/>
        <v>(0.77)</v>
      </c>
      <c r="DH34" s="375">
        <v>2</v>
      </c>
      <c r="DI34" s="375">
        <f t="shared" si="63"/>
        <v>2</v>
      </c>
      <c r="DJ34" s="375">
        <v>0</v>
      </c>
      <c r="DK34" s="375">
        <f t="shared" si="64"/>
        <v>0</v>
      </c>
      <c r="DL34" s="375">
        <v>0</v>
      </c>
      <c r="DM34" s="375">
        <f t="shared" si="65"/>
        <v>0</v>
      </c>
      <c r="DN34" s="375">
        <f t="shared" si="66"/>
        <v>2</v>
      </c>
      <c r="DO34" s="376">
        <f t="shared" si="67"/>
        <v>46</v>
      </c>
      <c r="DP34" s="373">
        <f t="shared" si="68"/>
        <v>9.4148888888888873</v>
      </c>
      <c r="DQ34" s="374" t="str">
        <f t="shared" si="23"/>
        <v>(0.87)</v>
      </c>
      <c r="DR34" s="375">
        <v>2</v>
      </c>
      <c r="DS34" s="375">
        <f t="shared" si="69"/>
        <v>2</v>
      </c>
      <c r="DT34" s="375">
        <v>0</v>
      </c>
      <c r="DU34" s="375">
        <f t="shared" si="70"/>
        <v>0</v>
      </c>
      <c r="DV34" s="375">
        <v>0</v>
      </c>
      <c r="DW34" s="375">
        <f t="shared" si="71"/>
        <v>0</v>
      </c>
      <c r="DX34" s="375">
        <f t="shared" si="72"/>
        <v>2</v>
      </c>
      <c r="DY34" s="376">
        <f t="shared" si="73"/>
        <v>52</v>
      </c>
      <c r="DZ34" s="373">
        <f t="shared" si="74"/>
        <v>10.50122222222222</v>
      </c>
      <c r="EA34" s="374" t="str">
        <f t="shared" si="96"/>
        <v>(0.98)</v>
      </c>
      <c r="EB34" s="375">
        <v>2</v>
      </c>
      <c r="EC34" s="375">
        <f t="shared" si="75"/>
        <v>2</v>
      </c>
      <c r="ED34" s="375">
        <v>0</v>
      </c>
      <c r="EE34" s="375">
        <f t="shared" si="76"/>
        <v>0</v>
      </c>
      <c r="EF34" s="375">
        <v>0</v>
      </c>
      <c r="EG34" s="375">
        <f t="shared" si="77"/>
        <v>0</v>
      </c>
      <c r="EH34" s="375">
        <f t="shared" si="78"/>
        <v>2</v>
      </c>
      <c r="EI34" s="376">
        <f t="shared" si="79"/>
        <v>58</v>
      </c>
      <c r="EJ34" s="373">
        <f t="shared" si="80"/>
        <v>11.587555555555554</v>
      </c>
      <c r="EK34" s="374" t="str">
        <f t="shared" si="97"/>
        <v>(1.08)</v>
      </c>
      <c r="EL34" s="375">
        <v>2</v>
      </c>
      <c r="EM34" s="375">
        <f t="shared" si="81"/>
        <v>2</v>
      </c>
      <c r="EN34" s="375">
        <v>0</v>
      </c>
      <c r="EO34" s="375">
        <f t="shared" si="82"/>
        <v>0</v>
      </c>
      <c r="EP34" s="375">
        <v>0</v>
      </c>
      <c r="EQ34" s="375">
        <f t="shared" si="83"/>
        <v>0</v>
      </c>
      <c r="ER34" s="375">
        <f t="shared" si="84"/>
        <v>2</v>
      </c>
      <c r="ES34" s="376">
        <f t="shared" si="85"/>
        <v>64</v>
      </c>
      <c r="ET34" s="373">
        <f t="shared" si="86"/>
        <v>12.673888888888888</v>
      </c>
      <c r="EU34" s="374" t="str">
        <f t="shared" si="25"/>
        <v>(1.18)</v>
      </c>
      <c r="EV34" s="22">
        <v>2</v>
      </c>
      <c r="EW34" s="22">
        <f t="shared" si="87"/>
        <v>2</v>
      </c>
      <c r="EX34" s="22">
        <v>0</v>
      </c>
      <c r="EY34" s="22">
        <f t="shared" si="88"/>
        <v>0</v>
      </c>
      <c r="EZ34" s="22">
        <v>0</v>
      </c>
      <c r="FA34" s="22">
        <f t="shared" si="89"/>
        <v>0</v>
      </c>
      <c r="FB34" s="22">
        <f t="shared" si="90"/>
        <v>2</v>
      </c>
      <c r="FC34" s="23">
        <f t="shared" si="91"/>
        <v>70</v>
      </c>
      <c r="FD34" s="31"/>
      <c r="FE34" s="31"/>
      <c r="FF34" s="32"/>
      <c r="FG34" s="32"/>
      <c r="FH34" s="32"/>
      <c r="FI34" s="32"/>
      <c r="FJ34" s="32"/>
      <c r="FK34" s="32"/>
      <c r="FL34" s="32"/>
      <c r="FM34" s="32"/>
      <c r="FN34" s="31"/>
      <c r="FO34" s="31"/>
      <c r="FP34" s="32"/>
      <c r="FQ34" s="32"/>
      <c r="FR34" s="32"/>
      <c r="FS34" s="32"/>
      <c r="FT34" s="32"/>
      <c r="FU34" s="32"/>
      <c r="FV34" s="32"/>
      <c r="FW34" s="32"/>
      <c r="FX34" s="31"/>
      <c r="FY34" s="31"/>
      <c r="FZ34" s="32"/>
      <c r="GA34" s="32"/>
      <c r="GB34" s="32"/>
      <c r="GC34" s="32"/>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2"/>
      <c r="HE34" s="32"/>
      <c r="HF34" s="32"/>
      <c r="HG34" s="32"/>
      <c r="HH34" s="32"/>
      <c r="HI34" s="32"/>
      <c r="HJ34" s="32"/>
      <c r="HK34" s="32"/>
      <c r="HL34" s="32"/>
      <c r="HM34" s="32"/>
      <c r="HN34" s="32"/>
      <c r="HO34" s="32"/>
      <c r="HP34" s="32"/>
      <c r="HQ34" s="32"/>
      <c r="HR34" s="32"/>
      <c r="HS34" s="32"/>
      <c r="HT34" s="32"/>
      <c r="HU34" s="32"/>
      <c r="HV34" s="31"/>
      <c r="HW34" s="31"/>
      <c r="HX34" s="32"/>
      <c r="HY34" s="32"/>
      <c r="HZ34" s="32"/>
      <c r="IA34" s="32"/>
      <c r="IB34" s="32"/>
      <c r="IC34" s="32"/>
      <c r="ID34" s="33"/>
      <c r="IE34" s="33"/>
      <c r="IF34" s="33"/>
      <c r="IG34" s="25">
        <v>12</v>
      </c>
      <c r="IH34" s="26">
        <v>2.0099999999999998</v>
      </c>
      <c r="II34" s="26">
        <v>2.0099999999999998</v>
      </c>
      <c r="IJ34" s="26">
        <v>1.952</v>
      </c>
      <c r="IK34" s="26">
        <v>1</v>
      </c>
      <c r="IL34" s="26">
        <v>1</v>
      </c>
      <c r="IM34" s="26">
        <v>1.125</v>
      </c>
      <c r="IN34" s="8"/>
    </row>
    <row r="35" spans="1:248" ht="15.75" thickBot="1" x14ac:dyDescent="0.3">
      <c r="B35" s="103">
        <f t="shared" si="12"/>
        <v>108</v>
      </c>
      <c r="C35" s="102">
        <v>18</v>
      </c>
      <c r="D35" s="261"/>
      <c r="E35" s="259"/>
      <c r="F35" s="259"/>
      <c r="G35" s="259"/>
      <c r="H35" s="259"/>
      <c r="I35" s="259"/>
      <c r="J35" s="259"/>
      <c r="K35" s="259"/>
      <c r="L35" s="259"/>
      <c r="M35" s="259"/>
      <c r="N35" s="259"/>
      <c r="O35" s="259"/>
      <c r="P35" s="260"/>
      <c r="Q35" s="260"/>
      <c r="R35" s="259"/>
      <c r="S35" s="259"/>
      <c r="T35" s="259"/>
      <c r="U35" s="259"/>
      <c r="V35" s="259"/>
      <c r="W35" s="64"/>
      <c r="X35" s="65"/>
      <c r="AT35" s="4"/>
      <c r="AU35" s="27">
        <f t="shared" si="92"/>
        <v>90</v>
      </c>
      <c r="AV35" s="28" t="str">
        <f t="shared" si="26"/>
        <v>(2300)</v>
      </c>
      <c r="AW35" s="19">
        <f t="shared" si="93"/>
        <v>21</v>
      </c>
      <c r="AX35" s="373">
        <f t="shared" si="27"/>
        <v>1.9501388888888884</v>
      </c>
      <c r="AY35" s="374" t="str">
        <f t="shared" si="16"/>
        <v>(0.18)</v>
      </c>
      <c r="AZ35" s="375">
        <v>2</v>
      </c>
      <c r="BA35" s="375">
        <f t="shared" si="28"/>
        <v>2</v>
      </c>
      <c r="BB35" s="375">
        <v>0</v>
      </c>
      <c r="BC35" s="375">
        <f t="shared" si="29"/>
        <v>0</v>
      </c>
      <c r="BD35" s="375">
        <v>0</v>
      </c>
      <c r="BE35" s="375">
        <f t="shared" si="30"/>
        <v>0</v>
      </c>
      <c r="BF35" s="375">
        <f t="shared" si="94"/>
        <v>2</v>
      </c>
      <c r="BG35" s="376">
        <f t="shared" si="31"/>
        <v>10</v>
      </c>
      <c r="BH35" s="373">
        <f t="shared" si="32"/>
        <v>3.1202222222222216</v>
      </c>
      <c r="BI35" s="374" t="str">
        <f t="shared" si="17"/>
        <v>(0.29)</v>
      </c>
      <c r="BJ35" s="375">
        <v>2</v>
      </c>
      <c r="BK35" s="375">
        <f t="shared" si="33"/>
        <v>2</v>
      </c>
      <c r="BL35" s="375">
        <v>0</v>
      </c>
      <c r="BM35" s="375">
        <f t="shared" si="34"/>
        <v>0</v>
      </c>
      <c r="BN35" s="375">
        <v>0</v>
      </c>
      <c r="BO35" s="375">
        <f t="shared" si="35"/>
        <v>0</v>
      </c>
      <c r="BP35" s="375">
        <f t="shared" si="36"/>
        <v>2</v>
      </c>
      <c r="BQ35" s="376">
        <f t="shared" si="37"/>
        <v>16</v>
      </c>
      <c r="BR35" s="373">
        <f t="shared" si="38"/>
        <v>4.2903055555555545</v>
      </c>
      <c r="BS35" s="374" t="str">
        <f t="shared" si="18"/>
        <v>(0.4)</v>
      </c>
      <c r="BT35" s="375">
        <v>2</v>
      </c>
      <c r="BU35" s="375">
        <f t="shared" si="39"/>
        <v>2</v>
      </c>
      <c r="BV35" s="375">
        <v>0</v>
      </c>
      <c r="BW35" s="375">
        <f t="shared" si="40"/>
        <v>0</v>
      </c>
      <c r="BX35" s="375">
        <v>0</v>
      </c>
      <c r="BY35" s="375">
        <f t="shared" si="41"/>
        <v>0</v>
      </c>
      <c r="BZ35" s="375">
        <f t="shared" si="42"/>
        <v>2</v>
      </c>
      <c r="CA35" s="376">
        <f t="shared" si="43"/>
        <v>22</v>
      </c>
      <c r="CB35" s="373">
        <f t="shared" si="44"/>
        <v>5.4603888888888878</v>
      </c>
      <c r="CC35" s="374" t="str">
        <f t="shared" si="19"/>
        <v>(0.51)</v>
      </c>
      <c r="CD35" s="375">
        <v>2</v>
      </c>
      <c r="CE35" s="375">
        <f t="shared" si="45"/>
        <v>2</v>
      </c>
      <c r="CF35" s="375">
        <v>0</v>
      </c>
      <c r="CG35" s="375">
        <f t="shared" si="46"/>
        <v>0</v>
      </c>
      <c r="CH35" s="375">
        <v>0</v>
      </c>
      <c r="CI35" s="375">
        <f t="shared" si="47"/>
        <v>0</v>
      </c>
      <c r="CJ35" s="375">
        <f t="shared" si="48"/>
        <v>2</v>
      </c>
      <c r="CK35" s="376">
        <f t="shared" si="49"/>
        <v>28</v>
      </c>
      <c r="CL35" s="373">
        <f t="shared" si="50"/>
        <v>6.6304722222222203</v>
      </c>
      <c r="CM35" s="374" t="str">
        <f t="shared" si="20"/>
        <v>(0.62)</v>
      </c>
      <c r="CN35" s="375">
        <v>2</v>
      </c>
      <c r="CO35" s="375">
        <f t="shared" si="51"/>
        <v>2</v>
      </c>
      <c r="CP35" s="375">
        <v>0</v>
      </c>
      <c r="CQ35" s="375">
        <f t="shared" si="52"/>
        <v>0</v>
      </c>
      <c r="CR35" s="375">
        <v>0</v>
      </c>
      <c r="CS35" s="375">
        <f t="shared" si="53"/>
        <v>0</v>
      </c>
      <c r="CT35" s="375">
        <f t="shared" si="54"/>
        <v>2</v>
      </c>
      <c r="CU35" s="376">
        <f t="shared" si="55"/>
        <v>34</v>
      </c>
      <c r="CV35" s="373">
        <f t="shared" si="56"/>
        <v>7.8005555555555537</v>
      </c>
      <c r="CW35" s="374" t="str">
        <f t="shared" si="21"/>
        <v>(0.72)</v>
      </c>
      <c r="CX35" s="375">
        <v>2</v>
      </c>
      <c r="CY35" s="375">
        <f t="shared" si="57"/>
        <v>2</v>
      </c>
      <c r="CZ35" s="375">
        <v>0</v>
      </c>
      <c r="DA35" s="375">
        <f t="shared" si="58"/>
        <v>0</v>
      </c>
      <c r="DB35" s="375">
        <v>0</v>
      </c>
      <c r="DC35" s="375">
        <f t="shared" si="59"/>
        <v>0</v>
      </c>
      <c r="DD35" s="375">
        <f t="shared" si="60"/>
        <v>2</v>
      </c>
      <c r="DE35" s="376">
        <f t="shared" si="61"/>
        <v>40</v>
      </c>
      <c r="DF35" s="373">
        <f t="shared" si="62"/>
        <v>8.9706388888888871</v>
      </c>
      <c r="DG35" s="374" t="str">
        <f t="shared" si="22"/>
        <v>(0.83)</v>
      </c>
      <c r="DH35" s="375">
        <v>2</v>
      </c>
      <c r="DI35" s="375">
        <f t="shared" si="63"/>
        <v>2</v>
      </c>
      <c r="DJ35" s="375">
        <v>0</v>
      </c>
      <c r="DK35" s="375">
        <f t="shared" si="64"/>
        <v>0</v>
      </c>
      <c r="DL35" s="375">
        <v>0</v>
      </c>
      <c r="DM35" s="375">
        <f t="shared" si="65"/>
        <v>0</v>
      </c>
      <c r="DN35" s="375">
        <f t="shared" si="66"/>
        <v>2</v>
      </c>
      <c r="DO35" s="376">
        <f t="shared" si="67"/>
        <v>46</v>
      </c>
      <c r="DP35" s="373">
        <f t="shared" si="68"/>
        <v>10.14072222222222</v>
      </c>
      <c r="DQ35" s="374" t="str">
        <f t="shared" si="23"/>
        <v>(0.94)</v>
      </c>
      <c r="DR35" s="375">
        <v>2</v>
      </c>
      <c r="DS35" s="375">
        <f t="shared" si="69"/>
        <v>2</v>
      </c>
      <c r="DT35" s="375">
        <v>0</v>
      </c>
      <c r="DU35" s="375">
        <f t="shared" si="70"/>
        <v>0</v>
      </c>
      <c r="DV35" s="375">
        <v>0</v>
      </c>
      <c r="DW35" s="375">
        <f t="shared" si="71"/>
        <v>0</v>
      </c>
      <c r="DX35" s="375">
        <f t="shared" si="72"/>
        <v>2</v>
      </c>
      <c r="DY35" s="376">
        <f t="shared" si="73"/>
        <v>52</v>
      </c>
      <c r="DZ35" s="373">
        <f t="shared" si="74"/>
        <v>11.310805555555554</v>
      </c>
      <c r="EA35" s="374" t="str">
        <f t="shared" si="96"/>
        <v>(1.05)</v>
      </c>
      <c r="EB35" s="375">
        <v>2</v>
      </c>
      <c r="EC35" s="375">
        <f t="shared" si="75"/>
        <v>2</v>
      </c>
      <c r="ED35" s="375">
        <v>0</v>
      </c>
      <c r="EE35" s="375">
        <f t="shared" si="76"/>
        <v>0</v>
      </c>
      <c r="EF35" s="375">
        <v>0</v>
      </c>
      <c r="EG35" s="375">
        <f t="shared" si="77"/>
        <v>0</v>
      </c>
      <c r="EH35" s="375">
        <f t="shared" si="78"/>
        <v>2</v>
      </c>
      <c r="EI35" s="376">
        <f t="shared" si="79"/>
        <v>58</v>
      </c>
      <c r="EJ35" s="373">
        <f t="shared" si="80"/>
        <v>12.480888888888886</v>
      </c>
      <c r="EK35" s="374" t="str">
        <f t="shared" si="97"/>
        <v>(1.16)</v>
      </c>
      <c r="EL35" s="375">
        <v>2</v>
      </c>
      <c r="EM35" s="375">
        <f t="shared" si="81"/>
        <v>2</v>
      </c>
      <c r="EN35" s="375">
        <v>0</v>
      </c>
      <c r="EO35" s="375">
        <f t="shared" si="82"/>
        <v>0</v>
      </c>
      <c r="EP35" s="375">
        <v>0</v>
      </c>
      <c r="EQ35" s="375">
        <f t="shared" si="83"/>
        <v>0</v>
      </c>
      <c r="ER35" s="375">
        <f t="shared" si="84"/>
        <v>2</v>
      </c>
      <c r="ES35" s="376">
        <f t="shared" si="85"/>
        <v>64</v>
      </c>
      <c r="ET35" s="373">
        <f t="shared" si="86"/>
        <v>13.650972222222219</v>
      </c>
      <c r="EU35" s="374" t="str">
        <f t="shared" si="25"/>
        <v>(1.27)</v>
      </c>
      <c r="EV35" s="22">
        <v>2</v>
      </c>
      <c r="EW35" s="22">
        <f t="shared" si="87"/>
        <v>2</v>
      </c>
      <c r="EX35" s="22">
        <v>0</v>
      </c>
      <c r="EY35" s="22">
        <f t="shared" si="88"/>
        <v>0</v>
      </c>
      <c r="EZ35" s="30">
        <v>0</v>
      </c>
      <c r="FA35" s="22">
        <f t="shared" si="89"/>
        <v>0</v>
      </c>
      <c r="FB35" s="22">
        <f t="shared" si="90"/>
        <v>2</v>
      </c>
      <c r="FC35" s="23">
        <f t="shared" si="91"/>
        <v>70</v>
      </c>
      <c r="FD35" s="31"/>
      <c r="FE35" s="31"/>
      <c r="FF35" s="32"/>
      <c r="FG35" s="32"/>
      <c r="FH35" s="34"/>
      <c r="FI35" s="32"/>
      <c r="FJ35" s="34"/>
      <c r="FK35" s="32"/>
      <c r="FL35" s="31"/>
      <c r="FM35" s="31"/>
      <c r="FN35" s="31"/>
      <c r="FO35" s="31"/>
      <c r="FP35" s="31"/>
      <c r="FQ35" s="31"/>
      <c r="FR35" s="31"/>
      <c r="FS35" s="31"/>
      <c r="FT35" s="31"/>
      <c r="FU35" s="31"/>
      <c r="FV35" s="31"/>
      <c r="FW35" s="31"/>
      <c r="FX35" s="31"/>
      <c r="FY35" s="31"/>
      <c r="FZ35" s="32"/>
      <c r="GA35" s="32"/>
      <c r="GB35" s="34"/>
      <c r="GC35" s="32"/>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2"/>
      <c r="HE35" s="32"/>
      <c r="HF35" s="34"/>
      <c r="HG35" s="32"/>
      <c r="HH35" s="32"/>
      <c r="HI35" s="32"/>
      <c r="HJ35" s="32"/>
      <c r="HK35" s="32"/>
      <c r="HL35" s="32"/>
      <c r="HM35" s="32"/>
      <c r="HN35" s="32"/>
      <c r="HO35" s="32"/>
      <c r="HP35" s="32"/>
      <c r="HQ35" s="32"/>
      <c r="HR35" s="32"/>
      <c r="HS35" s="32"/>
      <c r="HT35" s="32"/>
      <c r="HU35" s="32"/>
      <c r="HV35" s="31"/>
      <c r="HW35" s="31"/>
      <c r="HX35" s="32"/>
      <c r="HY35" s="32"/>
      <c r="HZ35" s="34"/>
      <c r="IA35" s="32"/>
      <c r="IB35" s="32"/>
      <c r="IC35" s="32"/>
      <c r="ID35" s="33"/>
      <c r="IE35" s="33"/>
      <c r="IF35" s="33"/>
      <c r="IG35" s="25">
        <v>13</v>
      </c>
      <c r="IH35" s="26">
        <v>2.0099999999999998</v>
      </c>
      <c r="II35" s="26">
        <v>2.0099999999999998</v>
      </c>
      <c r="IJ35" s="26">
        <v>1.952</v>
      </c>
      <c r="IK35" s="26">
        <v>1</v>
      </c>
      <c r="IL35" s="26">
        <v>1</v>
      </c>
      <c r="IM35" s="26">
        <v>1.125</v>
      </c>
      <c r="IN35" s="8"/>
    </row>
    <row r="36" spans="1:248" ht="15.75" thickBot="1" x14ac:dyDescent="0.3">
      <c r="B36" s="103">
        <f>B35+6</f>
        <v>114</v>
      </c>
      <c r="C36" s="102">
        <v>19</v>
      </c>
      <c r="D36" s="261"/>
      <c r="E36" s="259"/>
      <c r="F36" s="259"/>
      <c r="G36" s="259"/>
      <c r="H36" s="259"/>
      <c r="I36" s="259"/>
      <c r="J36" s="259"/>
      <c r="K36" s="259"/>
      <c r="L36" s="259"/>
      <c r="M36" s="259"/>
      <c r="N36" s="259"/>
      <c r="O36" s="259"/>
      <c r="P36" s="260"/>
      <c r="Q36" s="260"/>
      <c r="R36" s="259"/>
      <c r="S36" s="259"/>
      <c r="T36" s="259"/>
      <c r="U36" s="259"/>
      <c r="V36" s="259"/>
      <c r="W36" s="64"/>
      <c r="X36" s="65"/>
      <c r="AT36" s="4"/>
      <c r="AU36" s="27">
        <f t="shared" si="92"/>
        <v>96</v>
      </c>
      <c r="AV36" s="28" t="str">
        <f t="shared" si="26"/>
        <v>(2450)</v>
      </c>
      <c r="AW36" s="19">
        <f t="shared" si="93"/>
        <v>22</v>
      </c>
      <c r="AX36" s="373">
        <f t="shared" si="27"/>
        <v>2.0897222222222216</v>
      </c>
      <c r="AY36" s="374" t="str">
        <f t="shared" si="16"/>
        <v>(0.19)</v>
      </c>
      <c r="AZ36" s="375">
        <v>2</v>
      </c>
      <c r="BA36" s="375">
        <f t="shared" si="28"/>
        <v>2</v>
      </c>
      <c r="BB36" s="375">
        <v>0</v>
      </c>
      <c r="BC36" s="375">
        <f t="shared" si="29"/>
        <v>0</v>
      </c>
      <c r="BD36" s="375">
        <v>0</v>
      </c>
      <c r="BE36" s="375">
        <f t="shared" si="30"/>
        <v>0</v>
      </c>
      <c r="BF36" s="375">
        <f t="shared" si="94"/>
        <v>2</v>
      </c>
      <c r="BG36" s="376">
        <f t="shared" si="31"/>
        <v>10</v>
      </c>
      <c r="BH36" s="373">
        <f t="shared" si="32"/>
        <v>3.3435555555555547</v>
      </c>
      <c r="BI36" s="374" t="str">
        <f t="shared" si="17"/>
        <v>(0.31)</v>
      </c>
      <c r="BJ36" s="375">
        <v>2</v>
      </c>
      <c r="BK36" s="375">
        <f t="shared" si="33"/>
        <v>2</v>
      </c>
      <c r="BL36" s="375">
        <v>0</v>
      </c>
      <c r="BM36" s="375">
        <f t="shared" si="34"/>
        <v>0</v>
      </c>
      <c r="BN36" s="375">
        <v>0</v>
      </c>
      <c r="BO36" s="375">
        <f t="shared" si="35"/>
        <v>0</v>
      </c>
      <c r="BP36" s="375">
        <f t="shared" si="36"/>
        <v>2</v>
      </c>
      <c r="BQ36" s="376">
        <f t="shared" si="37"/>
        <v>16</v>
      </c>
      <c r="BR36" s="373">
        <f t="shared" si="38"/>
        <v>4.5973888888888874</v>
      </c>
      <c r="BS36" s="374" t="str">
        <f t="shared" si="18"/>
        <v>(0.43)</v>
      </c>
      <c r="BT36" s="375">
        <v>2</v>
      </c>
      <c r="BU36" s="375">
        <f t="shared" si="39"/>
        <v>2</v>
      </c>
      <c r="BV36" s="375">
        <v>0</v>
      </c>
      <c r="BW36" s="375">
        <f t="shared" si="40"/>
        <v>0</v>
      </c>
      <c r="BX36" s="375">
        <v>0</v>
      </c>
      <c r="BY36" s="375">
        <f t="shared" si="41"/>
        <v>0</v>
      </c>
      <c r="BZ36" s="375">
        <f t="shared" si="42"/>
        <v>2</v>
      </c>
      <c r="CA36" s="376">
        <f t="shared" si="43"/>
        <v>22</v>
      </c>
      <c r="CB36" s="373">
        <f t="shared" si="44"/>
        <v>5.851222222222221</v>
      </c>
      <c r="CC36" s="374" t="str">
        <f t="shared" si="19"/>
        <v>(0.54)</v>
      </c>
      <c r="CD36" s="375">
        <v>2</v>
      </c>
      <c r="CE36" s="375">
        <f t="shared" si="45"/>
        <v>2</v>
      </c>
      <c r="CF36" s="375">
        <v>0</v>
      </c>
      <c r="CG36" s="375">
        <f t="shared" si="46"/>
        <v>0</v>
      </c>
      <c r="CH36" s="375">
        <v>0</v>
      </c>
      <c r="CI36" s="375">
        <f t="shared" si="47"/>
        <v>0</v>
      </c>
      <c r="CJ36" s="375">
        <f t="shared" si="48"/>
        <v>2</v>
      </c>
      <c r="CK36" s="376">
        <f t="shared" si="49"/>
        <v>28</v>
      </c>
      <c r="CL36" s="373">
        <f t="shared" si="50"/>
        <v>7.1050555555555537</v>
      </c>
      <c r="CM36" s="374" t="str">
        <f t="shared" si="20"/>
        <v>(0.66)</v>
      </c>
      <c r="CN36" s="375">
        <v>2</v>
      </c>
      <c r="CO36" s="375">
        <f t="shared" si="51"/>
        <v>2</v>
      </c>
      <c r="CP36" s="375">
        <v>0</v>
      </c>
      <c r="CQ36" s="375">
        <f t="shared" si="52"/>
        <v>0</v>
      </c>
      <c r="CR36" s="375">
        <v>0</v>
      </c>
      <c r="CS36" s="375">
        <f t="shared" si="53"/>
        <v>0</v>
      </c>
      <c r="CT36" s="375">
        <f t="shared" si="54"/>
        <v>2</v>
      </c>
      <c r="CU36" s="376">
        <f t="shared" si="55"/>
        <v>34</v>
      </c>
      <c r="CV36" s="373">
        <f t="shared" si="56"/>
        <v>8.3588888888888864</v>
      </c>
      <c r="CW36" s="374" t="str">
        <f t="shared" si="21"/>
        <v>(0.78)</v>
      </c>
      <c r="CX36" s="375">
        <v>2</v>
      </c>
      <c r="CY36" s="375">
        <f t="shared" si="57"/>
        <v>2</v>
      </c>
      <c r="CZ36" s="375">
        <v>0</v>
      </c>
      <c r="DA36" s="375">
        <f t="shared" si="58"/>
        <v>0</v>
      </c>
      <c r="DB36" s="375">
        <v>0</v>
      </c>
      <c r="DC36" s="375">
        <f t="shared" si="59"/>
        <v>0</v>
      </c>
      <c r="DD36" s="375">
        <f t="shared" si="60"/>
        <v>2</v>
      </c>
      <c r="DE36" s="376">
        <f t="shared" si="61"/>
        <v>40</v>
      </c>
      <c r="DF36" s="373">
        <f t="shared" si="62"/>
        <v>9.6127222222222191</v>
      </c>
      <c r="DG36" s="374" t="str">
        <f t="shared" si="22"/>
        <v>(0.89)</v>
      </c>
      <c r="DH36" s="375">
        <v>2</v>
      </c>
      <c r="DI36" s="375">
        <f t="shared" si="63"/>
        <v>2</v>
      </c>
      <c r="DJ36" s="375">
        <v>0</v>
      </c>
      <c r="DK36" s="375">
        <f t="shared" si="64"/>
        <v>0</v>
      </c>
      <c r="DL36" s="375">
        <v>0</v>
      </c>
      <c r="DM36" s="375">
        <f t="shared" si="65"/>
        <v>0</v>
      </c>
      <c r="DN36" s="375">
        <f t="shared" si="66"/>
        <v>2</v>
      </c>
      <c r="DO36" s="376">
        <f t="shared" si="67"/>
        <v>46</v>
      </c>
      <c r="DP36" s="373">
        <f t="shared" si="68"/>
        <v>10.866555555555554</v>
      </c>
      <c r="DQ36" s="374" t="str">
        <f t="shared" si="23"/>
        <v>(1.01)</v>
      </c>
      <c r="DR36" s="375">
        <v>2</v>
      </c>
      <c r="DS36" s="375">
        <f t="shared" si="69"/>
        <v>2</v>
      </c>
      <c r="DT36" s="375">
        <v>0</v>
      </c>
      <c r="DU36" s="375">
        <f t="shared" si="70"/>
        <v>0</v>
      </c>
      <c r="DV36" s="375">
        <v>0</v>
      </c>
      <c r="DW36" s="375">
        <f t="shared" si="71"/>
        <v>0</v>
      </c>
      <c r="DX36" s="375">
        <f t="shared" si="72"/>
        <v>2</v>
      </c>
      <c r="DY36" s="376">
        <f t="shared" si="73"/>
        <v>52</v>
      </c>
      <c r="DZ36" s="373">
        <f t="shared" si="74"/>
        <v>12.120388888888886</v>
      </c>
      <c r="EA36" s="374" t="str">
        <f t="shared" si="96"/>
        <v>(1.13)</v>
      </c>
      <c r="EB36" s="375">
        <v>2</v>
      </c>
      <c r="EC36" s="375">
        <f t="shared" si="75"/>
        <v>2</v>
      </c>
      <c r="ED36" s="375">
        <v>0</v>
      </c>
      <c r="EE36" s="375">
        <f t="shared" si="76"/>
        <v>0</v>
      </c>
      <c r="EF36" s="375">
        <v>0</v>
      </c>
      <c r="EG36" s="375">
        <f t="shared" si="77"/>
        <v>0</v>
      </c>
      <c r="EH36" s="375">
        <f t="shared" si="78"/>
        <v>2</v>
      </c>
      <c r="EI36" s="376">
        <f t="shared" si="79"/>
        <v>58</v>
      </c>
      <c r="EJ36" s="373">
        <f t="shared" si="80"/>
        <v>13.374222222222219</v>
      </c>
      <c r="EK36" s="374" t="str">
        <f t="shared" si="97"/>
        <v>(1.24)</v>
      </c>
      <c r="EL36" s="375">
        <v>2</v>
      </c>
      <c r="EM36" s="375">
        <f t="shared" si="81"/>
        <v>2</v>
      </c>
      <c r="EN36" s="375">
        <v>0</v>
      </c>
      <c r="EO36" s="375">
        <f t="shared" si="82"/>
        <v>0</v>
      </c>
      <c r="EP36" s="375">
        <v>0</v>
      </c>
      <c r="EQ36" s="375">
        <f t="shared" si="83"/>
        <v>0</v>
      </c>
      <c r="ER36" s="375">
        <f t="shared" si="84"/>
        <v>2</v>
      </c>
      <c r="ES36" s="376">
        <f t="shared" si="85"/>
        <v>64</v>
      </c>
      <c r="ET36" s="373">
        <f t="shared" si="86"/>
        <v>14.628055555555553</v>
      </c>
      <c r="EU36" s="374" t="str">
        <f t="shared" si="25"/>
        <v>(1.36)</v>
      </c>
      <c r="EV36" s="22">
        <v>2</v>
      </c>
      <c r="EW36" s="22">
        <f t="shared" si="87"/>
        <v>2</v>
      </c>
      <c r="EX36" s="22">
        <v>0</v>
      </c>
      <c r="EY36" s="22">
        <f t="shared" si="88"/>
        <v>0</v>
      </c>
      <c r="EZ36" s="22">
        <v>0</v>
      </c>
      <c r="FA36" s="22">
        <f t="shared" si="89"/>
        <v>0</v>
      </c>
      <c r="FB36" s="22">
        <f t="shared" si="90"/>
        <v>2</v>
      </c>
      <c r="FC36" s="23">
        <f t="shared" si="91"/>
        <v>70</v>
      </c>
      <c r="FD36" s="31"/>
      <c r="FE36" s="31"/>
      <c r="FF36" s="32"/>
      <c r="FG36" s="32"/>
      <c r="FH36" s="32"/>
      <c r="FI36" s="32"/>
      <c r="FJ36" s="32"/>
      <c r="FK36" s="32"/>
      <c r="FL36" s="31"/>
      <c r="FM36" s="31"/>
      <c r="FN36" s="31"/>
      <c r="FO36" s="31"/>
      <c r="FP36" s="31"/>
      <c r="FQ36" s="31"/>
      <c r="FR36" s="31"/>
      <c r="FS36" s="31"/>
      <c r="FT36" s="31"/>
      <c r="FU36" s="31"/>
      <c r="FV36" s="31"/>
      <c r="FW36" s="31"/>
      <c r="FX36" s="31"/>
      <c r="FY36" s="31"/>
      <c r="FZ36" s="32"/>
      <c r="GA36" s="32"/>
      <c r="GB36" s="32"/>
      <c r="GC36" s="32"/>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2"/>
      <c r="HE36" s="32"/>
      <c r="HF36" s="32"/>
      <c r="HG36" s="32"/>
      <c r="HH36" s="32"/>
      <c r="HI36" s="32"/>
      <c r="HJ36" s="32"/>
      <c r="HK36" s="32"/>
      <c r="HL36" s="32"/>
      <c r="HM36" s="32"/>
      <c r="HN36" s="32"/>
      <c r="HO36" s="32"/>
      <c r="HP36" s="32"/>
      <c r="HQ36" s="32"/>
      <c r="HR36" s="32"/>
      <c r="HS36" s="32"/>
      <c r="HT36" s="32"/>
      <c r="HU36" s="32"/>
      <c r="HV36" s="31"/>
      <c r="HW36" s="31"/>
      <c r="HX36" s="32"/>
      <c r="HY36" s="32"/>
      <c r="HZ36" s="32"/>
      <c r="IA36" s="32"/>
      <c r="IB36" s="32"/>
      <c r="IC36" s="32"/>
      <c r="ID36" s="33"/>
      <c r="IE36" s="33"/>
      <c r="IF36" s="33"/>
      <c r="IG36" s="25">
        <v>14</v>
      </c>
      <c r="IH36" s="26">
        <v>2.0099999999999998</v>
      </c>
      <c r="II36" s="26">
        <v>2.0099999999999998</v>
      </c>
      <c r="IJ36" s="26">
        <v>1.952</v>
      </c>
      <c r="IK36" s="26">
        <v>1</v>
      </c>
      <c r="IL36" s="26">
        <v>1</v>
      </c>
      <c r="IM36" s="26">
        <v>1.125</v>
      </c>
      <c r="IN36" s="8"/>
    </row>
    <row r="37" spans="1:248" ht="15.75" thickBot="1" x14ac:dyDescent="0.3">
      <c r="B37" s="103">
        <f t="shared" si="12"/>
        <v>120</v>
      </c>
      <c r="C37" s="102">
        <v>20</v>
      </c>
      <c r="D37" s="261"/>
      <c r="E37" s="259"/>
      <c r="F37" s="259"/>
      <c r="G37" s="259"/>
      <c r="H37" s="259"/>
      <c r="I37" s="259"/>
      <c r="J37" s="259"/>
      <c r="K37" s="259"/>
      <c r="L37" s="259"/>
      <c r="M37" s="259"/>
      <c r="N37" s="259"/>
      <c r="O37" s="259"/>
      <c r="P37" s="260"/>
      <c r="Q37" s="260"/>
      <c r="R37" s="259"/>
      <c r="S37" s="259"/>
      <c r="T37" s="259"/>
      <c r="U37" s="259"/>
      <c r="V37" s="259"/>
      <c r="W37" s="64"/>
      <c r="X37" s="65"/>
      <c r="AT37" s="4"/>
      <c r="AU37" s="27">
        <f t="shared" si="92"/>
        <v>102</v>
      </c>
      <c r="AV37" s="28" t="str">
        <f t="shared" si="26"/>
        <v>(2600)</v>
      </c>
      <c r="AW37" s="19">
        <f t="shared" si="93"/>
        <v>23</v>
      </c>
      <c r="AX37" s="202"/>
      <c r="AY37" s="203"/>
      <c r="AZ37" s="204"/>
      <c r="BA37" s="204"/>
      <c r="BB37" s="204"/>
      <c r="BC37" s="204"/>
      <c r="BD37" s="204"/>
      <c r="BE37" s="204"/>
      <c r="BF37" s="204"/>
      <c r="BG37" s="205"/>
      <c r="BH37" s="202"/>
      <c r="BI37" s="203"/>
      <c r="BJ37" s="204"/>
      <c r="BK37" s="204"/>
      <c r="BL37" s="204"/>
      <c r="BM37" s="204"/>
      <c r="BN37" s="204"/>
      <c r="BO37" s="204"/>
      <c r="BP37" s="204"/>
      <c r="BQ37" s="205"/>
      <c r="BR37" s="202"/>
      <c r="BS37" s="203"/>
      <c r="BT37" s="204"/>
      <c r="BU37" s="204"/>
      <c r="BV37" s="204"/>
      <c r="BW37" s="204"/>
      <c r="BX37" s="204"/>
      <c r="BY37" s="204"/>
      <c r="BZ37" s="204"/>
      <c r="CA37" s="205"/>
      <c r="CB37" s="202"/>
      <c r="CC37" s="203"/>
      <c r="CD37" s="204"/>
      <c r="CE37" s="204"/>
      <c r="CF37" s="204"/>
      <c r="CG37" s="204"/>
      <c r="CH37" s="204"/>
      <c r="CI37" s="204"/>
      <c r="CJ37" s="204"/>
      <c r="CK37" s="205"/>
      <c r="CL37" s="202"/>
      <c r="CM37" s="203"/>
      <c r="CN37" s="204"/>
      <c r="CO37" s="204"/>
      <c r="CP37" s="204"/>
      <c r="CQ37" s="204"/>
      <c r="CR37" s="204"/>
      <c r="CS37" s="204"/>
      <c r="CT37" s="204"/>
      <c r="CU37" s="205"/>
      <c r="CV37" s="202"/>
      <c r="CW37" s="203"/>
      <c r="CX37" s="204"/>
      <c r="CY37" s="204"/>
      <c r="CZ37" s="204"/>
      <c r="DA37" s="204"/>
      <c r="DB37" s="204"/>
      <c r="DC37" s="204"/>
      <c r="DD37" s="204"/>
      <c r="DE37" s="205"/>
      <c r="DF37" s="202"/>
      <c r="DG37" s="203"/>
      <c r="DH37" s="204"/>
      <c r="DI37" s="204"/>
      <c r="DJ37" s="204"/>
      <c r="DK37" s="204"/>
      <c r="DL37" s="204"/>
      <c r="DM37" s="204"/>
      <c r="DN37" s="204"/>
      <c r="DO37" s="205"/>
      <c r="DP37" s="202"/>
      <c r="DQ37" s="203"/>
      <c r="DR37" s="204"/>
      <c r="DS37" s="204"/>
      <c r="DT37" s="204"/>
      <c r="DU37" s="204"/>
      <c r="DV37" s="204"/>
      <c r="DW37" s="204"/>
      <c r="DX37" s="204"/>
      <c r="DY37" s="205"/>
      <c r="DZ37" s="202"/>
      <c r="EA37" s="203"/>
      <c r="EB37" s="204"/>
      <c r="EC37" s="204"/>
      <c r="ED37" s="204"/>
      <c r="EE37" s="204"/>
      <c r="EF37" s="204"/>
      <c r="EG37" s="204"/>
      <c r="EH37" s="204"/>
      <c r="EI37" s="205"/>
      <c r="EJ37" s="202"/>
      <c r="EK37" s="203"/>
      <c r="EL37" s="204"/>
      <c r="EM37" s="204"/>
      <c r="EN37" s="204"/>
      <c r="EO37" s="204"/>
      <c r="EP37" s="204"/>
      <c r="EQ37" s="204"/>
      <c r="ER37" s="204"/>
      <c r="ES37" s="205"/>
      <c r="ET37" s="202"/>
      <c r="EU37" s="203"/>
      <c r="EV37" s="204"/>
      <c r="EW37" s="204"/>
      <c r="EX37" s="204"/>
      <c r="EY37" s="204"/>
      <c r="EZ37" s="204"/>
      <c r="FA37" s="204"/>
      <c r="FB37" s="204"/>
      <c r="FC37" s="205"/>
      <c r="FD37" s="31"/>
      <c r="FE37" s="31"/>
      <c r="FF37" s="32"/>
      <c r="FG37" s="32"/>
      <c r="FH37" s="32"/>
      <c r="FI37" s="32"/>
      <c r="FJ37" s="32"/>
      <c r="FK37" s="32"/>
      <c r="FL37" s="31"/>
      <c r="FM37" s="31"/>
      <c r="FN37" s="31"/>
      <c r="FO37" s="31"/>
      <c r="FP37" s="31"/>
      <c r="FQ37" s="31"/>
      <c r="FR37" s="31"/>
      <c r="FS37" s="31"/>
      <c r="FT37" s="31"/>
      <c r="FU37" s="31"/>
      <c r="FV37" s="31"/>
      <c r="FW37" s="31"/>
      <c r="FX37" s="31"/>
      <c r="FY37" s="31"/>
      <c r="FZ37" s="32"/>
      <c r="GA37" s="32"/>
      <c r="GB37" s="32"/>
      <c r="GC37" s="32"/>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2"/>
      <c r="HE37" s="32"/>
      <c r="HF37" s="32"/>
      <c r="HG37" s="32"/>
      <c r="HH37" s="32"/>
      <c r="HI37" s="32"/>
      <c r="HJ37" s="32"/>
      <c r="HK37" s="32"/>
      <c r="HL37" s="32"/>
      <c r="HM37" s="32"/>
      <c r="HN37" s="32"/>
      <c r="HO37" s="32"/>
      <c r="HP37" s="32"/>
      <c r="HQ37" s="32"/>
      <c r="HR37" s="32"/>
      <c r="HS37" s="32"/>
      <c r="HT37" s="32"/>
      <c r="HU37" s="32"/>
      <c r="HV37" s="31"/>
      <c r="HW37" s="31"/>
      <c r="HX37" s="32"/>
      <c r="HY37" s="32"/>
      <c r="HZ37" s="32"/>
      <c r="IA37" s="32"/>
      <c r="IB37" s="32"/>
      <c r="IC37" s="32"/>
      <c r="ID37" s="33"/>
      <c r="IE37" s="33"/>
      <c r="IF37" s="33"/>
      <c r="IG37" s="25">
        <v>15</v>
      </c>
      <c r="IH37" s="26">
        <v>2.0099999999999998</v>
      </c>
      <c r="II37" s="26">
        <v>2.0099999999999998</v>
      </c>
      <c r="IJ37" s="26">
        <v>1.952</v>
      </c>
      <c r="IK37" s="26">
        <v>1</v>
      </c>
      <c r="IL37" s="26">
        <v>1</v>
      </c>
      <c r="IM37" s="26">
        <v>1.125</v>
      </c>
      <c r="IN37" s="8"/>
    </row>
    <row r="38" spans="1:248" ht="15.75" thickBot="1" x14ac:dyDescent="0.3">
      <c r="B38" s="66"/>
      <c r="C38" s="64"/>
      <c r="D38" s="64"/>
      <c r="E38" s="64"/>
      <c r="F38" s="64"/>
      <c r="G38" s="64"/>
      <c r="H38" s="64"/>
      <c r="I38" s="64"/>
      <c r="J38" s="64"/>
      <c r="K38" s="64"/>
      <c r="L38" s="64"/>
      <c r="M38" s="64"/>
      <c r="N38" s="64"/>
      <c r="O38" s="64"/>
      <c r="P38" s="64"/>
      <c r="Q38" s="64"/>
      <c r="R38" s="64"/>
      <c r="S38" s="64"/>
      <c r="T38" s="64"/>
      <c r="U38" s="64"/>
      <c r="V38" s="64"/>
      <c r="W38" s="64"/>
      <c r="X38" s="65"/>
      <c r="AA38" s="83"/>
      <c r="AT38" s="4"/>
      <c r="AU38" s="27">
        <f t="shared" si="92"/>
        <v>108</v>
      </c>
      <c r="AV38" s="28" t="str">
        <f t="shared" si="26"/>
        <v>(2750)</v>
      </c>
      <c r="AW38" s="19">
        <f t="shared" si="93"/>
        <v>24</v>
      </c>
      <c r="AX38" s="202"/>
      <c r="AY38" s="203"/>
      <c r="AZ38" s="204"/>
      <c r="BA38" s="204"/>
      <c r="BB38" s="204"/>
      <c r="BC38" s="204"/>
      <c r="BD38" s="204"/>
      <c r="BE38" s="204"/>
      <c r="BF38" s="204"/>
      <c r="BG38" s="205"/>
      <c r="BH38" s="202"/>
      <c r="BI38" s="203"/>
      <c r="BJ38" s="204"/>
      <c r="BK38" s="204"/>
      <c r="BL38" s="204"/>
      <c r="BM38" s="204"/>
      <c r="BN38" s="204"/>
      <c r="BO38" s="204"/>
      <c r="BP38" s="204"/>
      <c r="BQ38" s="205"/>
      <c r="BR38" s="202"/>
      <c r="BS38" s="203"/>
      <c r="BT38" s="204"/>
      <c r="BU38" s="204"/>
      <c r="BV38" s="204"/>
      <c r="BW38" s="204"/>
      <c r="BX38" s="204"/>
      <c r="BY38" s="204"/>
      <c r="BZ38" s="204"/>
      <c r="CA38" s="205"/>
      <c r="CB38" s="202"/>
      <c r="CC38" s="203"/>
      <c r="CD38" s="204"/>
      <c r="CE38" s="204"/>
      <c r="CF38" s="204"/>
      <c r="CG38" s="204"/>
      <c r="CH38" s="204"/>
      <c r="CI38" s="204"/>
      <c r="CJ38" s="204"/>
      <c r="CK38" s="205"/>
      <c r="CL38" s="202"/>
      <c r="CM38" s="203"/>
      <c r="CN38" s="204"/>
      <c r="CO38" s="204"/>
      <c r="CP38" s="204"/>
      <c r="CQ38" s="204"/>
      <c r="CR38" s="204"/>
      <c r="CS38" s="204"/>
      <c r="CT38" s="204"/>
      <c r="CU38" s="205"/>
      <c r="CV38" s="202"/>
      <c r="CW38" s="203"/>
      <c r="CX38" s="204"/>
      <c r="CY38" s="204"/>
      <c r="CZ38" s="204"/>
      <c r="DA38" s="204"/>
      <c r="DB38" s="204"/>
      <c r="DC38" s="204"/>
      <c r="DD38" s="204"/>
      <c r="DE38" s="205"/>
      <c r="DF38" s="202"/>
      <c r="DG38" s="203"/>
      <c r="DH38" s="204"/>
      <c r="DI38" s="204"/>
      <c r="DJ38" s="204"/>
      <c r="DK38" s="204"/>
      <c r="DL38" s="204"/>
      <c r="DM38" s="204"/>
      <c r="DN38" s="204"/>
      <c r="DO38" s="205"/>
      <c r="DP38" s="202"/>
      <c r="DQ38" s="203"/>
      <c r="DR38" s="204"/>
      <c r="DS38" s="204"/>
      <c r="DT38" s="204"/>
      <c r="DU38" s="204"/>
      <c r="DV38" s="204"/>
      <c r="DW38" s="204"/>
      <c r="DX38" s="204"/>
      <c r="DY38" s="205"/>
      <c r="DZ38" s="202"/>
      <c r="EA38" s="203"/>
      <c r="EB38" s="204"/>
      <c r="EC38" s="204"/>
      <c r="ED38" s="204"/>
      <c r="EE38" s="204"/>
      <c r="EF38" s="204"/>
      <c r="EG38" s="204"/>
      <c r="EH38" s="204"/>
      <c r="EI38" s="205"/>
      <c r="EJ38" s="202"/>
      <c r="EK38" s="203"/>
      <c r="EL38" s="204"/>
      <c r="EM38" s="204"/>
      <c r="EN38" s="204"/>
      <c r="EO38" s="204"/>
      <c r="EP38" s="204"/>
      <c r="EQ38" s="204"/>
      <c r="ER38" s="204"/>
      <c r="ES38" s="205"/>
      <c r="ET38" s="202"/>
      <c r="EU38" s="203"/>
      <c r="EV38" s="204"/>
      <c r="EW38" s="204"/>
      <c r="EX38" s="204"/>
      <c r="EY38" s="204"/>
      <c r="EZ38" s="204"/>
      <c r="FA38" s="204"/>
      <c r="FB38" s="204"/>
      <c r="FC38" s="205"/>
      <c r="FD38" s="31"/>
      <c r="FE38" s="31"/>
      <c r="FF38" s="32"/>
      <c r="FG38" s="32"/>
      <c r="FH38" s="32"/>
      <c r="FI38" s="32"/>
      <c r="FJ38" s="32"/>
      <c r="FK38" s="32"/>
      <c r="FL38" s="31"/>
      <c r="FM38" s="31"/>
      <c r="FN38" s="31"/>
      <c r="FO38" s="31"/>
      <c r="FP38" s="31"/>
      <c r="FQ38" s="31"/>
      <c r="FR38" s="31"/>
      <c r="FS38" s="31"/>
      <c r="FT38" s="31"/>
      <c r="FU38" s="31"/>
      <c r="FV38" s="31"/>
      <c r="FW38" s="31"/>
      <c r="FX38" s="31"/>
      <c r="FY38" s="31"/>
      <c r="FZ38" s="32"/>
      <c r="GA38" s="32"/>
      <c r="GB38" s="32"/>
      <c r="GC38" s="32"/>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2"/>
      <c r="HE38" s="32"/>
      <c r="HF38" s="32"/>
      <c r="HG38" s="32"/>
      <c r="HH38" s="32"/>
      <c r="HI38" s="32"/>
      <c r="HJ38" s="32"/>
      <c r="HK38" s="32"/>
      <c r="HL38" s="32"/>
      <c r="HM38" s="32"/>
      <c r="HN38" s="32"/>
      <c r="HO38" s="32"/>
      <c r="HP38" s="32"/>
      <c r="HQ38" s="32"/>
      <c r="HR38" s="32"/>
      <c r="HS38" s="32"/>
      <c r="HT38" s="32"/>
      <c r="HU38" s="32"/>
      <c r="HV38" s="31"/>
      <c r="HW38" s="31"/>
      <c r="HX38" s="32"/>
      <c r="HY38" s="32"/>
      <c r="HZ38" s="32"/>
      <c r="IA38" s="32"/>
      <c r="IB38" s="32"/>
      <c r="IC38" s="32"/>
      <c r="ID38" s="33"/>
      <c r="IE38" s="33"/>
      <c r="IF38" s="33"/>
      <c r="IG38" s="25">
        <v>16</v>
      </c>
      <c r="IH38" s="26">
        <v>2.0099999999999998</v>
      </c>
      <c r="II38" s="26">
        <v>2.0099999999999998</v>
      </c>
      <c r="IJ38" s="26">
        <v>1.952</v>
      </c>
      <c r="IK38" s="26">
        <v>1</v>
      </c>
      <c r="IL38" s="26">
        <v>1</v>
      </c>
      <c r="IM38" s="26">
        <v>1.125</v>
      </c>
      <c r="IN38" s="8"/>
    </row>
    <row r="39" spans="1:248" ht="15.75" thickBot="1" x14ac:dyDescent="0.3">
      <c r="B39" s="66"/>
      <c r="C39" s="64"/>
      <c r="D39" s="64"/>
      <c r="E39" s="64"/>
      <c r="F39" s="64"/>
      <c r="G39" s="64"/>
      <c r="H39" s="64"/>
      <c r="I39" s="64"/>
      <c r="J39" s="64"/>
      <c r="K39" s="64"/>
      <c r="L39" s="64"/>
      <c r="M39" s="64"/>
      <c r="N39" s="64"/>
      <c r="O39" s="64"/>
      <c r="P39" s="64"/>
      <c r="Q39" s="64"/>
      <c r="R39" s="64"/>
      <c r="S39" s="64"/>
      <c r="T39" s="64"/>
      <c r="U39" s="64"/>
      <c r="V39" s="64"/>
      <c r="W39" s="64"/>
      <c r="X39" s="65"/>
      <c r="AT39" s="4"/>
      <c r="AU39" s="27">
        <f t="shared" si="92"/>
        <v>114</v>
      </c>
      <c r="AV39" s="28" t="str">
        <f t="shared" si="26"/>
        <v>(2900)</v>
      </c>
      <c r="AW39" s="19">
        <f t="shared" si="93"/>
        <v>25</v>
      </c>
      <c r="AX39" s="202"/>
      <c r="AY39" s="203"/>
      <c r="AZ39" s="204"/>
      <c r="BA39" s="204"/>
      <c r="BB39" s="204"/>
      <c r="BC39" s="204"/>
      <c r="BD39" s="204"/>
      <c r="BE39" s="204"/>
      <c r="BF39" s="204"/>
      <c r="BG39" s="205"/>
      <c r="BH39" s="202"/>
      <c r="BI39" s="203"/>
      <c r="BJ39" s="204"/>
      <c r="BK39" s="204"/>
      <c r="BL39" s="204"/>
      <c r="BM39" s="204"/>
      <c r="BN39" s="204"/>
      <c r="BO39" s="204"/>
      <c r="BP39" s="204"/>
      <c r="BQ39" s="205"/>
      <c r="BR39" s="202"/>
      <c r="BS39" s="203"/>
      <c r="BT39" s="204"/>
      <c r="BU39" s="204"/>
      <c r="BV39" s="204"/>
      <c r="BW39" s="204"/>
      <c r="BX39" s="204"/>
      <c r="BY39" s="204"/>
      <c r="BZ39" s="204"/>
      <c r="CA39" s="205"/>
      <c r="CB39" s="202"/>
      <c r="CC39" s="203"/>
      <c r="CD39" s="204"/>
      <c r="CE39" s="204"/>
      <c r="CF39" s="204"/>
      <c r="CG39" s="204"/>
      <c r="CH39" s="204"/>
      <c r="CI39" s="204"/>
      <c r="CJ39" s="204"/>
      <c r="CK39" s="205"/>
      <c r="CL39" s="202"/>
      <c r="CM39" s="203"/>
      <c r="CN39" s="204"/>
      <c r="CO39" s="204"/>
      <c r="CP39" s="204"/>
      <c r="CQ39" s="204"/>
      <c r="CR39" s="204"/>
      <c r="CS39" s="204"/>
      <c r="CT39" s="204"/>
      <c r="CU39" s="205"/>
      <c r="CV39" s="202"/>
      <c r="CW39" s="203"/>
      <c r="CX39" s="204"/>
      <c r="CY39" s="204"/>
      <c r="CZ39" s="204"/>
      <c r="DA39" s="204"/>
      <c r="DB39" s="204"/>
      <c r="DC39" s="204"/>
      <c r="DD39" s="204"/>
      <c r="DE39" s="205"/>
      <c r="DF39" s="202"/>
      <c r="DG39" s="203"/>
      <c r="DH39" s="204"/>
      <c r="DI39" s="204"/>
      <c r="DJ39" s="204"/>
      <c r="DK39" s="204"/>
      <c r="DL39" s="204"/>
      <c r="DM39" s="204"/>
      <c r="DN39" s="204"/>
      <c r="DO39" s="205"/>
      <c r="DP39" s="202"/>
      <c r="DQ39" s="203"/>
      <c r="DR39" s="204"/>
      <c r="DS39" s="204"/>
      <c r="DT39" s="204"/>
      <c r="DU39" s="204"/>
      <c r="DV39" s="204"/>
      <c r="DW39" s="204"/>
      <c r="DX39" s="204"/>
      <c r="DY39" s="205"/>
      <c r="DZ39" s="202"/>
      <c r="EA39" s="203"/>
      <c r="EB39" s="204"/>
      <c r="EC39" s="204"/>
      <c r="ED39" s="204"/>
      <c r="EE39" s="204"/>
      <c r="EF39" s="204"/>
      <c r="EG39" s="204"/>
      <c r="EH39" s="204"/>
      <c r="EI39" s="205"/>
      <c r="EJ39" s="202"/>
      <c r="EK39" s="203"/>
      <c r="EL39" s="204"/>
      <c r="EM39" s="204"/>
      <c r="EN39" s="204"/>
      <c r="EO39" s="204"/>
      <c r="EP39" s="204"/>
      <c r="EQ39" s="204"/>
      <c r="ER39" s="204"/>
      <c r="ES39" s="205"/>
      <c r="ET39" s="202"/>
      <c r="EU39" s="203"/>
      <c r="EV39" s="204"/>
      <c r="EW39" s="204"/>
      <c r="EX39" s="204"/>
      <c r="EY39" s="204"/>
      <c r="EZ39" s="204"/>
      <c r="FA39" s="204"/>
      <c r="FB39" s="204"/>
      <c r="FC39" s="205"/>
      <c r="FD39" s="31"/>
      <c r="FE39" s="31"/>
      <c r="FF39" s="32"/>
      <c r="FG39" s="32"/>
      <c r="FH39" s="32"/>
      <c r="FI39" s="32"/>
      <c r="FJ39" s="32"/>
      <c r="FK39" s="32"/>
      <c r="FL39" s="6"/>
      <c r="FM39" s="6"/>
      <c r="FN39" s="6"/>
      <c r="FO39" s="6"/>
      <c r="FP39" s="6"/>
      <c r="FQ39" s="6"/>
      <c r="FR39" s="6"/>
      <c r="FS39" s="6"/>
      <c r="FT39" s="6"/>
      <c r="FU39" s="6"/>
      <c r="FV39" s="6"/>
      <c r="FW39" s="6"/>
      <c r="FX39" s="31"/>
      <c r="FY39" s="31"/>
      <c r="FZ39" s="32"/>
      <c r="GA39" s="32"/>
      <c r="GB39" s="32"/>
      <c r="GC39" s="32"/>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2"/>
      <c r="HE39" s="32"/>
      <c r="HF39" s="32"/>
      <c r="HG39" s="32"/>
      <c r="HH39" s="32"/>
      <c r="HI39" s="32"/>
      <c r="HJ39" s="32"/>
      <c r="HK39" s="32"/>
      <c r="HL39" s="32"/>
      <c r="HM39" s="32"/>
      <c r="HN39" s="32"/>
      <c r="HO39" s="32"/>
      <c r="HP39" s="32"/>
      <c r="HQ39" s="32"/>
      <c r="HR39" s="32"/>
      <c r="HS39" s="32"/>
      <c r="HT39" s="32"/>
      <c r="HU39" s="32"/>
      <c r="HV39" s="31"/>
      <c r="HW39" s="31"/>
      <c r="HX39" s="32"/>
      <c r="HY39" s="32"/>
      <c r="HZ39" s="32"/>
      <c r="IA39" s="32"/>
      <c r="IB39" s="32"/>
      <c r="IC39" s="32"/>
      <c r="ID39" s="33"/>
      <c r="IE39" s="33"/>
      <c r="IF39" s="33"/>
      <c r="IG39" s="25">
        <v>17</v>
      </c>
      <c r="IH39" s="26">
        <v>2.0099999999999998</v>
      </c>
      <c r="II39" s="26">
        <v>2.0099999999999998</v>
      </c>
      <c r="IJ39" s="26">
        <v>1.952</v>
      </c>
      <c r="IK39" s="26">
        <v>1</v>
      </c>
      <c r="IL39" s="26">
        <v>1</v>
      </c>
      <c r="IM39" s="26">
        <v>1.125</v>
      </c>
      <c r="IN39" s="8"/>
    </row>
    <row r="40" spans="1:248" ht="15.75" thickBot="1" x14ac:dyDescent="0.3">
      <c r="B40" s="67"/>
      <c r="C40" s="68"/>
      <c r="D40" s="68"/>
      <c r="E40" s="68"/>
      <c r="F40" s="68"/>
      <c r="G40" s="68"/>
      <c r="H40" s="68"/>
      <c r="I40" s="68"/>
      <c r="J40" s="68"/>
      <c r="K40" s="68"/>
      <c r="L40" s="68"/>
      <c r="M40" s="68"/>
      <c r="N40" s="68"/>
      <c r="O40" s="68"/>
      <c r="P40" s="68"/>
      <c r="Q40" s="68"/>
      <c r="R40" s="68"/>
      <c r="S40" s="68"/>
      <c r="T40" s="68"/>
      <c r="U40" s="68"/>
      <c r="V40" s="68"/>
      <c r="W40" s="68"/>
      <c r="X40" s="69"/>
      <c r="AT40" s="4"/>
      <c r="AU40" s="27">
        <f t="shared" si="92"/>
        <v>120</v>
      </c>
      <c r="AV40" s="28" t="str">
        <f t="shared" si="26"/>
        <v>(3050)</v>
      </c>
      <c r="AW40" s="19">
        <f t="shared" si="93"/>
        <v>26</v>
      </c>
      <c r="AX40" s="202"/>
      <c r="AY40" s="203"/>
      <c r="AZ40" s="204"/>
      <c r="BA40" s="204"/>
      <c r="BB40" s="204"/>
      <c r="BC40" s="204"/>
      <c r="BD40" s="204"/>
      <c r="BE40" s="204"/>
      <c r="BF40" s="204"/>
      <c r="BG40" s="205"/>
      <c r="BH40" s="202"/>
      <c r="BI40" s="203"/>
      <c r="BJ40" s="204"/>
      <c r="BK40" s="204"/>
      <c r="BL40" s="204"/>
      <c r="BM40" s="204"/>
      <c r="BN40" s="204"/>
      <c r="BO40" s="204"/>
      <c r="BP40" s="204"/>
      <c r="BQ40" s="205"/>
      <c r="BR40" s="202"/>
      <c r="BS40" s="203"/>
      <c r="BT40" s="204"/>
      <c r="BU40" s="204"/>
      <c r="BV40" s="204"/>
      <c r="BW40" s="204"/>
      <c r="BX40" s="204"/>
      <c r="BY40" s="204"/>
      <c r="BZ40" s="204"/>
      <c r="CA40" s="205"/>
      <c r="CB40" s="202"/>
      <c r="CC40" s="203"/>
      <c r="CD40" s="204"/>
      <c r="CE40" s="204"/>
      <c r="CF40" s="204"/>
      <c r="CG40" s="204"/>
      <c r="CH40" s="204"/>
      <c r="CI40" s="204"/>
      <c r="CJ40" s="204"/>
      <c r="CK40" s="205"/>
      <c r="CL40" s="202"/>
      <c r="CM40" s="203"/>
      <c r="CN40" s="204"/>
      <c r="CO40" s="204"/>
      <c r="CP40" s="204"/>
      <c r="CQ40" s="204"/>
      <c r="CR40" s="204"/>
      <c r="CS40" s="204"/>
      <c r="CT40" s="204"/>
      <c r="CU40" s="205"/>
      <c r="CV40" s="202"/>
      <c r="CW40" s="203"/>
      <c r="CX40" s="204"/>
      <c r="CY40" s="204"/>
      <c r="CZ40" s="204"/>
      <c r="DA40" s="204"/>
      <c r="DB40" s="204"/>
      <c r="DC40" s="204"/>
      <c r="DD40" s="204"/>
      <c r="DE40" s="205"/>
      <c r="DF40" s="202"/>
      <c r="DG40" s="203"/>
      <c r="DH40" s="204"/>
      <c r="DI40" s="204"/>
      <c r="DJ40" s="204"/>
      <c r="DK40" s="204"/>
      <c r="DL40" s="204"/>
      <c r="DM40" s="204"/>
      <c r="DN40" s="204"/>
      <c r="DO40" s="205"/>
      <c r="DP40" s="202"/>
      <c r="DQ40" s="203"/>
      <c r="DR40" s="204"/>
      <c r="DS40" s="204"/>
      <c r="DT40" s="204"/>
      <c r="DU40" s="204"/>
      <c r="DV40" s="204"/>
      <c r="DW40" s="204"/>
      <c r="DX40" s="204"/>
      <c r="DY40" s="205"/>
      <c r="DZ40" s="202"/>
      <c r="EA40" s="203"/>
      <c r="EB40" s="204"/>
      <c r="EC40" s="204"/>
      <c r="ED40" s="204"/>
      <c r="EE40" s="204"/>
      <c r="EF40" s="204"/>
      <c r="EG40" s="204"/>
      <c r="EH40" s="204"/>
      <c r="EI40" s="205"/>
      <c r="EJ40" s="202"/>
      <c r="EK40" s="203"/>
      <c r="EL40" s="204"/>
      <c r="EM40" s="204"/>
      <c r="EN40" s="204"/>
      <c r="EO40" s="204"/>
      <c r="EP40" s="204"/>
      <c r="EQ40" s="204"/>
      <c r="ER40" s="204"/>
      <c r="ES40" s="205"/>
      <c r="ET40" s="202"/>
      <c r="EU40" s="203"/>
      <c r="EV40" s="204"/>
      <c r="EW40" s="204"/>
      <c r="EX40" s="204"/>
      <c r="EY40" s="204"/>
      <c r="EZ40" s="204"/>
      <c r="FA40" s="204"/>
      <c r="FB40" s="204"/>
      <c r="FC40" s="205"/>
      <c r="FD40" s="31"/>
      <c r="FE40" s="31"/>
      <c r="FF40" s="32"/>
      <c r="FG40" s="32"/>
      <c r="FH40" s="34"/>
      <c r="FI40" s="32"/>
      <c r="FJ40" s="34"/>
      <c r="FK40" s="32"/>
      <c r="FL40" s="31"/>
      <c r="FM40" s="31"/>
      <c r="FN40" s="31"/>
      <c r="FO40" s="31"/>
      <c r="FP40" s="31"/>
      <c r="FQ40" s="31"/>
      <c r="FR40" s="31"/>
      <c r="FS40" s="31"/>
      <c r="FT40" s="31"/>
      <c r="FU40" s="31"/>
      <c r="FV40" s="31"/>
      <c r="FW40" s="31"/>
      <c r="FX40" s="31"/>
      <c r="FY40" s="31"/>
      <c r="FZ40" s="32"/>
      <c r="GA40" s="32"/>
      <c r="GB40" s="34"/>
      <c r="GC40" s="32"/>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2"/>
      <c r="HE40" s="32"/>
      <c r="HF40" s="34"/>
      <c r="HG40" s="32"/>
      <c r="HH40" s="32"/>
      <c r="HI40" s="32"/>
      <c r="HJ40" s="32"/>
      <c r="HK40" s="32"/>
      <c r="HL40" s="32"/>
      <c r="HM40" s="32"/>
      <c r="HN40" s="32"/>
      <c r="HO40" s="32"/>
      <c r="HP40" s="32"/>
      <c r="HQ40" s="32"/>
      <c r="HR40" s="32"/>
      <c r="HS40" s="32"/>
      <c r="HT40" s="32"/>
      <c r="HU40" s="32"/>
      <c r="HV40" s="31"/>
      <c r="HW40" s="31"/>
      <c r="HX40" s="32"/>
      <c r="HY40" s="32"/>
      <c r="HZ40" s="34"/>
      <c r="IA40" s="32"/>
      <c r="IB40" s="32"/>
      <c r="IC40" s="32"/>
      <c r="ID40" s="33"/>
      <c r="IE40" s="33"/>
      <c r="IF40" s="33"/>
      <c r="IG40" s="25">
        <v>18</v>
      </c>
      <c r="IH40" s="26">
        <v>2.0099999999999998</v>
      </c>
      <c r="II40" s="26">
        <v>2.0099999999999998</v>
      </c>
      <c r="IJ40" s="26">
        <v>1.952</v>
      </c>
      <c r="IK40" s="26">
        <v>1</v>
      </c>
      <c r="IL40" s="26">
        <v>1</v>
      </c>
      <c r="IM40" s="26">
        <v>1.125</v>
      </c>
      <c r="IN40" s="8"/>
    </row>
    <row r="41" spans="1:248" ht="15.75" thickBot="1" x14ac:dyDescent="0.3">
      <c r="AT41" s="35"/>
      <c r="AU41" s="36"/>
      <c r="AV41" s="36"/>
      <c r="AW41" s="36"/>
      <c r="AX41" s="37"/>
      <c r="AY41" s="38"/>
      <c r="AZ41" s="38"/>
      <c r="BA41" s="340"/>
      <c r="BB41" s="340"/>
      <c r="BC41" s="340"/>
      <c r="BD41" s="340"/>
      <c r="BE41" s="340"/>
      <c r="BF41" s="340"/>
      <c r="BG41" s="340"/>
      <c r="BH41" s="350"/>
      <c r="BI41" s="340"/>
      <c r="BJ41" s="340"/>
      <c r="BK41" s="340"/>
      <c r="BL41" s="340"/>
      <c r="BM41" s="340"/>
      <c r="BN41" s="340"/>
      <c r="BO41" s="340"/>
      <c r="BP41" s="340"/>
      <c r="BQ41" s="340"/>
      <c r="BR41" s="350"/>
      <c r="BS41" s="340"/>
      <c r="BT41" s="340"/>
      <c r="BU41" s="340"/>
      <c r="BV41" s="340"/>
      <c r="BW41" s="340"/>
      <c r="BX41" s="340"/>
      <c r="BY41" s="340"/>
      <c r="BZ41" s="340"/>
      <c r="CA41" s="340"/>
      <c r="CB41" s="350"/>
      <c r="CC41" s="340"/>
      <c r="CD41" s="340"/>
      <c r="CE41" s="340"/>
      <c r="CF41" s="340"/>
      <c r="CG41" s="340"/>
      <c r="CH41" s="340"/>
      <c r="CI41" s="340"/>
      <c r="CJ41" s="340"/>
      <c r="CK41" s="340"/>
      <c r="CL41" s="350"/>
      <c r="CM41" s="340"/>
      <c r="CN41" s="340"/>
      <c r="CO41" s="340"/>
      <c r="CP41" s="340"/>
      <c r="CQ41" s="340"/>
      <c r="CR41" s="340"/>
      <c r="CS41" s="340"/>
      <c r="CT41" s="340"/>
      <c r="CU41" s="340"/>
      <c r="CV41" s="350"/>
      <c r="CW41" s="340"/>
      <c r="CX41" s="38"/>
      <c r="CY41" s="38"/>
      <c r="CZ41" s="38"/>
      <c r="DA41" s="38"/>
      <c r="DB41" s="38"/>
      <c r="DC41" s="38"/>
      <c r="DD41" s="38"/>
      <c r="DE41" s="38"/>
      <c r="DF41" s="37"/>
      <c r="DG41" s="38"/>
      <c r="DH41" s="38"/>
      <c r="DI41" s="38"/>
      <c r="DJ41" s="38"/>
      <c r="DK41" s="38"/>
      <c r="DL41" s="38"/>
      <c r="DM41" s="38"/>
      <c r="DN41" s="38"/>
      <c r="DO41" s="38"/>
      <c r="DP41" s="37"/>
      <c r="DQ41" s="38"/>
      <c r="DR41" s="38"/>
      <c r="DS41" s="38"/>
      <c r="DT41" s="38"/>
      <c r="DU41" s="38"/>
      <c r="DV41" s="38"/>
      <c r="DW41" s="38"/>
      <c r="DX41" s="38"/>
      <c r="DY41" s="38"/>
      <c r="DZ41" s="37"/>
      <c r="EA41" s="38"/>
      <c r="EB41" s="38"/>
      <c r="EC41" s="38"/>
      <c r="ED41" s="38"/>
      <c r="EE41" s="38"/>
      <c r="EF41" s="38"/>
      <c r="EG41" s="38"/>
      <c r="EH41" s="38"/>
      <c r="EI41" s="38"/>
      <c r="EJ41" s="37"/>
      <c r="EK41" s="38"/>
      <c r="EL41" s="38"/>
      <c r="EM41" s="38"/>
      <c r="EN41" s="38"/>
      <c r="EO41" s="38"/>
      <c r="EP41" s="38"/>
      <c r="EQ41" s="38"/>
      <c r="ER41" s="38"/>
      <c r="ES41" s="38"/>
      <c r="ET41" s="37"/>
      <c r="EU41" s="38"/>
      <c r="EV41" s="38"/>
      <c r="EW41" s="38"/>
      <c r="EX41" s="38"/>
      <c r="EY41" s="38"/>
      <c r="EZ41" s="38"/>
      <c r="FA41" s="38"/>
      <c r="FB41" s="38"/>
      <c r="FC41" s="38"/>
      <c r="FD41" s="37"/>
      <c r="FE41" s="38"/>
      <c r="FF41" s="38"/>
      <c r="FG41" s="38"/>
      <c r="FH41" s="38"/>
      <c r="FI41" s="38"/>
      <c r="FJ41" s="38"/>
      <c r="FK41" s="38"/>
      <c r="FL41" s="268"/>
      <c r="FM41" s="268"/>
      <c r="FN41" s="268"/>
      <c r="FO41" s="268"/>
      <c r="FP41" s="268"/>
      <c r="FQ41" s="268"/>
      <c r="FR41" s="268"/>
      <c r="FS41" s="268"/>
      <c r="FT41" s="268"/>
      <c r="FU41" s="268"/>
      <c r="FV41" s="268"/>
      <c r="FW41" s="268"/>
      <c r="FX41" s="37"/>
      <c r="FY41" s="38"/>
      <c r="FZ41" s="38"/>
      <c r="GA41" s="38"/>
      <c r="GB41" s="38"/>
      <c r="GC41" s="3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37"/>
      <c r="HC41" s="38"/>
      <c r="HD41" s="38"/>
      <c r="HE41" s="38"/>
      <c r="HF41" s="38"/>
      <c r="HG41" s="38"/>
      <c r="HH41" s="38"/>
      <c r="HI41" s="38"/>
      <c r="HJ41" s="269"/>
      <c r="HK41" s="269"/>
      <c r="HL41" s="269"/>
      <c r="HM41" s="269"/>
      <c r="HN41" s="269"/>
      <c r="HO41" s="269"/>
      <c r="HP41" s="269"/>
      <c r="HQ41" s="269"/>
      <c r="HR41" s="269"/>
      <c r="HS41" s="269"/>
      <c r="HT41" s="269"/>
      <c r="HU41" s="269"/>
      <c r="HV41" s="37"/>
      <c r="HW41" s="38"/>
      <c r="HX41" s="38"/>
      <c r="HY41" s="38"/>
      <c r="HZ41" s="38"/>
      <c r="IA41" s="38"/>
      <c r="IB41" s="38"/>
      <c r="IC41" s="38"/>
      <c r="ID41" s="36"/>
      <c r="IE41" s="36"/>
      <c r="IF41" s="351"/>
      <c r="IG41" s="36"/>
      <c r="IH41" s="36"/>
      <c r="II41" s="36"/>
      <c r="IJ41" s="36"/>
      <c r="IK41" s="36"/>
      <c r="IL41" s="36"/>
      <c r="IM41" s="36"/>
      <c r="IN41" s="39"/>
    </row>
    <row r="42" spans="1:248" ht="15.75" thickTop="1" x14ac:dyDescent="0.25">
      <c r="AG42" s="178"/>
    </row>
    <row r="43" spans="1:248" ht="15.75" thickBot="1" x14ac:dyDescent="0.3"/>
    <row r="44" spans="1:248" ht="24" thickBot="1" x14ac:dyDescent="0.4">
      <c r="A44" s="3"/>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1"/>
      <c r="CR44" s="74"/>
    </row>
    <row r="45" spans="1:248" ht="19.5" thickBot="1" x14ac:dyDescent="0.35">
      <c r="A45" s="3"/>
      <c r="B45" s="320" t="s">
        <v>41</v>
      </c>
      <c r="C45" s="147" t="e">
        <f>C9</f>
        <v>#VALUE!</v>
      </c>
      <c r="D45" s="73"/>
      <c r="E45" s="73"/>
      <c r="F45" s="73"/>
      <c r="G45" s="73"/>
      <c r="H45" s="73"/>
      <c r="I45" s="73"/>
      <c r="J45" s="73"/>
      <c r="K45" s="73"/>
      <c r="L45" s="273"/>
      <c r="N45" s="879" t="s">
        <v>191</v>
      </c>
      <c r="O45" s="151"/>
      <c r="P45" s="95"/>
      <c r="Q45" s="251">
        <v>12</v>
      </c>
      <c r="R45" s="157">
        <f t="shared" ref="R45:AI45" si="98">Q45+6</f>
        <v>18</v>
      </c>
      <c r="S45" s="157">
        <f t="shared" si="98"/>
        <v>24</v>
      </c>
      <c r="T45" s="157">
        <f t="shared" si="98"/>
        <v>30</v>
      </c>
      <c r="U45" s="157">
        <f t="shared" si="98"/>
        <v>36</v>
      </c>
      <c r="V45" s="157">
        <f t="shared" si="98"/>
        <v>42</v>
      </c>
      <c r="W45" s="157">
        <f t="shared" si="98"/>
        <v>48</v>
      </c>
      <c r="X45" s="157">
        <f t="shared" si="98"/>
        <v>54</v>
      </c>
      <c r="Y45" s="157">
        <f t="shared" si="98"/>
        <v>60</v>
      </c>
      <c r="Z45" s="157">
        <f t="shared" si="98"/>
        <v>66</v>
      </c>
      <c r="AA45" s="157">
        <f t="shared" si="98"/>
        <v>72</v>
      </c>
      <c r="AB45" s="157">
        <f t="shared" si="98"/>
        <v>78</v>
      </c>
      <c r="AC45" s="157">
        <f t="shared" si="98"/>
        <v>84</v>
      </c>
      <c r="AD45" s="157">
        <f t="shared" si="98"/>
        <v>90</v>
      </c>
      <c r="AE45" s="157">
        <f t="shared" si="98"/>
        <v>96</v>
      </c>
      <c r="AF45" s="157">
        <f t="shared" si="98"/>
        <v>102</v>
      </c>
      <c r="AG45" s="157">
        <f t="shared" si="98"/>
        <v>108</v>
      </c>
      <c r="AH45" s="157">
        <f t="shared" si="98"/>
        <v>114</v>
      </c>
      <c r="AI45" s="157">
        <f t="shared" si="98"/>
        <v>120</v>
      </c>
      <c r="AJ45" s="150"/>
      <c r="AK45" s="150"/>
      <c r="AL45" s="150"/>
      <c r="AM45" s="150"/>
      <c r="AN45" s="150"/>
      <c r="AO45" s="150"/>
      <c r="AP45" s="158"/>
    </row>
    <row r="46" spans="1:248" ht="18.75" customHeight="1" thickBot="1" x14ac:dyDescent="0.35">
      <c r="A46" s="3"/>
      <c r="B46" s="110" t="s">
        <v>42</v>
      </c>
      <c r="C46" s="148" t="e">
        <f>F9</f>
        <v>#VALUE!</v>
      </c>
      <c r="E46" s="71"/>
      <c r="F46" s="71"/>
      <c r="G46" s="71"/>
      <c r="H46" s="71"/>
      <c r="I46" s="71"/>
      <c r="J46" s="71"/>
      <c r="K46" s="71"/>
      <c r="L46" s="75"/>
      <c r="N46" s="880"/>
      <c r="O46" s="67"/>
      <c r="P46" s="300">
        <v>1</v>
      </c>
      <c r="Q46" s="357">
        <v>2</v>
      </c>
      <c r="R46" s="358">
        <v>3</v>
      </c>
      <c r="S46" s="358">
        <v>4</v>
      </c>
      <c r="T46" s="358">
        <v>5</v>
      </c>
      <c r="U46" s="358">
        <v>6</v>
      </c>
      <c r="V46" s="358">
        <v>7</v>
      </c>
      <c r="W46" s="358">
        <v>8</v>
      </c>
      <c r="X46" s="358">
        <v>9</v>
      </c>
      <c r="Y46" s="358">
        <v>10</v>
      </c>
      <c r="Z46" s="358">
        <v>11</v>
      </c>
      <c r="AA46" s="358">
        <v>12</v>
      </c>
      <c r="AB46" s="358">
        <v>13</v>
      </c>
      <c r="AC46" s="358">
        <v>14</v>
      </c>
      <c r="AD46" s="358">
        <v>15</v>
      </c>
      <c r="AE46" s="358">
        <v>16</v>
      </c>
      <c r="AF46" s="358">
        <v>17</v>
      </c>
      <c r="AG46" s="358">
        <v>18</v>
      </c>
      <c r="AH46" s="358">
        <v>19</v>
      </c>
      <c r="AI46" s="358">
        <v>20</v>
      </c>
      <c r="AJ46" s="68"/>
      <c r="AK46" s="68"/>
      <c r="AL46" s="68"/>
      <c r="AM46" s="68"/>
      <c r="AN46" s="68"/>
      <c r="AO46" s="68"/>
      <c r="AP46" s="69"/>
    </row>
    <row r="47" spans="1:248" ht="21.75" thickBot="1" x14ac:dyDescent="0.4">
      <c r="A47" s="3"/>
      <c r="B47" s="905" t="s">
        <v>77</v>
      </c>
      <c r="C47" s="906"/>
      <c r="D47" s="71"/>
      <c r="E47" s="71"/>
      <c r="F47" s="71"/>
      <c r="G47" s="71"/>
      <c r="H47" s="71"/>
      <c r="I47" s="71"/>
      <c r="J47" s="71"/>
      <c r="K47" s="71"/>
      <c r="L47" s="75"/>
      <c r="N47" s="297"/>
      <c r="O47" s="251">
        <f>F12</f>
        <v>14.75</v>
      </c>
      <c r="P47" s="301">
        <v>2</v>
      </c>
      <c r="Q47" s="353">
        <v>6.54</v>
      </c>
      <c r="R47" s="354">
        <v>9.27</v>
      </c>
      <c r="S47" s="354">
        <v>11.96</v>
      </c>
      <c r="T47" s="354">
        <v>14.69</v>
      </c>
      <c r="U47" s="354">
        <v>17.420000000000002</v>
      </c>
      <c r="V47" s="354">
        <v>20.149999999999999</v>
      </c>
      <c r="W47" s="354">
        <v>22.88</v>
      </c>
      <c r="X47" s="354">
        <v>25.6</v>
      </c>
      <c r="Y47" s="354">
        <v>28.33</v>
      </c>
      <c r="Z47" s="354">
        <v>31.06</v>
      </c>
      <c r="AA47" s="354">
        <v>33.82</v>
      </c>
      <c r="AB47" s="338"/>
      <c r="AC47" s="338"/>
      <c r="AD47" s="338"/>
      <c r="AE47" s="338"/>
      <c r="AF47" s="338"/>
      <c r="AG47" s="338"/>
      <c r="AH47" s="338"/>
      <c r="AI47" s="338"/>
      <c r="AJ47" s="150"/>
      <c r="AK47" s="355"/>
      <c r="AL47" s="355" t="e">
        <f>D51</f>
        <v>#VALUE!</v>
      </c>
      <c r="AM47" s="356" t="e">
        <f>C45</f>
        <v>#VALUE!</v>
      </c>
      <c r="AN47" s="355" t="e">
        <f>E51</f>
        <v>#VALUE!</v>
      </c>
      <c r="AO47" s="150"/>
      <c r="AP47" s="158"/>
    </row>
    <row r="48" spans="1:248" ht="15" customHeight="1" thickBot="1" x14ac:dyDescent="0.3">
      <c r="A48" s="3"/>
      <c r="B48" s="70"/>
      <c r="D48" s="71"/>
      <c r="E48" s="71"/>
      <c r="F48" s="71"/>
      <c r="G48" s="71"/>
      <c r="H48" s="71"/>
      <c r="I48" s="71"/>
      <c r="J48" s="71"/>
      <c r="K48" s="71"/>
      <c r="L48" s="75"/>
      <c r="N48" s="298">
        <v>2.83</v>
      </c>
      <c r="O48" s="162">
        <v>18</v>
      </c>
      <c r="P48" s="302">
        <v>3</v>
      </c>
      <c r="Q48" s="336">
        <v>7.15</v>
      </c>
      <c r="R48" s="153">
        <v>9.98</v>
      </c>
      <c r="S48" s="153">
        <v>12.81</v>
      </c>
      <c r="T48" s="153">
        <f t="shared" ref="T48:AA49" si="99">S48+$N48</f>
        <v>15.64</v>
      </c>
      <c r="U48" s="153">
        <f t="shared" si="99"/>
        <v>18.47</v>
      </c>
      <c r="V48" s="153">
        <f t="shared" si="99"/>
        <v>21.299999999999997</v>
      </c>
      <c r="W48" s="153">
        <f t="shared" si="99"/>
        <v>24.129999999999995</v>
      </c>
      <c r="X48" s="153">
        <f t="shared" si="99"/>
        <v>26.959999999999994</v>
      </c>
      <c r="Y48" s="153">
        <f t="shared" si="99"/>
        <v>29.789999999999992</v>
      </c>
      <c r="Z48" s="153">
        <f t="shared" si="99"/>
        <v>32.61999999999999</v>
      </c>
      <c r="AA48" s="153">
        <f t="shared" si="99"/>
        <v>35.449999999999989</v>
      </c>
      <c r="AB48" s="206"/>
      <c r="AC48" s="206"/>
      <c r="AD48" s="206"/>
      <c r="AE48" s="206"/>
      <c r="AF48" s="206"/>
      <c r="AG48" s="206"/>
      <c r="AH48" s="206"/>
      <c r="AI48" s="206"/>
      <c r="AJ48" s="96"/>
      <c r="AK48" s="154" t="e">
        <f>H51</f>
        <v>#VALUE!</v>
      </c>
      <c r="AL48" s="155" t="e">
        <f>INDEX(P46:AI65,$H$52,$D$52)</f>
        <v>#VALUE!</v>
      </c>
      <c r="AM48" s="155" t="e">
        <f>(((AM47-AL47)/(AN47-AL47))*(AN48-AL48))+AL48</f>
        <v>#VALUE!</v>
      </c>
      <c r="AN48" s="155" t="e">
        <f>INDEX(P46:AI65,$H$52,$E$52)</f>
        <v>#VALUE!</v>
      </c>
      <c r="AO48" s="64"/>
      <c r="AP48" s="65"/>
      <c r="BZ48" s="83"/>
      <c r="CA48" s="83"/>
      <c r="CB48" s="83"/>
    </row>
    <row r="49" spans="1:80" ht="15" customHeight="1" thickBot="1" x14ac:dyDescent="0.3">
      <c r="A49" s="3"/>
      <c r="B49" s="70"/>
      <c r="C49" s="124"/>
      <c r="D49" s="125" t="s">
        <v>35</v>
      </c>
      <c r="E49" s="126"/>
      <c r="F49" s="126"/>
      <c r="G49" s="128"/>
      <c r="H49" s="125" t="s">
        <v>36</v>
      </c>
      <c r="I49" s="127"/>
      <c r="J49" s="71"/>
      <c r="K49" s="71"/>
      <c r="L49" s="75"/>
      <c r="N49" s="103">
        <v>3.69</v>
      </c>
      <c r="O49" s="162">
        <f t="shared" ref="O49:O65" si="100">O48+6</f>
        <v>24</v>
      </c>
      <c r="P49" s="302">
        <v>4</v>
      </c>
      <c r="Q49" s="336">
        <v>9.39</v>
      </c>
      <c r="R49" s="153">
        <v>13.07</v>
      </c>
      <c r="S49" s="153">
        <v>16.760000000000002</v>
      </c>
      <c r="T49" s="153">
        <f t="shared" si="99"/>
        <v>20.450000000000003</v>
      </c>
      <c r="U49" s="153">
        <f t="shared" si="99"/>
        <v>24.140000000000004</v>
      </c>
      <c r="V49" s="153">
        <f t="shared" si="99"/>
        <v>27.830000000000005</v>
      </c>
      <c r="W49" s="153">
        <f t="shared" si="99"/>
        <v>31.520000000000007</v>
      </c>
      <c r="X49" s="153">
        <f t="shared" si="99"/>
        <v>35.210000000000008</v>
      </c>
      <c r="Y49" s="153">
        <f t="shared" si="99"/>
        <v>38.900000000000006</v>
      </c>
      <c r="Z49" s="153">
        <f t="shared" si="99"/>
        <v>42.59</v>
      </c>
      <c r="AA49" s="153">
        <f t="shared" si="99"/>
        <v>46.28</v>
      </c>
      <c r="AB49" s="206"/>
      <c r="AC49" s="206"/>
      <c r="AD49" s="206"/>
      <c r="AE49" s="206"/>
      <c r="AF49" s="206"/>
      <c r="AG49" s="206"/>
      <c r="AH49" s="206"/>
      <c r="AI49" s="206"/>
      <c r="AJ49" s="64"/>
      <c r="AK49" s="154" t="e">
        <f>C46</f>
        <v>#VALUE!</v>
      </c>
      <c r="AL49" s="155" t="e">
        <f>(((AK49-AK48)/(AK50-AK48))*(AL50-AL48))+AL48</f>
        <v>#VALUE!</v>
      </c>
      <c r="AM49" s="156" t="e">
        <f>IF(AND(AM47&gt;72,AK49&gt;72),5/0,IF(AM47=120,AL49,(((AM48-AL48)/(AN48-AL48))*(AN49-AL49))+AL49))</f>
        <v>#VALUE!</v>
      </c>
      <c r="AN49" s="155" t="e">
        <f>(((AK49-AK48)/(AK50-AK48))*(AN50-AN48))+AN48</f>
        <v>#VALUE!</v>
      </c>
      <c r="AO49" s="64"/>
      <c r="AP49" s="65"/>
      <c r="BZ49" s="83"/>
      <c r="CA49" s="83"/>
      <c r="CB49" s="83"/>
    </row>
    <row r="50" spans="1:80" ht="16.5" thickBot="1" x14ac:dyDescent="0.3">
      <c r="A50" s="3"/>
      <c r="B50" s="70"/>
      <c r="C50" s="120"/>
      <c r="D50" s="121" t="s">
        <v>78</v>
      </c>
      <c r="E50" s="122" t="s">
        <v>79</v>
      </c>
      <c r="F50" s="122"/>
      <c r="G50" s="129"/>
      <c r="H50" s="121" t="s">
        <v>78</v>
      </c>
      <c r="I50" s="123" t="s">
        <v>79</v>
      </c>
      <c r="J50" s="71"/>
      <c r="K50" s="71"/>
      <c r="L50" s="75"/>
      <c r="N50" s="103">
        <v>4.55</v>
      </c>
      <c r="O50" s="162">
        <f t="shared" si="100"/>
        <v>30</v>
      </c>
      <c r="P50" s="302">
        <v>5</v>
      </c>
      <c r="Q50" s="336">
        <v>11.62</v>
      </c>
      <c r="R50" s="153">
        <v>16.170000000000002</v>
      </c>
      <c r="S50" s="153">
        <v>20.71</v>
      </c>
      <c r="T50" s="153">
        <f t="shared" ref="T50:Z61" si="101">S50+$N50</f>
        <v>25.26</v>
      </c>
      <c r="U50" s="153">
        <f t="shared" si="101"/>
        <v>29.810000000000002</v>
      </c>
      <c r="V50" s="153">
        <f t="shared" si="101"/>
        <v>34.36</v>
      </c>
      <c r="W50" s="153">
        <f t="shared" si="101"/>
        <v>38.909999999999997</v>
      </c>
      <c r="X50" s="153">
        <f t="shared" si="101"/>
        <v>43.459999999999994</v>
      </c>
      <c r="Y50" s="153">
        <f t="shared" si="101"/>
        <v>48.009999999999991</v>
      </c>
      <c r="Z50" s="153">
        <f t="shared" si="101"/>
        <v>52.559999999999988</v>
      </c>
      <c r="AA50" s="153">
        <v>57.04</v>
      </c>
      <c r="AB50" s="206"/>
      <c r="AC50" s="206"/>
      <c r="AD50" s="206"/>
      <c r="AE50" s="206"/>
      <c r="AF50" s="206"/>
      <c r="AG50" s="206"/>
      <c r="AH50" s="206"/>
      <c r="AI50" s="206"/>
      <c r="AJ50" s="64"/>
      <c r="AK50" s="154" t="e">
        <f>I51</f>
        <v>#VALUE!</v>
      </c>
      <c r="AL50" s="155" t="e">
        <f>INDEX(P46:AI65,$I$52,$D$52)</f>
        <v>#VALUE!</v>
      </c>
      <c r="AM50" s="155" t="e">
        <f>(((AM47-AL47)/(AN47-AL47))*(AN50-AL50))+AL50</f>
        <v>#VALUE!</v>
      </c>
      <c r="AN50" s="155" t="e">
        <f>INDEX(P46:AI65,$I$52,$E$52)</f>
        <v>#VALUE!</v>
      </c>
      <c r="AO50" s="64"/>
      <c r="AP50" s="65"/>
      <c r="BZ50" s="83"/>
      <c r="CA50" s="83"/>
      <c r="CB50" s="83"/>
    </row>
    <row r="51" spans="1:80" ht="15.75" thickBot="1" x14ac:dyDescent="0.3">
      <c r="A51" s="3"/>
      <c r="B51" s="70"/>
      <c r="C51" s="118"/>
      <c r="D51" s="116" t="e">
        <f>FLOOR(C45/6,1)*6</f>
        <v>#VALUE!</v>
      </c>
      <c r="E51" s="112" t="e">
        <f>D51+6</f>
        <v>#VALUE!</v>
      </c>
      <c r="F51" s="112"/>
      <c r="G51" s="130"/>
      <c r="H51" s="116" t="e">
        <f>IF(AND(C46&lt;18,C46&gt;=F12),F12,FLOOR(C46/6,1)*6)</f>
        <v>#VALUE!</v>
      </c>
      <c r="I51" s="113" t="e">
        <f>IF(H51&lt;18,18,H51+6)</f>
        <v>#VALUE!</v>
      </c>
      <c r="J51" s="71"/>
      <c r="K51" s="71"/>
      <c r="L51" s="75"/>
      <c r="N51" s="103">
        <v>5.4</v>
      </c>
      <c r="O51" s="162">
        <f t="shared" si="100"/>
        <v>36</v>
      </c>
      <c r="P51" s="302">
        <v>6</v>
      </c>
      <c r="Q51" s="336">
        <v>13.86</v>
      </c>
      <c r="R51" s="153">
        <v>19.260000000000002</v>
      </c>
      <c r="S51" s="153">
        <v>24.66</v>
      </c>
      <c r="T51" s="153">
        <f t="shared" si="101"/>
        <v>30.060000000000002</v>
      </c>
      <c r="U51" s="153">
        <f t="shared" si="101"/>
        <v>35.46</v>
      </c>
      <c r="V51" s="153">
        <f t="shared" si="101"/>
        <v>40.86</v>
      </c>
      <c r="W51" s="153">
        <f t="shared" si="101"/>
        <v>46.26</v>
      </c>
      <c r="X51" s="153">
        <f t="shared" si="101"/>
        <v>51.66</v>
      </c>
      <c r="Y51" s="153">
        <f t="shared" si="101"/>
        <v>57.059999999999995</v>
      </c>
      <c r="Z51" s="153">
        <f t="shared" si="101"/>
        <v>62.459999999999994</v>
      </c>
      <c r="AA51" s="153">
        <v>67.83</v>
      </c>
      <c r="AB51" s="206"/>
      <c r="AC51" s="206"/>
      <c r="AD51" s="206"/>
      <c r="AE51" s="206"/>
      <c r="AF51" s="206"/>
      <c r="AG51" s="206"/>
      <c r="AH51" s="206"/>
      <c r="AI51" s="206"/>
      <c r="AJ51" s="64"/>
      <c r="AK51" s="64"/>
      <c r="AL51" s="64"/>
      <c r="AM51" s="64"/>
      <c r="AN51" s="64"/>
      <c r="AO51" s="64"/>
      <c r="AP51" s="65"/>
      <c r="BZ51" s="83"/>
      <c r="CA51" s="83"/>
      <c r="CB51" s="83"/>
    </row>
    <row r="52" spans="1:80" ht="24" thickBot="1" x14ac:dyDescent="0.4">
      <c r="A52" s="3"/>
      <c r="B52" s="70"/>
      <c r="C52" s="118" t="s">
        <v>37</v>
      </c>
      <c r="D52" s="116" t="e">
        <f>HLOOKUP(D51,C17:V18,2)</f>
        <v>#VALUE!</v>
      </c>
      <c r="E52" s="112" t="e">
        <f>HLOOKUP(E51,C17:V18,2)</f>
        <v>#VALUE!</v>
      </c>
      <c r="F52" s="112"/>
      <c r="G52" s="130" t="s">
        <v>38</v>
      </c>
      <c r="H52" s="116" t="e">
        <f>VLOOKUP(H51,B18:C37,2)</f>
        <v>#VALUE!</v>
      </c>
      <c r="I52" s="113" t="e">
        <f>VLOOKUP(I51,B18:C37,2)</f>
        <v>#VALUE!</v>
      </c>
      <c r="J52" s="71"/>
      <c r="K52" s="71"/>
      <c r="L52" s="75"/>
      <c r="N52" s="103">
        <v>6.25</v>
      </c>
      <c r="O52" s="162">
        <f t="shared" si="100"/>
        <v>42</v>
      </c>
      <c r="P52" s="302">
        <v>7</v>
      </c>
      <c r="Q52" s="336">
        <v>16.100000000000001</v>
      </c>
      <c r="R52" s="153">
        <v>22.35</v>
      </c>
      <c r="S52" s="153">
        <v>28.6</v>
      </c>
      <c r="T52" s="153">
        <f t="shared" si="101"/>
        <v>34.85</v>
      </c>
      <c r="U52" s="153">
        <f t="shared" si="101"/>
        <v>41.1</v>
      </c>
      <c r="V52" s="153">
        <f t="shared" si="101"/>
        <v>47.35</v>
      </c>
      <c r="W52" s="153">
        <f t="shared" si="101"/>
        <v>53.6</v>
      </c>
      <c r="X52" s="153">
        <f t="shared" si="101"/>
        <v>59.85</v>
      </c>
      <c r="Y52" s="153">
        <f t="shared" si="101"/>
        <v>66.099999999999994</v>
      </c>
      <c r="Z52" s="153">
        <f t="shared" si="101"/>
        <v>72.349999999999994</v>
      </c>
      <c r="AA52" s="153">
        <v>78.63</v>
      </c>
      <c r="AB52" s="206"/>
      <c r="AC52" s="206"/>
      <c r="AD52" s="206"/>
      <c r="AE52" s="206"/>
      <c r="AF52" s="206"/>
      <c r="AG52" s="206"/>
      <c r="AH52" s="206"/>
      <c r="AI52" s="206"/>
      <c r="AJ52" s="64"/>
      <c r="AK52" s="64"/>
      <c r="AL52" s="64"/>
      <c r="AM52" s="64"/>
      <c r="AN52" s="64"/>
      <c r="AO52" s="64"/>
      <c r="AP52" s="65"/>
      <c r="AR52" s="495"/>
      <c r="AS52" s="496"/>
      <c r="BJ52" s="316"/>
      <c r="BK52" s="316"/>
      <c r="BL52" s="316"/>
      <c r="BM52" s="316"/>
      <c r="BN52" s="316"/>
      <c r="BO52" s="316"/>
      <c r="BP52" s="316"/>
      <c r="BQ52" s="324"/>
      <c r="BZ52" s="83"/>
      <c r="CA52" s="83"/>
      <c r="CB52" s="83"/>
    </row>
    <row r="53" spans="1:80" ht="15.75" thickBot="1" x14ac:dyDescent="0.3">
      <c r="A53" s="3"/>
      <c r="B53" s="70"/>
      <c r="C53" s="119"/>
      <c r="D53" s="117"/>
      <c r="E53" s="114"/>
      <c r="F53" s="114"/>
      <c r="G53" s="131"/>
      <c r="H53" s="117"/>
      <c r="I53" s="115"/>
      <c r="J53" s="71"/>
      <c r="K53" s="71"/>
      <c r="L53" s="75"/>
      <c r="N53" s="103">
        <v>7.11</v>
      </c>
      <c r="O53" s="162">
        <f t="shared" si="100"/>
        <v>48</v>
      </c>
      <c r="P53" s="302">
        <v>8</v>
      </c>
      <c r="Q53" s="336">
        <v>18.329999999999998</v>
      </c>
      <c r="R53" s="153">
        <v>25.44</v>
      </c>
      <c r="S53" s="153">
        <v>32.549999999999997</v>
      </c>
      <c r="T53" s="153">
        <f t="shared" si="101"/>
        <v>39.659999999999997</v>
      </c>
      <c r="U53" s="153">
        <f t="shared" si="101"/>
        <v>46.769999999999996</v>
      </c>
      <c r="V53" s="153">
        <f t="shared" si="101"/>
        <v>53.879999999999995</v>
      </c>
      <c r="W53" s="153">
        <f t="shared" si="101"/>
        <v>60.989999999999995</v>
      </c>
      <c r="X53" s="153">
        <f t="shared" si="101"/>
        <v>68.099999999999994</v>
      </c>
      <c r="Y53" s="153">
        <f t="shared" si="101"/>
        <v>75.209999999999994</v>
      </c>
      <c r="Z53" s="153">
        <f t="shared" si="101"/>
        <v>82.32</v>
      </c>
      <c r="AA53" s="153">
        <v>89.42</v>
      </c>
      <c r="AB53" s="206"/>
      <c r="AC53" s="206"/>
      <c r="AD53" s="206"/>
      <c r="AE53" s="206"/>
      <c r="AF53" s="206"/>
      <c r="AG53" s="206"/>
      <c r="AH53" s="206"/>
      <c r="AI53" s="206"/>
      <c r="AJ53" s="64"/>
      <c r="AK53" s="64"/>
      <c r="AL53" s="64"/>
      <c r="AM53" s="64"/>
      <c r="AN53" s="64"/>
      <c r="AO53" s="64"/>
      <c r="AP53" s="65"/>
      <c r="BJ53" s="47"/>
      <c r="BK53" s="47"/>
      <c r="BL53" s="47"/>
      <c r="BM53" s="47"/>
      <c r="BN53" s="47"/>
      <c r="BO53" s="47"/>
      <c r="BP53" s="47"/>
      <c r="BQ53" s="278"/>
      <c r="BZ53" s="83"/>
      <c r="CA53" s="83"/>
      <c r="CB53" s="83"/>
    </row>
    <row r="54" spans="1:80" ht="15.75" thickBot="1" x14ac:dyDescent="0.3">
      <c r="A54" s="3"/>
      <c r="B54" s="70"/>
      <c r="C54" s="71"/>
      <c r="D54" s="71"/>
      <c r="E54" s="71"/>
      <c r="F54" s="71"/>
      <c r="G54" s="71"/>
      <c r="H54" s="71"/>
      <c r="I54" s="71"/>
      <c r="J54" s="71"/>
      <c r="K54" s="71"/>
      <c r="L54" s="75"/>
      <c r="N54" s="103">
        <v>7.97</v>
      </c>
      <c r="O54" s="162">
        <f t="shared" si="100"/>
        <v>54</v>
      </c>
      <c r="P54" s="302">
        <v>9</v>
      </c>
      <c r="Q54" s="336">
        <v>20.57</v>
      </c>
      <c r="R54" s="153">
        <v>28.54</v>
      </c>
      <c r="S54" s="153">
        <v>36.5</v>
      </c>
      <c r="T54" s="153">
        <f t="shared" si="101"/>
        <v>44.47</v>
      </c>
      <c r="U54" s="153">
        <f t="shared" si="101"/>
        <v>52.44</v>
      </c>
      <c r="V54" s="153">
        <f t="shared" si="101"/>
        <v>60.41</v>
      </c>
      <c r="W54" s="153">
        <f t="shared" si="101"/>
        <v>68.38</v>
      </c>
      <c r="X54" s="153">
        <f t="shared" si="101"/>
        <v>76.349999999999994</v>
      </c>
      <c r="Y54" s="153">
        <f t="shared" si="101"/>
        <v>84.32</v>
      </c>
      <c r="Z54" s="153">
        <f t="shared" si="101"/>
        <v>92.289999999999992</v>
      </c>
      <c r="AA54" s="153">
        <v>100.21</v>
      </c>
      <c r="AB54" s="206"/>
      <c r="AC54" s="206"/>
      <c r="AD54" s="206"/>
      <c r="AE54" s="206"/>
      <c r="AF54" s="206"/>
      <c r="AG54" s="206"/>
      <c r="AH54" s="206"/>
      <c r="AI54" s="206"/>
      <c r="AJ54" s="64"/>
      <c r="AK54" s="64"/>
      <c r="AL54" s="64"/>
      <c r="AM54" s="64"/>
      <c r="AN54" s="64"/>
      <c r="AO54" s="64"/>
      <c r="AP54" s="65"/>
      <c r="BJ54" s="47"/>
      <c r="BK54" s="47"/>
      <c r="BL54" s="47"/>
      <c r="BM54" s="47"/>
      <c r="BN54" s="47"/>
      <c r="BO54" s="47"/>
      <c r="BP54" s="47"/>
      <c r="BQ54" s="278"/>
      <c r="BZ54" s="83"/>
      <c r="CA54" s="83"/>
      <c r="CB54" s="83"/>
    </row>
    <row r="55" spans="1:80" ht="21.75" thickBot="1" x14ac:dyDescent="0.4">
      <c r="A55" s="3"/>
      <c r="B55" s="111" t="s">
        <v>71</v>
      </c>
      <c r="C55" s="71"/>
      <c r="E55" s="71"/>
      <c r="F55" s="71"/>
      <c r="G55" s="71"/>
      <c r="H55" s="71"/>
      <c r="I55" s="71"/>
      <c r="J55" s="71"/>
      <c r="K55" s="71"/>
      <c r="L55" s="75"/>
      <c r="N55" s="103">
        <v>8.82</v>
      </c>
      <c r="O55" s="162">
        <f t="shared" si="100"/>
        <v>60</v>
      </c>
      <c r="P55" s="302">
        <v>10</v>
      </c>
      <c r="Q55" s="336">
        <v>22.81</v>
      </c>
      <c r="R55" s="153">
        <v>31.63</v>
      </c>
      <c r="S55" s="153">
        <v>40.450000000000003</v>
      </c>
      <c r="T55" s="153">
        <f t="shared" si="101"/>
        <v>49.27</v>
      </c>
      <c r="U55" s="153">
        <f t="shared" si="101"/>
        <v>58.09</v>
      </c>
      <c r="V55" s="153">
        <f t="shared" si="101"/>
        <v>66.91</v>
      </c>
      <c r="W55" s="153">
        <f t="shared" si="101"/>
        <v>75.72999999999999</v>
      </c>
      <c r="X55" s="153">
        <f t="shared" si="101"/>
        <v>84.549999999999983</v>
      </c>
      <c r="Y55" s="153">
        <f t="shared" si="101"/>
        <v>93.369999999999976</v>
      </c>
      <c r="Z55" s="153">
        <f t="shared" si="101"/>
        <v>102.18999999999997</v>
      </c>
      <c r="AA55" s="153">
        <v>111</v>
      </c>
      <c r="AB55" s="206"/>
      <c r="AC55" s="206"/>
      <c r="AD55" s="206"/>
      <c r="AE55" s="206"/>
      <c r="AF55" s="206"/>
      <c r="AG55" s="206"/>
      <c r="AH55" s="206"/>
      <c r="AI55" s="206"/>
      <c r="AJ55" s="64"/>
      <c r="AK55" s="64"/>
      <c r="AL55" s="64"/>
      <c r="AM55" s="64"/>
      <c r="AN55" s="64"/>
      <c r="AO55" s="64"/>
      <c r="AP55" s="65"/>
      <c r="AU55" s="175"/>
      <c r="BJ55" s="47"/>
      <c r="BK55" s="47"/>
      <c r="BL55" s="47"/>
      <c r="BM55" s="47"/>
      <c r="BN55" s="47"/>
      <c r="BO55" s="47"/>
      <c r="BP55" s="47"/>
      <c r="BQ55" s="278"/>
      <c r="BZ55" s="83"/>
      <c r="CA55" s="83"/>
      <c r="CB55" s="83"/>
    </row>
    <row r="56" spans="1:80" ht="16.5" thickBot="1" x14ac:dyDescent="0.3">
      <c r="A56" s="3"/>
      <c r="B56" s="70"/>
      <c r="C56" s="71"/>
      <c r="D56" s="109"/>
      <c r="E56" s="109" t="e">
        <f>D51</f>
        <v>#VALUE!</v>
      </c>
      <c r="F56" s="132" t="e">
        <f>C45</f>
        <v>#VALUE!</v>
      </c>
      <c r="G56" s="109" t="e">
        <f>E51</f>
        <v>#VALUE!</v>
      </c>
      <c r="H56" s="71"/>
      <c r="I56" s="71"/>
      <c r="J56" s="71"/>
      <c r="K56" s="71"/>
      <c r="L56" s="75"/>
      <c r="N56" s="103">
        <v>9.68</v>
      </c>
      <c r="O56" s="162">
        <f t="shared" si="100"/>
        <v>66</v>
      </c>
      <c r="P56" s="302">
        <v>11</v>
      </c>
      <c r="Q56" s="336">
        <v>25.04</v>
      </c>
      <c r="R56" s="153">
        <v>34.72</v>
      </c>
      <c r="S56" s="153">
        <v>44.39</v>
      </c>
      <c r="T56" s="153">
        <f t="shared" si="101"/>
        <v>54.07</v>
      </c>
      <c r="U56" s="153">
        <f t="shared" si="101"/>
        <v>63.75</v>
      </c>
      <c r="V56" s="153">
        <f t="shared" si="101"/>
        <v>73.430000000000007</v>
      </c>
      <c r="W56" s="153">
        <f t="shared" si="101"/>
        <v>83.110000000000014</v>
      </c>
      <c r="X56" s="153">
        <f t="shared" si="101"/>
        <v>92.79000000000002</v>
      </c>
      <c r="Y56" s="153">
        <f t="shared" si="101"/>
        <v>102.47000000000003</v>
      </c>
      <c r="Z56" s="153">
        <f t="shared" si="101"/>
        <v>112.15000000000003</v>
      </c>
      <c r="AA56" s="153">
        <v>121.8</v>
      </c>
      <c r="AB56" s="206"/>
      <c r="AC56" s="206"/>
      <c r="AD56" s="206"/>
      <c r="AE56" s="206"/>
      <c r="AF56" s="206"/>
      <c r="AG56" s="206"/>
      <c r="AH56" s="206"/>
      <c r="AI56" s="206"/>
      <c r="AJ56" s="64"/>
      <c r="AK56" s="64"/>
      <c r="AL56" s="270" t="s">
        <v>212</v>
      </c>
      <c r="AM56" s="64"/>
      <c r="AN56" s="153" t="e">
        <f>AM49</f>
        <v>#VALUE!</v>
      </c>
      <c r="AO56" s="64" t="s">
        <v>86</v>
      </c>
      <c r="AP56" s="65"/>
      <c r="AU56" s="175"/>
      <c r="BJ56" s="47"/>
      <c r="BK56" s="47"/>
      <c r="BL56" s="47"/>
      <c r="BM56" s="47"/>
      <c r="BN56" s="47"/>
      <c r="BO56" s="47"/>
      <c r="BP56" s="47"/>
      <c r="BQ56" s="278"/>
      <c r="BZ56" s="83"/>
      <c r="CA56" s="83"/>
      <c r="CB56" s="83"/>
    </row>
    <row r="57" spans="1:80" ht="16.5" thickBot="1" x14ac:dyDescent="0.3">
      <c r="A57" s="3"/>
      <c r="B57" s="70"/>
      <c r="C57" s="71"/>
      <c r="D57" s="109" t="e">
        <f>H51</f>
        <v>#VALUE!</v>
      </c>
      <c r="E57" s="133" t="e">
        <f>INDEX(C18:V37,$H$52,$D$52)</f>
        <v>#VALUE!</v>
      </c>
      <c r="F57" s="133" t="e">
        <f>(((F56-E56)/(G56-E56))*(G57-E57))+E57</f>
        <v>#VALUE!</v>
      </c>
      <c r="G57" s="133" t="e">
        <f>INDEX(C18:V37,$H$52,$E$52)</f>
        <v>#VALUE!</v>
      </c>
      <c r="H57" s="71"/>
      <c r="I57" s="71"/>
      <c r="J57" s="71"/>
      <c r="K57" s="71"/>
      <c r="L57" s="75"/>
      <c r="N57" s="103">
        <v>10.53</v>
      </c>
      <c r="O57" s="162">
        <f t="shared" si="100"/>
        <v>72</v>
      </c>
      <c r="P57" s="302">
        <v>12</v>
      </c>
      <c r="Q57" s="336">
        <v>27.28</v>
      </c>
      <c r="R57" s="153">
        <v>37.81</v>
      </c>
      <c r="S57" s="153">
        <v>48.34</v>
      </c>
      <c r="T57" s="153">
        <f t="shared" si="101"/>
        <v>58.870000000000005</v>
      </c>
      <c r="U57" s="153">
        <f t="shared" si="101"/>
        <v>69.400000000000006</v>
      </c>
      <c r="V57" s="153">
        <f t="shared" si="101"/>
        <v>79.930000000000007</v>
      </c>
      <c r="W57" s="153">
        <f t="shared" si="101"/>
        <v>90.460000000000008</v>
      </c>
      <c r="X57" s="153">
        <f t="shared" si="101"/>
        <v>100.99000000000001</v>
      </c>
      <c r="Y57" s="153">
        <f t="shared" si="101"/>
        <v>111.52000000000001</v>
      </c>
      <c r="Z57" s="153">
        <f t="shared" si="101"/>
        <v>122.05000000000001</v>
      </c>
      <c r="AA57" s="153">
        <v>132.59</v>
      </c>
      <c r="AB57" s="206"/>
      <c r="AC57" s="206"/>
      <c r="AD57" s="206"/>
      <c r="AE57" s="206"/>
      <c r="AF57" s="206"/>
      <c r="AG57" s="206"/>
      <c r="AH57" s="206"/>
      <c r="AI57" s="206"/>
      <c r="AJ57" s="64"/>
      <c r="AK57" s="64"/>
      <c r="AL57" s="270" t="s">
        <v>213</v>
      </c>
      <c r="AM57" s="64"/>
      <c r="AN57" s="64" t="e">
        <f>AN56*C11</f>
        <v>#VALUE!</v>
      </c>
      <c r="AO57" s="64" t="s">
        <v>86</v>
      </c>
      <c r="AP57" s="65"/>
      <c r="BJ57" s="47"/>
      <c r="BK57" s="47"/>
      <c r="BL57" s="47"/>
      <c r="BM57" s="47"/>
      <c r="BN57" s="47"/>
      <c r="BO57" s="47"/>
      <c r="BP57" s="47"/>
      <c r="BQ57" s="278"/>
      <c r="BZ57" s="83"/>
      <c r="CA57" s="83"/>
      <c r="CB57" s="83"/>
    </row>
    <row r="58" spans="1:80" ht="16.5" thickBot="1" x14ac:dyDescent="0.3">
      <c r="A58" s="3"/>
      <c r="B58" s="70"/>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11.39</v>
      </c>
      <c r="O58" s="162">
        <f t="shared" si="100"/>
        <v>78</v>
      </c>
      <c r="P58" s="302">
        <v>13</v>
      </c>
      <c r="Q58" s="336">
        <v>29.52</v>
      </c>
      <c r="R58" s="153">
        <v>40.9</v>
      </c>
      <c r="S58" s="153">
        <v>52.29</v>
      </c>
      <c r="T58" s="153">
        <f t="shared" si="101"/>
        <v>63.68</v>
      </c>
      <c r="U58" s="153">
        <f t="shared" si="101"/>
        <v>75.069999999999993</v>
      </c>
      <c r="V58" s="153">
        <f t="shared" si="101"/>
        <v>86.46</v>
      </c>
      <c r="W58" s="153">
        <f t="shared" si="101"/>
        <v>97.85</v>
      </c>
      <c r="X58" s="153">
        <f t="shared" si="101"/>
        <v>109.24</v>
      </c>
      <c r="Y58" s="153">
        <f t="shared" si="101"/>
        <v>120.63</v>
      </c>
      <c r="Z58" s="153">
        <f t="shared" si="101"/>
        <v>132.01999999999998</v>
      </c>
      <c r="AA58" s="153">
        <v>143.38</v>
      </c>
      <c r="AB58" s="206"/>
      <c r="AC58" s="206"/>
      <c r="AD58" s="206"/>
      <c r="AE58" s="206"/>
      <c r="AF58" s="206"/>
      <c r="AG58" s="206"/>
      <c r="AH58" s="206"/>
      <c r="AI58" s="206"/>
      <c r="AJ58" s="64"/>
      <c r="AK58" s="64"/>
      <c r="AL58" s="64"/>
      <c r="AM58" s="64"/>
      <c r="AN58" s="64"/>
      <c r="AO58" s="64"/>
      <c r="AP58" s="65"/>
      <c r="AU58" s="175"/>
      <c r="BJ58" s="47"/>
      <c r="BK58" s="47"/>
      <c r="BL58" s="47"/>
      <c r="BM58" s="47"/>
      <c r="BN58" s="47"/>
      <c r="BO58" s="47"/>
      <c r="BP58" s="47"/>
      <c r="BQ58" s="278"/>
      <c r="BZ58" s="83"/>
      <c r="CA58" s="83"/>
      <c r="CB58" s="83"/>
    </row>
    <row r="59" spans="1:80" ht="16.5" thickBot="1" x14ac:dyDescent="0.3">
      <c r="A59" s="3"/>
      <c r="B59" s="70"/>
      <c r="C59" s="71"/>
      <c r="D59" s="109" t="e">
        <f>I51</f>
        <v>#VALUE!</v>
      </c>
      <c r="E59" s="133" t="e">
        <f>INDEX(C18:V37,$I$52,$D$52)</f>
        <v>#VALUE!</v>
      </c>
      <c r="F59" s="133" t="e">
        <f>(((F56-E56)/(G56-E56))*(G59-E59))+E59</f>
        <v>#VALUE!</v>
      </c>
      <c r="G59" s="133" t="e">
        <f>INDEX(C18:V37,$I$52,$E$52)</f>
        <v>#VALUE!</v>
      </c>
      <c r="H59" s="71"/>
      <c r="I59" s="71"/>
      <c r="J59" s="71"/>
      <c r="K59" s="71"/>
      <c r="L59" s="75"/>
      <c r="N59" s="103">
        <v>12.25</v>
      </c>
      <c r="O59" s="162">
        <f t="shared" si="100"/>
        <v>84</v>
      </c>
      <c r="P59" s="302">
        <v>14</v>
      </c>
      <c r="Q59" s="336">
        <v>31.75</v>
      </c>
      <c r="R59" s="153">
        <v>44</v>
      </c>
      <c r="S59" s="153">
        <v>56.24</v>
      </c>
      <c r="T59" s="153">
        <f t="shared" si="101"/>
        <v>68.490000000000009</v>
      </c>
      <c r="U59" s="153">
        <f t="shared" si="101"/>
        <v>80.740000000000009</v>
      </c>
      <c r="V59" s="153">
        <f t="shared" si="101"/>
        <v>92.990000000000009</v>
      </c>
      <c r="W59" s="153">
        <f t="shared" si="101"/>
        <v>105.24000000000001</v>
      </c>
      <c r="X59" s="153">
        <f t="shared" si="101"/>
        <v>117.49000000000001</v>
      </c>
      <c r="Y59" s="153">
        <f t="shared" si="101"/>
        <v>129.74</v>
      </c>
      <c r="Z59" s="153">
        <f t="shared" si="101"/>
        <v>141.99</v>
      </c>
      <c r="AA59" s="153">
        <v>154.16999999999999</v>
      </c>
      <c r="AB59" s="206"/>
      <c r="AC59" s="206"/>
      <c r="AD59" s="206"/>
      <c r="AE59" s="206"/>
      <c r="AF59" s="206"/>
      <c r="AG59" s="206"/>
      <c r="AH59" s="206"/>
      <c r="AI59" s="206"/>
      <c r="AJ59" s="64"/>
      <c r="AK59" s="64"/>
      <c r="AL59" s="64"/>
      <c r="AM59" s="64"/>
      <c r="AN59" s="64"/>
      <c r="AO59" s="64"/>
      <c r="AP59" s="97"/>
      <c r="BJ59" s="47"/>
      <c r="BK59" s="47"/>
      <c r="BL59" s="47"/>
      <c r="BM59" s="47"/>
      <c r="BN59" s="47"/>
      <c r="BO59" s="47"/>
      <c r="BP59" s="47"/>
      <c r="BQ59" s="278"/>
      <c r="BZ59" s="83"/>
      <c r="CA59" s="83"/>
      <c r="CB59" s="83"/>
    </row>
    <row r="60" spans="1:80" ht="15.75" thickBot="1" x14ac:dyDescent="0.3">
      <c r="A60" s="3"/>
      <c r="B60" s="70"/>
      <c r="C60" s="71"/>
      <c r="D60" s="71"/>
      <c r="E60" s="71"/>
      <c r="F60" s="71"/>
      <c r="G60" s="71"/>
      <c r="H60" s="71"/>
      <c r="I60" s="71"/>
      <c r="J60" s="71"/>
      <c r="K60" s="71"/>
      <c r="L60" s="75"/>
      <c r="N60" s="103">
        <v>13.1</v>
      </c>
      <c r="O60" s="162">
        <f t="shared" si="100"/>
        <v>90</v>
      </c>
      <c r="P60" s="302">
        <v>15</v>
      </c>
      <c r="Q60" s="336">
        <v>33.99</v>
      </c>
      <c r="R60" s="153">
        <v>47.09</v>
      </c>
      <c r="S60" s="153">
        <v>60.19</v>
      </c>
      <c r="T60" s="153">
        <f t="shared" si="101"/>
        <v>73.289999999999992</v>
      </c>
      <c r="U60" s="153">
        <f t="shared" si="101"/>
        <v>86.389999999999986</v>
      </c>
      <c r="V60" s="153">
        <f t="shared" si="101"/>
        <v>99.489999999999981</v>
      </c>
      <c r="W60" s="153">
        <f t="shared" si="101"/>
        <v>112.58999999999997</v>
      </c>
      <c r="X60" s="153">
        <f t="shared" si="101"/>
        <v>125.68999999999997</v>
      </c>
      <c r="Y60" s="153">
        <f t="shared" si="101"/>
        <v>138.78999999999996</v>
      </c>
      <c r="Z60" s="153">
        <f t="shared" si="101"/>
        <v>151.88999999999996</v>
      </c>
      <c r="AA60" s="153">
        <v>164.96</v>
      </c>
      <c r="AB60" s="206"/>
      <c r="AC60" s="206"/>
      <c r="AD60" s="206"/>
      <c r="AE60" s="206"/>
      <c r="AF60" s="206"/>
      <c r="AG60" s="206"/>
      <c r="AH60" s="206"/>
      <c r="AI60" s="206"/>
      <c r="AJ60" s="64"/>
      <c r="AK60" s="64"/>
      <c r="AL60" s="64"/>
      <c r="AM60" s="64"/>
      <c r="AN60" s="64"/>
      <c r="AO60" s="64"/>
      <c r="AP60" s="97"/>
      <c r="BF60" s="83"/>
      <c r="BJ60" s="47"/>
      <c r="BK60" s="47"/>
      <c r="BL60" s="47"/>
      <c r="BM60" s="47"/>
      <c r="BN60" s="47"/>
      <c r="BO60" s="47"/>
      <c r="BP60" s="47"/>
      <c r="BQ60" s="278"/>
      <c r="BX60" s="83"/>
      <c r="BY60" s="83"/>
      <c r="BZ60" s="83"/>
      <c r="CA60" s="83"/>
      <c r="CB60" s="83"/>
    </row>
    <row r="61" spans="1:80" ht="15.75" thickBot="1" x14ac:dyDescent="0.3">
      <c r="A61" s="3"/>
      <c r="B61" s="70"/>
      <c r="C61" s="71"/>
      <c r="D61" s="71"/>
      <c r="E61" s="71"/>
      <c r="F61" s="71"/>
      <c r="G61" s="71"/>
      <c r="H61" s="71"/>
      <c r="I61" s="71"/>
      <c r="J61" s="71"/>
      <c r="K61" s="71"/>
      <c r="L61" s="75"/>
      <c r="N61" s="103">
        <v>13.95</v>
      </c>
      <c r="O61" s="162">
        <f t="shared" si="100"/>
        <v>96</v>
      </c>
      <c r="P61" s="302">
        <v>16</v>
      </c>
      <c r="Q61" s="336">
        <v>36.229999999999997</v>
      </c>
      <c r="R61" s="153">
        <v>50.18</v>
      </c>
      <c r="S61" s="153">
        <v>64.13</v>
      </c>
      <c r="T61" s="153">
        <f t="shared" si="101"/>
        <v>78.08</v>
      </c>
      <c r="U61" s="153">
        <f t="shared" si="101"/>
        <v>92.03</v>
      </c>
      <c r="V61" s="153">
        <f t="shared" si="101"/>
        <v>105.98</v>
      </c>
      <c r="W61" s="153">
        <f t="shared" si="101"/>
        <v>119.93</v>
      </c>
      <c r="X61" s="153">
        <f t="shared" si="101"/>
        <v>133.88</v>
      </c>
      <c r="Y61" s="153">
        <f t="shared" si="101"/>
        <v>147.82999999999998</v>
      </c>
      <c r="Z61" s="153">
        <f t="shared" si="101"/>
        <v>161.77999999999997</v>
      </c>
      <c r="AA61" s="153">
        <v>175.76</v>
      </c>
      <c r="AB61" s="206"/>
      <c r="AC61" s="206"/>
      <c r="AD61" s="206"/>
      <c r="AE61" s="206"/>
      <c r="AF61" s="206"/>
      <c r="AG61" s="206"/>
      <c r="AH61" s="206"/>
      <c r="AI61" s="206"/>
      <c r="AJ61" s="64"/>
      <c r="AK61" s="64"/>
      <c r="AL61" s="64"/>
      <c r="AM61" s="64"/>
      <c r="AN61" s="64"/>
      <c r="AO61" s="64"/>
      <c r="AP61" s="97"/>
      <c r="BF61" s="83"/>
      <c r="BJ61" s="47"/>
      <c r="BK61" s="47"/>
      <c r="BL61" s="47"/>
      <c r="BM61" s="47"/>
      <c r="BN61" s="47"/>
      <c r="BO61" s="47"/>
      <c r="BP61" s="47"/>
      <c r="BQ61" s="278"/>
      <c r="BX61" s="83"/>
      <c r="BY61" s="83"/>
      <c r="BZ61" s="83"/>
      <c r="CA61" s="83"/>
      <c r="CB61" s="83"/>
    </row>
    <row r="62" spans="1:80" ht="15.75" thickBot="1" x14ac:dyDescent="0.3">
      <c r="A62" s="3"/>
      <c r="B62" s="70"/>
      <c r="C62" s="71"/>
      <c r="D62" s="71"/>
      <c r="E62" s="71"/>
      <c r="F62" s="71"/>
      <c r="G62" s="71"/>
      <c r="H62" s="71"/>
      <c r="I62" s="71"/>
      <c r="J62" s="71"/>
      <c r="K62" s="71"/>
      <c r="L62" s="75"/>
      <c r="N62" s="103"/>
      <c r="O62" s="162">
        <f t="shared" si="100"/>
        <v>102</v>
      </c>
      <c r="P62" s="302">
        <v>17</v>
      </c>
      <c r="Q62" s="339"/>
      <c r="R62" s="206"/>
      <c r="S62" s="206"/>
      <c r="T62" s="206"/>
      <c r="U62" s="206"/>
      <c r="V62" s="206"/>
      <c r="W62" s="206"/>
      <c r="X62" s="206"/>
      <c r="Y62" s="206"/>
      <c r="Z62" s="206"/>
      <c r="AA62" s="206"/>
      <c r="AB62" s="206"/>
      <c r="AC62" s="206"/>
      <c r="AD62" s="206"/>
      <c r="AE62" s="206"/>
      <c r="AF62" s="206"/>
      <c r="AG62" s="206"/>
      <c r="AH62" s="206"/>
      <c r="AI62" s="206"/>
      <c r="AJ62" s="64"/>
      <c r="AK62" s="64"/>
      <c r="AL62" s="64"/>
      <c r="AM62" s="64"/>
      <c r="AN62" s="64"/>
      <c r="AO62" s="64"/>
      <c r="AP62" s="97"/>
      <c r="BF62" s="83"/>
      <c r="BJ62" s="47"/>
      <c r="BK62" s="47"/>
      <c r="BL62" s="47"/>
      <c r="BM62" s="47"/>
      <c r="BN62" s="47"/>
      <c r="BO62" s="47"/>
      <c r="BP62" s="47"/>
      <c r="BQ62" s="278"/>
      <c r="BX62" s="83"/>
      <c r="BY62" s="83"/>
      <c r="BZ62" s="83"/>
      <c r="CA62" s="83"/>
      <c r="CB62" s="83"/>
    </row>
    <row r="63" spans="1:80" ht="21.75" thickBot="1" x14ac:dyDescent="0.4">
      <c r="A63" s="3"/>
      <c r="B63" s="111" t="s">
        <v>80</v>
      </c>
      <c r="C63" s="71"/>
      <c r="D63" s="71"/>
      <c r="E63" s="71"/>
      <c r="F63" s="71"/>
      <c r="G63" s="71"/>
      <c r="H63" s="71"/>
      <c r="I63" s="71"/>
      <c r="J63" s="71"/>
      <c r="K63" s="71"/>
      <c r="L63" s="75"/>
      <c r="N63" s="103"/>
      <c r="O63" s="162">
        <f t="shared" si="100"/>
        <v>108</v>
      </c>
      <c r="P63" s="302">
        <v>18</v>
      </c>
      <c r="Q63" s="339"/>
      <c r="R63" s="206"/>
      <c r="S63" s="206"/>
      <c r="T63" s="206"/>
      <c r="U63" s="206"/>
      <c r="V63" s="206"/>
      <c r="W63" s="206"/>
      <c r="X63" s="206"/>
      <c r="Y63" s="206"/>
      <c r="Z63" s="206"/>
      <c r="AA63" s="206"/>
      <c r="AB63" s="206"/>
      <c r="AC63" s="206"/>
      <c r="AD63" s="206"/>
      <c r="AE63" s="206"/>
      <c r="AF63" s="206"/>
      <c r="AG63" s="206"/>
      <c r="AH63" s="206"/>
      <c r="AI63" s="206"/>
      <c r="AJ63" s="64"/>
      <c r="AK63" s="64"/>
      <c r="AL63" s="64"/>
      <c r="AM63" s="64"/>
      <c r="AN63" s="64"/>
      <c r="AO63" s="64"/>
      <c r="AP63" s="97"/>
      <c r="BF63" s="83"/>
      <c r="BJ63" s="47"/>
      <c r="BK63" s="47"/>
      <c r="BL63" s="47"/>
      <c r="BM63" s="47"/>
      <c r="BN63" s="47"/>
      <c r="BO63" s="47"/>
      <c r="BP63" s="47"/>
      <c r="BQ63" s="278"/>
      <c r="BX63" s="83"/>
      <c r="BY63" s="83"/>
      <c r="BZ63" s="83"/>
      <c r="CA63" s="83"/>
      <c r="CB63" s="83"/>
    </row>
    <row r="64" spans="1:80" ht="19.5" thickBot="1" x14ac:dyDescent="0.35">
      <c r="A64" s="3"/>
      <c r="B64" s="135" t="s">
        <v>46</v>
      </c>
      <c r="C64" s="71"/>
      <c r="D64" s="141" t="e">
        <f>F58*(D3*D4)/144</f>
        <v>#VALUE!</v>
      </c>
      <c r="E64" s="256" t="s">
        <v>45</v>
      </c>
      <c r="F64" s="71"/>
      <c r="G64" s="71"/>
      <c r="H64" s="71"/>
      <c r="I64" s="71"/>
      <c r="J64" s="71"/>
      <c r="K64" s="71"/>
      <c r="L64" s="75"/>
      <c r="N64" s="103"/>
      <c r="O64" s="162">
        <f t="shared" si="100"/>
        <v>114</v>
      </c>
      <c r="P64" s="302">
        <v>19</v>
      </c>
      <c r="Q64" s="339"/>
      <c r="R64" s="206"/>
      <c r="S64" s="206"/>
      <c r="T64" s="206"/>
      <c r="U64" s="206"/>
      <c r="V64" s="206"/>
      <c r="W64" s="206"/>
      <c r="X64" s="206"/>
      <c r="Y64" s="206"/>
      <c r="Z64" s="206"/>
      <c r="AA64" s="206"/>
      <c r="AB64" s="206"/>
      <c r="AC64" s="206"/>
      <c r="AD64" s="206"/>
      <c r="AE64" s="206"/>
      <c r="AF64" s="206"/>
      <c r="AG64" s="206"/>
      <c r="AH64" s="206"/>
      <c r="AI64" s="206"/>
      <c r="AJ64" s="64"/>
      <c r="AK64" s="64"/>
      <c r="AL64" s="64"/>
      <c r="AM64" s="64"/>
      <c r="AN64" s="64"/>
      <c r="AO64" s="64"/>
      <c r="AP64" s="97"/>
      <c r="BF64" s="83"/>
      <c r="BJ64" s="47"/>
      <c r="BK64" s="47"/>
      <c r="BL64" s="47"/>
      <c r="BM64" s="47"/>
      <c r="BN64" s="47"/>
      <c r="BO64" s="47"/>
      <c r="BP64" s="47"/>
      <c r="BQ64" s="278"/>
      <c r="BX64" s="83"/>
      <c r="BY64" s="83"/>
      <c r="BZ64" s="83"/>
      <c r="CA64" s="83"/>
      <c r="CB64" s="83"/>
    </row>
    <row r="65" spans="1:80" ht="19.5" thickBot="1" x14ac:dyDescent="0.35">
      <c r="A65" s="3"/>
      <c r="B65" s="135" t="s">
        <v>47</v>
      </c>
      <c r="C65" s="71"/>
      <c r="D65" s="142" t="e">
        <f>(D3*D4)/144</f>
        <v>#VALUE!</v>
      </c>
      <c r="E65" s="256" t="s">
        <v>45</v>
      </c>
      <c r="F65" s="71"/>
      <c r="G65" s="71"/>
      <c r="H65" s="71"/>
      <c r="I65" s="71"/>
      <c r="J65" s="71"/>
      <c r="K65" s="71"/>
      <c r="L65" s="75"/>
      <c r="N65" s="103"/>
      <c r="O65" s="162">
        <f t="shared" si="100"/>
        <v>120</v>
      </c>
      <c r="P65" s="302">
        <v>20</v>
      </c>
      <c r="Q65" s="339"/>
      <c r="R65" s="206"/>
      <c r="S65" s="206"/>
      <c r="T65" s="206"/>
      <c r="U65" s="206"/>
      <c r="V65" s="206"/>
      <c r="W65" s="206"/>
      <c r="X65" s="206"/>
      <c r="Y65" s="206"/>
      <c r="Z65" s="206"/>
      <c r="AA65" s="206"/>
      <c r="AB65" s="206"/>
      <c r="AC65" s="206"/>
      <c r="AD65" s="206"/>
      <c r="AE65" s="206"/>
      <c r="AF65" s="206"/>
      <c r="AG65" s="206"/>
      <c r="AH65" s="206"/>
      <c r="AI65" s="206"/>
      <c r="AJ65" s="64"/>
      <c r="AK65" s="64"/>
      <c r="AL65" s="64"/>
      <c r="AM65" s="64"/>
      <c r="AN65" s="64"/>
      <c r="AO65" s="64"/>
      <c r="AP65" s="97"/>
      <c r="BF65" s="83"/>
      <c r="BJ65" s="47"/>
      <c r="BK65" s="47"/>
      <c r="BL65" s="47"/>
      <c r="BM65" s="47"/>
      <c r="BN65" s="47"/>
      <c r="BO65" s="47"/>
      <c r="BP65" s="47"/>
      <c r="BQ65" s="278"/>
      <c r="BX65" s="83"/>
      <c r="BY65" s="83"/>
      <c r="BZ65" s="83"/>
      <c r="CA65" s="83"/>
      <c r="CB65" s="83"/>
    </row>
    <row r="66" spans="1:80" ht="19.5" thickBot="1" x14ac:dyDescent="0.35">
      <c r="A66" s="3"/>
      <c r="B66" s="135" t="s">
        <v>81</v>
      </c>
      <c r="C66" s="71"/>
      <c r="D66" s="138" t="e">
        <f>F58*100</f>
        <v>#VALUE!</v>
      </c>
      <c r="E66" s="256" t="s">
        <v>16</v>
      </c>
      <c r="F66" s="71"/>
      <c r="G66" s="71"/>
      <c r="H66" s="71"/>
      <c r="I66" s="71"/>
      <c r="J66" s="71"/>
      <c r="K66" s="71"/>
      <c r="L66" s="75"/>
      <c r="N66" s="103"/>
      <c r="O66" s="149"/>
      <c r="P66" s="65"/>
      <c r="Q66" s="149"/>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5"/>
      <c r="BF66" s="83"/>
      <c r="BJ66" s="47"/>
      <c r="BK66" s="47"/>
      <c r="BL66" s="47"/>
      <c r="BM66" s="47"/>
      <c r="BN66" s="47"/>
      <c r="BO66" s="47"/>
      <c r="BP66" s="47"/>
      <c r="BQ66" s="278"/>
      <c r="BX66" s="83"/>
      <c r="BY66" s="83"/>
      <c r="BZ66" s="83"/>
      <c r="CA66" s="83"/>
      <c r="CB66" s="83"/>
    </row>
    <row r="67" spans="1:80" ht="19.5" thickBot="1" x14ac:dyDescent="0.35">
      <c r="A67" s="3"/>
      <c r="B67" s="70"/>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5"/>
      <c r="BJ67" s="47"/>
      <c r="BK67" s="47"/>
      <c r="BL67" s="47"/>
      <c r="BM67" s="47"/>
      <c r="BN67" s="47"/>
      <c r="BO67" s="47"/>
      <c r="BP67" s="47"/>
      <c r="BQ67" s="278"/>
    </row>
    <row r="68" spans="1:80" ht="19.5" thickBot="1" x14ac:dyDescent="0.35">
      <c r="A68" s="3"/>
      <c r="B68" s="137" t="s">
        <v>82</v>
      </c>
      <c r="D68" s="138" t="e">
        <f>C5/D64</f>
        <v>#VALUE!</v>
      </c>
      <c r="E68" s="256" t="s">
        <v>48</v>
      </c>
      <c r="F68" s="72"/>
      <c r="G68" s="72"/>
      <c r="H68" s="72"/>
      <c r="I68" s="72"/>
      <c r="J68" s="72"/>
      <c r="K68" s="72"/>
      <c r="L68" s="81"/>
      <c r="N68" s="164"/>
      <c r="O68" s="163"/>
      <c r="P68" s="69"/>
      <c r="Q68" s="163"/>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9"/>
      <c r="BJ68" s="50"/>
      <c r="BK68" s="50"/>
      <c r="BL68" s="50"/>
      <c r="BM68" s="50"/>
      <c r="BN68" s="50"/>
      <c r="BO68" s="50"/>
      <c r="BP68" s="50"/>
      <c r="BQ68" s="279"/>
    </row>
    <row r="69" spans="1:80" ht="18.75" x14ac:dyDescent="0.3">
      <c r="A69" s="3"/>
      <c r="B69" s="152" t="s">
        <v>83</v>
      </c>
      <c r="C69" s="136" t="s">
        <v>9</v>
      </c>
      <c r="D69" s="308" t="e">
        <f>1.03083077849686E-07*D68^2 + 2.13700778602054E-06*D68 - 0.000657688127688436</f>
        <v>#VALUE!</v>
      </c>
      <c r="E69" s="256" t="s">
        <v>99</v>
      </c>
      <c r="F69" s="72"/>
      <c r="G69" s="72"/>
      <c r="H69" s="72"/>
      <c r="I69" s="72"/>
      <c r="J69" s="72"/>
      <c r="K69" s="72"/>
      <c r="L69" s="81"/>
    </row>
    <row r="70" spans="1:80" ht="18.75" x14ac:dyDescent="0.3">
      <c r="A70" s="3"/>
      <c r="B70" s="80"/>
      <c r="C70" s="136" t="s">
        <v>10</v>
      </c>
      <c r="D70" s="309" t="e">
        <f>1.03083077849686E-07*D68^2 + 2.13700778602054E-06*D68 - 0.000657688127688436</f>
        <v>#VALUE!</v>
      </c>
      <c r="E70" s="144" t="s">
        <v>99</v>
      </c>
      <c r="F70" s="72"/>
      <c r="G70" s="72"/>
      <c r="H70" s="72"/>
      <c r="I70" s="72"/>
      <c r="J70" s="72"/>
      <c r="K70" s="72"/>
      <c r="L70" s="81"/>
    </row>
    <row r="71" spans="1:80" ht="15.75" thickBot="1" x14ac:dyDescent="0.3">
      <c r="A71" s="3"/>
      <c r="B71" s="211"/>
      <c r="C71" s="76"/>
      <c r="D71" s="76"/>
      <c r="E71" s="76"/>
      <c r="F71" s="76"/>
      <c r="G71" s="76"/>
      <c r="H71" s="76"/>
      <c r="I71" s="76"/>
      <c r="J71" s="76"/>
      <c r="K71" s="76"/>
      <c r="L71" s="77"/>
    </row>
    <row r="72" spans="1:80"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1:80"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1:80" ht="15.75" thickBot="1" x14ac:dyDescent="0.3">
      <c r="N74" s="477"/>
      <c r="O74" s="480" t="s">
        <v>194</v>
      </c>
      <c r="P74" s="479"/>
      <c r="Q74" s="47"/>
      <c r="R74" s="47"/>
      <c r="S74" s="47"/>
      <c r="T74" s="47"/>
      <c r="U74" s="47"/>
      <c r="V74" s="47"/>
      <c r="W74" s="278"/>
      <c r="X74" s="178"/>
      <c r="Y74" s="48"/>
      <c r="Z74" s="47" t="s">
        <v>193</v>
      </c>
      <c r="AA74" s="47"/>
      <c r="AB74" s="47" t="e">
        <f>AN57</f>
        <v>#VALUE!</v>
      </c>
      <c r="AC74" s="47" t="s">
        <v>184</v>
      </c>
      <c r="AD74" s="47"/>
      <c r="AE74" s="47"/>
      <c r="AF74" s="47"/>
      <c r="AG74" s="47"/>
      <c r="AH74" s="47"/>
      <c r="AI74" s="47"/>
      <c r="AJ74" s="278"/>
    </row>
    <row r="75" spans="1:80" ht="15.75" thickBot="1" x14ac:dyDescent="0.3">
      <c r="N75" s="476"/>
      <c r="O75" s="47" t="s">
        <v>185</v>
      </c>
      <c r="P75" s="64">
        <v>1.8100000000000002E-2</v>
      </c>
      <c r="Q75" s="47" t="s">
        <v>182</v>
      </c>
      <c r="R75" s="47"/>
      <c r="S75" s="47"/>
      <c r="T75" s="47"/>
      <c r="U75" s="47"/>
      <c r="V75" s="47"/>
      <c r="W75" s="278"/>
      <c r="X75" s="175"/>
      <c r="Y75" s="48"/>
      <c r="Z75" s="47" t="s">
        <v>194</v>
      </c>
      <c r="AA75" s="47"/>
      <c r="AB75" s="471" t="e">
        <f>P78</f>
        <v>#VALUE!</v>
      </c>
      <c r="AC75" s="47" t="s">
        <v>184</v>
      </c>
      <c r="AD75" s="47"/>
      <c r="AE75" s="47"/>
      <c r="AF75" s="47"/>
      <c r="AG75" s="47"/>
      <c r="AH75" s="47"/>
      <c r="AI75" s="47"/>
      <c r="AJ75" s="278"/>
    </row>
    <row r="76" spans="1:80" ht="16.5" thickBot="1" x14ac:dyDescent="0.3">
      <c r="N76" s="477"/>
      <c r="O76" s="47" t="s">
        <v>195</v>
      </c>
      <c r="P76" s="64" t="e">
        <f>((2*D3)+(2*D4))</f>
        <v>#VALUE!</v>
      </c>
      <c r="Q76" s="47" t="s">
        <v>196</v>
      </c>
      <c r="R76" s="47"/>
      <c r="S76" s="47"/>
      <c r="T76" s="47"/>
      <c r="U76" s="47"/>
      <c r="V76" s="47"/>
      <c r="W76" s="278"/>
      <c r="X76" s="175"/>
      <c r="Y76" s="48"/>
      <c r="Z76" s="47" t="s">
        <v>192</v>
      </c>
      <c r="AA76" s="47"/>
      <c r="AB76" s="471" t="e">
        <f>P85</f>
        <v>#VALUE!</v>
      </c>
      <c r="AC76" s="47" t="s">
        <v>184</v>
      </c>
      <c r="AD76" s="47"/>
      <c r="AE76" s="47"/>
      <c r="AF76" s="47"/>
      <c r="AG76" s="47"/>
      <c r="AH76" s="47"/>
      <c r="AI76" s="47"/>
      <c r="AJ76" s="278"/>
      <c r="AL76" s="313"/>
      <c r="AM76" s="313"/>
      <c r="AN76" s="485"/>
      <c r="AO76" s="313"/>
    </row>
    <row r="77" spans="1:80" ht="16.5" thickBot="1" x14ac:dyDescent="0.3">
      <c r="N77" s="48"/>
      <c r="O77" s="47"/>
      <c r="P77" s="47"/>
      <c r="Q77" s="47"/>
      <c r="R77" s="47"/>
      <c r="S77" s="47"/>
      <c r="T77" s="47"/>
      <c r="U77" s="47"/>
      <c r="V77" s="47"/>
      <c r="W77" s="278"/>
      <c r="X77" s="175"/>
      <c r="Y77" s="48"/>
      <c r="Z77" s="47"/>
      <c r="AA77" s="47"/>
      <c r="AB77" s="47"/>
      <c r="AC77" s="47"/>
      <c r="AD77" s="47"/>
      <c r="AE77" s="47"/>
      <c r="AF77" s="47"/>
      <c r="AG77" s="47"/>
      <c r="AH77" s="47"/>
      <c r="AI77" s="47"/>
      <c r="AJ77" s="278"/>
      <c r="AK77" s="83"/>
      <c r="AL77" s="313"/>
      <c r="AM77" s="485"/>
      <c r="AN77" s="485"/>
      <c r="AO77" s="485"/>
    </row>
    <row r="78" spans="1:80" ht="16.5" thickBot="1" x14ac:dyDescent="0.3">
      <c r="N78" s="48"/>
      <c r="O78" s="492" t="s">
        <v>183</v>
      </c>
      <c r="P78" s="153" t="e">
        <f>P76*P75</f>
        <v>#VALUE!</v>
      </c>
      <c r="Q78" s="47" t="s">
        <v>184</v>
      </c>
      <c r="S78" s="47"/>
      <c r="T78" s="47"/>
      <c r="U78" s="47"/>
      <c r="V78" s="47"/>
      <c r="W78" s="278"/>
      <c r="X78" s="175"/>
      <c r="Y78" s="48"/>
      <c r="Z78" s="47" t="s">
        <v>91</v>
      </c>
      <c r="AA78" s="47"/>
      <c r="AB78" s="471" t="e">
        <f>AB74+AB75+AB76</f>
        <v>#VALUE!</v>
      </c>
      <c r="AC78" s="47" t="s">
        <v>184</v>
      </c>
      <c r="AD78" s="47"/>
      <c r="AE78" s="47"/>
      <c r="AF78" s="47"/>
      <c r="AG78" s="47"/>
      <c r="AH78" s="47"/>
      <c r="AI78" s="47"/>
      <c r="AJ78" s="278"/>
      <c r="AL78" s="486"/>
      <c r="AM78" s="485"/>
      <c r="AN78" s="487"/>
      <c r="AO78" s="485"/>
    </row>
    <row r="79" spans="1:80" ht="15.75" x14ac:dyDescent="0.25">
      <c r="N79" s="48"/>
      <c r="O79" s="480"/>
      <c r="P79" s="47"/>
      <c r="Q79" s="47"/>
      <c r="R79" s="47"/>
      <c r="S79" s="47"/>
      <c r="T79" s="47"/>
      <c r="U79" s="47"/>
      <c r="V79" s="47"/>
      <c r="W79" s="278"/>
      <c r="X79" s="175"/>
      <c r="Y79" s="48"/>
      <c r="Z79" s="47" t="s">
        <v>90</v>
      </c>
      <c r="AA79" s="47"/>
      <c r="AB79" s="471" t="e">
        <f>AB78/C11</f>
        <v>#VALUE!</v>
      </c>
      <c r="AC79" s="47" t="s">
        <v>184</v>
      </c>
      <c r="AD79" s="47"/>
      <c r="AE79" s="47"/>
      <c r="AF79" s="47"/>
      <c r="AG79" s="47"/>
      <c r="AH79" s="47"/>
      <c r="AI79" s="47"/>
      <c r="AJ79" s="278"/>
      <c r="AL79" s="313"/>
      <c r="AM79" s="485"/>
      <c r="AN79" s="485"/>
      <c r="AO79" s="485"/>
    </row>
    <row r="80" spans="1:80" x14ac:dyDescent="0.25">
      <c r="N80" s="48"/>
      <c r="O80" s="480"/>
      <c r="P80" s="47"/>
      <c r="Q80" s="47"/>
      <c r="R80" s="47"/>
      <c r="S80" s="47"/>
      <c r="T80" s="47"/>
      <c r="U80" s="47"/>
      <c r="V80" s="47"/>
      <c r="W80" s="278"/>
      <c r="X80" s="175"/>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X81" s="175"/>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X82" s="175"/>
      <c r="Y82" s="48"/>
      <c r="Z82" s="47"/>
      <c r="AA82" s="47"/>
      <c r="AB82" s="47"/>
      <c r="AC82" s="47"/>
      <c r="AD82" s="47"/>
      <c r="AE82" s="47"/>
      <c r="AF82" s="47"/>
      <c r="AG82" s="47"/>
      <c r="AH82" s="47"/>
      <c r="AI82" s="47"/>
      <c r="AJ82" s="278"/>
      <c r="AM82" s="146"/>
    </row>
    <row r="83" spans="14:43" ht="15.75" thickBot="1" x14ac:dyDescent="0.3">
      <c r="N83" s="48"/>
      <c r="O83" s="47" t="s">
        <v>197</v>
      </c>
      <c r="P83" s="64" t="e">
        <f>(D3*D4)</f>
        <v>#VALUE!</v>
      </c>
      <c r="Q83" s="47" t="s">
        <v>198</v>
      </c>
      <c r="R83" s="64"/>
      <c r="S83" s="47"/>
      <c r="T83" s="47"/>
      <c r="U83" s="47"/>
      <c r="V83" s="47"/>
      <c r="W83" s="278"/>
      <c r="X83" s="175"/>
      <c r="Y83" s="48"/>
      <c r="Z83" s="47"/>
      <c r="AA83" s="47"/>
      <c r="AB83" s="47"/>
      <c r="AC83" s="47"/>
      <c r="AD83" s="47"/>
      <c r="AE83" s="47"/>
      <c r="AF83" s="47"/>
      <c r="AG83" s="47"/>
      <c r="AH83" s="47"/>
      <c r="AI83" s="47"/>
      <c r="AJ83" s="278"/>
      <c r="AM83" s="146"/>
    </row>
    <row r="84" spans="14:43" ht="15.75" thickBot="1" x14ac:dyDescent="0.3">
      <c r="N84" s="48"/>
      <c r="O84" s="47"/>
      <c r="P84" s="47"/>
      <c r="Q84" s="47"/>
      <c r="R84" s="64"/>
      <c r="S84" s="47"/>
      <c r="T84" s="47"/>
      <c r="U84" s="47"/>
      <c r="V84" s="47"/>
      <c r="W84" s="278"/>
      <c r="X84" s="175"/>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X85" s="175"/>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X86" s="175"/>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X87" s="175"/>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X88" s="175"/>
      <c r="Y88" s="49"/>
      <c r="Z88" s="50"/>
      <c r="AA88" s="50"/>
      <c r="AB88" s="50"/>
      <c r="AC88" s="50"/>
      <c r="AD88" s="50"/>
      <c r="AE88" s="50"/>
      <c r="AF88" s="50"/>
      <c r="AG88" s="50"/>
      <c r="AH88" s="50"/>
      <c r="AI88" s="50"/>
      <c r="AJ88" s="279"/>
      <c r="AQ88" s="83"/>
    </row>
    <row r="89" spans="14:43" x14ac:dyDescent="0.25">
      <c r="O89" s="481"/>
      <c r="P89" s="482"/>
      <c r="Q89" s="175"/>
      <c r="R89" s="175"/>
      <c r="S89" s="175"/>
      <c r="T89" s="175"/>
      <c r="U89" s="175"/>
      <c r="V89" s="175"/>
      <c r="W89" s="175"/>
      <c r="X89" s="175"/>
      <c r="Y89" s="175"/>
      <c r="Z89" s="175"/>
      <c r="AA89" s="175"/>
      <c r="AB89" s="175"/>
      <c r="AC89" s="175"/>
      <c r="AD89" s="175"/>
      <c r="AE89" s="175"/>
      <c r="AF89" s="175"/>
      <c r="AG89" s="175"/>
      <c r="AH89" s="175"/>
      <c r="AI89" s="175"/>
      <c r="AK89" s="175"/>
      <c r="AQ89" s="83"/>
    </row>
    <row r="90" spans="14:43" x14ac:dyDescent="0.25">
      <c r="O90" s="481"/>
      <c r="P90" s="482"/>
      <c r="Q90" s="175"/>
      <c r="R90" s="175"/>
      <c r="S90" s="175"/>
      <c r="T90" s="175"/>
      <c r="U90" s="175"/>
      <c r="V90" s="175"/>
      <c r="W90" s="175"/>
      <c r="X90" s="175"/>
      <c r="Y90" s="175"/>
      <c r="Z90" s="175"/>
      <c r="AA90" s="175"/>
      <c r="AB90" s="175"/>
      <c r="AC90" s="175"/>
      <c r="AD90" s="175"/>
      <c r="AE90" s="175"/>
      <c r="AF90" s="175"/>
      <c r="AG90" s="175"/>
      <c r="AH90" s="175"/>
      <c r="AI90" s="175"/>
      <c r="AK90" s="175"/>
      <c r="AQ90" s="83"/>
    </row>
    <row r="91" spans="14:43" x14ac:dyDescent="0.25">
      <c r="O91" s="481"/>
      <c r="P91" s="482"/>
      <c r="Q91" s="175"/>
      <c r="R91" s="175"/>
      <c r="S91" s="175"/>
      <c r="T91" s="175"/>
      <c r="U91" s="175"/>
      <c r="V91" s="175"/>
      <c r="W91" s="175"/>
      <c r="X91" s="175"/>
      <c r="Y91" s="175"/>
      <c r="Z91" s="175"/>
      <c r="AA91" s="175"/>
      <c r="AB91" s="175"/>
      <c r="AC91" s="175"/>
      <c r="AD91" s="175"/>
      <c r="AE91" s="175"/>
      <c r="AF91" s="175"/>
      <c r="AG91" s="175"/>
      <c r="AH91" s="175"/>
      <c r="AI91" s="175"/>
      <c r="AK91" s="175"/>
      <c r="AQ91" s="83"/>
    </row>
    <row r="92" spans="14:43" x14ac:dyDescent="0.25">
      <c r="O92" s="481"/>
      <c r="P92" s="482"/>
      <c r="Q92" s="175"/>
      <c r="R92" s="175"/>
      <c r="S92" s="175"/>
      <c r="T92" s="175"/>
      <c r="U92" s="175"/>
      <c r="V92" s="175"/>
      <c r="W92" s="175"/>
      <c r="X92" s="175"/>
      <c r="Y92" s="175"/>
      <c r="Z92" s="175"/>
      <c r="AA92" s="175"/>
      <c r="AB92" s="175"/>
      <c r="AC92" s="175"/>
      <c r="AD92" s="175"/>
      <c r="AE92" s="175"/>
      <c r="AF92" s="175"/>
      <c r="AG92" s="175"/>
      <c r="AH92" s="175"/>
      <c r="AI92" s="175"/>
      <c r="AK92" s="175"/>
      <c r="AQ92" s="83"/>
    </row>
    <row r="93" spans="14:43" ht="18.75" customHeight="1" x14ac:dyDescent="0.25">
      <c r="O93" s="481"/>
      <c r="P93" s="482"/>
      <c r="Q93" s="175"/>
      <c r="R93" s="175"/>
      <c r="S93" s="175"/>
      <c r="T93" s="175"/>
      <c r="U93" s="175"/>
      <c r="V93" s="175"/>
      <c r="W93" s="175"/>
      <c r="X93" s="175"/>
      <c r="Y93" s="175"/>
      <c r="Z93" s="175"/>
      <c r="AA93" s="175"/>
      <c r="AB93" s="175"/>
      <c r="AC93" s="175"/>
      <c r="AD93" s="175"/>
      <c r="AE93" s="175"/>
      <c r="AF93" s="175"/>
      <c r="AG93" s="175"/>
      <c r="AH93" s="175"/>
      <c r="AI93" s="175"/>
      <c r="AK93" s="175"/>
      <c r="AQ93" s="83"/>
    </row>
    <row r="94" spans="14:43" ht="18.75" customHeight="1" x14ac:dyDescent="0.25">
      <c r="O94" s="481"/>
      <c r="P94" s="482"/>
      <c r="AK94" s="175"/>
      <c r="AQ94" s="83"/>
    </row>
    <row r="95" spans="14:43" x14ac:dyDescent="0.25">
      <c r="P95" s="482"/>
    </row>
    <row r="98" spans="4:41" ht="21.75" customHeight="1" x14ac:dyDescent="0.25"/>
    <row r="100" spans="4:41" ht="21" x14ac:dyDescent="0.35">
      <c r="N100" s="74"/>
    </row>
    <row r="101" spans="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4:41" x14ac:dyDescent="0.25">
      <c r="N102" s="484"/>
      <c r="P102" s="482"/>
      <c r="Q102" s="178"/>
      <c r="R102" s="178"/>
      <c r="S102" s="178"/>
      <c r="T102" s="178"/>
      <c r="U102" s="178"/>
      <c r="V102" s="178"/>
      <c r="W102" s="178"/>
      <c r="X102" s="178"/>
      <c r="Y102" s="178"/>
      <c r="Z102" s="178"/>
      <c r="AA102" s="178"/>
      <c r="AB102" s="178"/>
      <c r="AC102" s="178"/>
      <c r="AD102" s="178"/>
      <c r="AE102" s="178"/>
      <c r="AF102" s="178"/>
      <c r="AG102" s="178"/>
      <c r="AH102" s="178"/>
      <c r="AI102" s="178"/>
    </row>
    <row r="103" spans="4:41" x14ac:dyDescent="0.25">
      <c r="D103" s="140"/>
      <c r="N103" s="483"/>
      <c r="O103" s="481"/>
      <c r="P103" s="482"/>
      <c r="Q103" s="175"/>
      <c r="R103" s="175"/>
      <c r="S103" s="175"/>
      <c r="T103" s="175"/>
      <c r="U103" s="175"/>
      <c r="V103" s="175"/>
      <c r="W103" s="175"/>
      <c r="X103" s="175"/>
      <c r="Y103" s="175"/>
      <c r="Z103" s="175"/>
      <c r="AA103" s="175"/>
      <c r="AB103" s="175"/>
      <c r="AC103" s="175"/>
      <c r="AD103" s="175"/>
      <c r="AE103" s="175"/>
      <c r="AF103" s="175"/>
      <c r="AG103" s="175"/>
      <c r="AH103" s="175"/>
      <c r="AI103" s="175"/>
    </row>
    <row r="104" spans="4:41" ht="15.75" x14ac:dyDescent="0.25">
      <c r="N104" s="484"/>
      <c r="O104" s="481"/>
      <c r="P104" s="482"/>
      <c r="Q104" s="175"/>
      <c r="R104" s="175"/>
      <c r="S104" s="175"/>
      <c r="T104" s="175"/>
      <c r="U104" s="175"/>
      <c r="V104" s="175"/>
      <c r="W104" s="175"/>
      <c r="X104" s="175"/>
      <c r="Y104" s="175"/>
      <c r="Z104" s="175"/>
      <c r="AA104" s="175"/>
      <c r="AB104" s="175"/>
      <c r="AC104" s="175"/>
      <c r="AD104" s="175"/>
      <c r="AE104" s="175"/>
      <c r="AF104" s="175"/>
      <c r="AG104" s="175"/>
      <c r="AH104" s="175"/>
      <c r="AI104" s="175"/>
      <c r="AL104" s="313"/>
      <c r="AM104" s="313"/>
      <c r="AN104" s="485"/>
      <c r="AO104" s="313"/>
    </row>
    <row r="105" spans="4:41" ht="15.75" x14ac:dyDescent="0.25">
      <c r="O105" s="481"/>
      <c r="P105" s="482"/>
      <c r="Q105" s="175"/>
      <c r="R105" s="175"/>
      <c r="S105" s="175"/>
      <c r="T105" s="175"/>
      <c r="U105" s="175"/>
      <c r="V105" s="175"/>
      <c r="W105" s="175"/>
      <c r="X105" s="175"/>
      <c r="Y105" s="175"/>
      <c r="Z105" s="175"/>
      <c r="AA105" s="175"/>
      <c r="AB105" s="175"/>
      <c r="AC105" s="175"/>
      <c r="AD105" s="175"/>
      <c r="AE105" s="175"/>
      <c r="AF105" s="175"/>
      <c r="AG105" s="175"/>
      <c r="AH105" s="175"/>
      <c r="AI105" s="175"/>
      <c r="AK105" s="83"/>
      <c r="AL105" s="313"/>
      <c r="AM105" s="485"/>
      <c r="AN105" s="485"/>
      <c r="AO105" s="485"/>
    </row>
    <row r="106" spans="4:41" ht="15.75" x14ac:dyDescent="0.25">
      <c r="O106" s="481"/>
      <c r="P106" s="482"/>
      <c r="Q106" s="175"/>
      <c r="R106" s="175"/>
      <c r="S106" s="175"/>
      <c r="T106" s="175"/>
      <c r="U106" s="175"/>
      <c r="V106" s="175"/>
      <c r="W106" s="175"/>
      <c r="X106" s="175"/>
      <c r="Y106" s="175"/>
      <c r="Z106" s="175"/>
      <c r="AA106" s="175"/>
      <c r="AB106" s="175"/>
      <c r="AC106" s="175"/>
      <c r="AD106" s="175"/>
      <c r="AE106" s="175"/>
      <c r="AF106" s="175"/>
      <c r="AG106" s="175"/>
      <c r="AH106" s="175"/>
      <c r="AI106" s="175"/>
      <c r="AL106" s="486"/>
      <c r="AM106" s="485"/>
      <c r="AN106" s="487"/>
      <c r="AO106" s="485"/>
    </row>
    <row r="107" spans="4:41" ht="15.75" x14ac:dyDescent="0.25">
      <c r="O107" s="481"/>
      <c r="P107" s="482"/>
      <c r="Q107" s="175"/>
      <c r="R107" s="175"/>
      <c r="S107" s="175"/>
      <c r="T107" s="175"/>
      <c r="U107" s="175"/>
      <c r="V107" s="175"/>
      <c r="W107" s="175"/>
      <c r="X107" s="175"/>
      <c r="Y107" s="175"/>
      <c r="Z107" s="175"/>
      <c r="AA107" s="175"/>
      <c r="AB107" s="175"/>
      <c r="AC107" s="175"/>
      <c r="AD107" s="175"/>
      <c r="AE107" s="175"/>
      <c r="AF107" s="175"/>
      <c r="AG107" s="175"/>
      <c r="AH107" s="175"/>
      <c r="AI107" s="175"/>
      <c r="AL107" s="313"/>
      <c r="AM107" s="485"/>
      <c r="AN107" s="485"/>
      <c r="AO107" s="485"/>
    </row>
    <row r="108" spans="4:41" x14ac:dyDescent="0.25">
      <c r="O108" s="481"/>
      <c r="P108" s="482"/>
      <c r="Q108" s="175"/>
      <c r="R108" s="175"/>
      <c r="S108" s="175"/>
      <c r="T108" s="175"/>
      <c r="U108" s="175"/>
      <c r="V108" s="175"/>
      <c r="W108" s="175"/>
      <c r="X108" s="175"/>
      <c r="Y108" s="175"/>
      <c r="Z108" s="175"/>
      <c r="AA108" s="175"/>
      <c r="AB108" s="175"/>
      <c r="AC108" s="175"/>
      <c r="AD108" s="175"/>
      <c r="AE108" s="175"/>
      <c r="AF108" s="175"/>
      <c r="AG108" s="175"/>
      <c r="AH108" s="175"/>
      <c r="AI108" s="175"/>
    </row>
    <row r="109" spans="4:41" x14ac:dyDescent="0.25">
      <c r="O109" s="481"/>
      <c r="P109" s="482"/>
      <c r="Q109" s="175"/>
      <c r="R109" s="175"/>
      <c r="S109" s="175"/>
      <c r="T109" s="175"/>
      <c r="U109" s="175"/>
      <c r="V109" s="175"/>
      <c r="W109" s="175"/>
      <c r="X109" s="175"/>
      <c r="Y109" s="175"/>
      <c r="Z109" s="175"/>
      <c r="AA109" s="175"/>
      <c r="AB109" s="175"/>
      <c r="AC109" s="175"/>
      <c r="AD109" s="175"/>
      <c r="AE109" s="175"/>
      <c r="AF109" s="175"/>
      <c r="AG109" s="175"/>
      <c r="AH109" s="175"/>
      <c r="AI109" s="175"/>
    </row>
    <row r="110" spans="4:41" x14ac:dyDescent="0.25">
      <c r="O110" s="481"/>
      <c r="P110" s="482"/>
      <c r="Q110" s="175"/>
      <c r="R110" s="175"/>
      <c r="S110" s="175"/>
      <c r="T110" s="175"/>
      <c r="U110" s="175"/>
      <c r="V110" s="175"/>
      <c r="W110" s="175"/>
      <c r="X110" s="175"/>
      <c r="Y110" s="175"/>
      <c r="Z110" s="175"/>
      <c r="AA110" s="175"/>
      <c r="AB110" s="175"/>
      <c r="AC110" s="175"/>
      <c r="AD110" s="175"/>
      <c r="AE110" s="175"/>
      <c r="AF110" s="175"/>
      <c r="AG110" s="175"/>
      <c r="AH110" s="175"/>
      <c r="AI110" s="175"/>
    </row>
    <row r="111" spans="4:41" x14ac:dyDescent="0.25">
      <c r="O111" s="481"/>
      <c r="P111" s="482"/>
      <c r="Q111" s="175"/>
      <c r="R111" s="175"/>
      <c r="S111" s="175"/>
      <c r="T111" s="175"/>
      <c r="U111" s="175"/>
      <c r="V111" s="175"/>
      <c r="W111" s="175"/>
      <c r="X111" s="175"/>
      <c r="Y111" s="175"/>
      <c r="Z111" s="175"/>
      <c r="AA111" s="175"/>
      <c r="AB111" s="175"/>
      <c r="AC111" s="175"/>
      <c r="AD111" s="175"/>
      <c r="AE111" s="175"/>
      <c r="AF111" s="175"/>
      <c r="AG111" s="175"/>
      <c r="AH111" s="175"/>
      <c r="AI111" s="175"/>
    </row>
    <row r="112" spans="4:41" x14ac:dyDescent="0.25">
      <c r="O112" s="481"/>
      <c r="P112" s="482"/>
      <c r="Q112" s="175"/>
      <c r="R112" s="175"/>
      <c r="S112" s="175"/>
      <c r="T112" s="175"/>
      <c r="U112" s="175"/>
      <c r="V112" s="175"/>
      <c r="W112" s="175"/>
      <c r="X112" s="175"/>
      <c r="Y112" s="175"/>
      <c r="Z112" s="175"/>
      <c r="AA112" s="175"/>
      <c r="AB112" s="175"/>
      <c r="AC112" s="175"/>
      <c r="AD112" s="175"/>
      <c r="AE112" s="175"/>
      <c r="AF112" s="175"/>
      <c r="AG112" s="175"/>
      <c r="AH112" s="175"/>
      <c r="AI112" s="175"/>
    </row>
    <row r="113" spans="15:43" ht="15.75" x14ac:dyDescent="0.25">
      <c r="O113" s="481"/>
      <c r="P113" s="482"/>
      <c r="Q113" s="175"/>
      <c r="R113" s="175"/>
      <c r="S113" s="175"/>
      <c r="T113" s="175"/>
      <c r="U113" s="175"/>
      <c r="V113" s="175"/>
      <c r="W113" s="175"/>
      <c r="X113" s="175"/>
      <c r="Y113" s="175"/>
      <c r="Z113" s="175"/>
      <c r="AA113" s="175"/>
      <c r="AB113" s="175"/>
      <c r="AC113" s="175"/>
      <c r="AD113" s="175"/>
      <c r="AE113" s="175"/>
      <c r="AF113" s="175"/>
      <c r="AG113" s="175"/>
      <c r="AH113" s="175"/>
      <c r="AI113" s="175"/>
      <c r="AN113" s="488"/>
    </row>
    <row r="114" spans="15:43" ht="15.75" x14ac:dyDescent="0.25">
      <c r="O114" s="481"/>
      <c r="P114" s="482"/>
      <c r="Q114" s="175"/>
      <c r="R114" s="175"/>
      <c r="S114" s="175"/>
      <c r="T114" s="175"/>
      <c r="U114" s="175"/>
      <c r="V114" s="175"/>
      <c r="W114" s="175"/>
      <c r="X114" s="175"/>
      <c r="Y114" s="175"/>
      <c r="Z114" s="175"/>
      <c r="AA114" s="175"/>
      <c r="AB114" s="175"/>
      <c r="AC114" s="175"/>
      <c r="AD114" s="175"/>
      <c r="AE114" s="175"/>
      <c r="AF114" s="175"/>
      <c r="AG114" s="175"/>
      <c r="AH114" s="175"/>
      <c r="AI114" s="175"/>
      <c r="AM114" s="488"/>
      <c r="AN114" s="488"/>
    </row>
    <row r="115" spans="15:43" x14ac:dyDescent="0.25">
      <c r="O115" s="481"/>
      <c r="P115" s="482"/>
      <c r="Q115" s="175"/>
      <c r="R115" s="175"/>
      <c r="S115" s="175"/>
      <c r="T115" s="175"/>
      <c r="U115" s="175"/>
      <c r="V115" s="175"/>
      <c r="W115" s="175"/>
      <c r="X115" s="175"/>
      <c r="Y115" s="175"/>
      <c r="Z115" s="175"/>
      <c r="AA115" s="175"/>
      <c r="AB115" s="175"/>
      <c r="AC115" s="175"/>
      <c r="AD115" s="175"/>
      <c r="AE115" s="175"/>
      <c r="AF115" s="175"/>
      <c r="AG115" s="175"/>
      <c r="AH115" s="175"/>
      <c r="AI115" s="175"/>
    </row>
    <row r="116" spans="15:43" x14ac:dyDescent="0.25">
      <c r="O116" s="481"/>
      <c r="P116" s="482"/>
      <c r="Q116" s="175"/>
      <c r="R116" s="175"/>
      <c r="S116" s="175"/>
      <c r="T116" s="175"/>
      <c r="U116" s="175"/>
      <c r="V116" s="175"/>
      <c r="W116" s="175"/>
      <c r="X116" s="175"/>
      <c r="Y116" s="175"/>
      <c r="Z116" s="175"/>
      <c r="AA116" s="175"/>
      <c r="AB116" s="175"/>
      <c r="AC116" s="175"/>
      <c r="AD116" s="175"/>
      <c r="AE116" s="175"/>
      <c r="AF116" s="175"/>
      <c r="AG116" s="175"/>
      <c r="AH116" s="175"/>
      <c r="AI116" s="175"/>
      <c r="AQ116" s="83"/>
    </row>
    <row r="117" spans="15:43" x14ac:dyDescent="0.25">
      <c r="O117" s="481"/>
      <c r="P117" s="482"/>
      <c r="Q117" s="175"/>
      <c r="R117" s="175"/>
      <c r="S117" s="175"/>
      <c r="T117" s="175"/>
      <c r="U117" s="175"/>
      <c r="V117" s="175"/>
      <c r="W117" s="175"/>
      <c r="X117" s="175"/>
      <c r="Y117" s="175"/>
      <c r="Z117" s="175"/>
      <c r="AA117" s="175"/>
      <c r="AB117" s="175"/>
      <c r="AC117" s="175"/>
      <c r="AD117" s="175"/>
      <c r="AE117" s="175"/>
      <c r="AF117" s="175"/>
      <c r="AG117" s="175"/>
      <c r="AH117" s="175"/>
      <c r="AI117" s="175"/>
      <c r="AK117" s="175"/>
      <c r="AQ117" s="83"/>
    </row>
    <row r="118" spans="15:43" x14ac:dyDescent="0.25">
      <c r="O118" s="481"/>
      <c r="P118" s="482"/>
      <c r="Q118" s="175"/>
      <c r="R118" s="175"/>
      <c r="S118" s="175"/>
      <c r="T118" s="175"/>
      <c r="U118" s="175"/>
      <c r="V118" s="175"/>
      <c r="W118" s="175"/>
      <c r="X118" s="175"/>
      <c r="Y118" s="175"/>
      <c r="Z118" s="175"/>
      <c r="AA118" s="175"/>
      <c r="AB118" s="175"/>
      <c r="AC118" s="175"/>
      <c r="AD118" s="175"/>
      <c r="AE118" s="175"/>
      <c r="AF118" s="175"/>
      <c r="AG118" s="175"/>
      <c r="AH118" s="175"/>
      <c r="AI118" s="175"/>
      <c r="AK118" s="175"/>
      <c r="AQ118" s="83"/>
    </row>
    <row r="119" spans="15:43" x14ac:dyDescent="0.25">
      <c r="O119" s="481"/>
      <c r="P119" s="482"/>
      <c r="Q119" s="175"/>
      <c r="R119" s="175"/>
      <c r="S119" s="175"/>
      <c r="T119" s="175"/>
      <c r="U119" s="175"/>
      <c r="V119" s="175"/>
      <c r="W119" s="175"/>
      <c r="X119" s="175"/>
      <c r="Y119" s="175"/>
      <c r="Z119" s="175"/>
      <c r="AA119" s="175"/>
      <c r="AB119" s="175"/>
      <c r="AC119" s="175"/>
      <c r="AD119" s="175"/>
      <c r="AE119" s="175"/>
      <c r="AF119" s="175"/>
      <c r="AG119" s="175"/>
      <c r="AH119" s="175"/>
      <c r="AI119" s="175"/>
      <c r="AK119" s="175"/>
      <c r="AQ119" s="83"/>
    </row>
    <row r="120" spans="15:43" x14ac:dyDescent="0.25">
      <c r="O120" s="481"/>
      <c r="P120" s="482"/>
      <c r="Q120" s="175"/>
      <c r="R120" s="175"/>
      <c r="S120" s="175"/>
      <c r="T120" s="175"/>
      <c r="U120" s="175"/>
      <c r="V120" s="175"/>
      <c r="W120" s="175"/>
      <c r="X120" s="175"/>
      <c r="Y120" s="175"/>
      <c r="Z120" s="175"/>
      <c r="AA120" s="175"/>
      <c r="AB120" s="175"/>
      <c r="AC120" s="175"/>
      <c r="AD120" s="175"/>
      <c r="AE120" s="175"/>
      <c r="AF120" s="175"/>
      <c r="AG120" s="175"/>
      <c r="AH120" s="175"/>
      <c r="AI120" s="175"/>
      <c r="AK120" s="175"/>
      <c r="AQ120" s="83"/>
    </row>
    <row r="121" spans="15:43" x14ac:dyDescent="0.25">
      <c r="O121" s="481"/>
      <c r="P121" s="482"/>
      <c r="Q121" s="175"/>
      <c r="R121" s="175"/>
      <c r="S121" s="175"/>
      <c r="T121" s="175"/>
      <c r="U121" s="175"/>
      <c r="V121" s="175"/>
      <c r="W121" s="175"/>
      <c r="X121" s="175"/>
      <c r="Y121" s="175"/>
      <c r="Z121" s="175"/>
      <c r="AA121" s="175"/>
      <c r="AB121" s="175"/>
      <c r="AC121" s="175"/>
      <c r="AD121" s="175"/>
      <c r="AE121" s="175"/>
      <c r="AF121" s="175"/>
      <c r="AG121" s="175"/>
      <c r="AH121" s="175"/>
      <c r="AI121" s="175"/>
      <c r="AK121" s="175"/>
      <c r="AQ121" s="83"/>
    </row>
    <row r="122" spans="15:43" x14ac:dyDescent="0.25">
      <c r="O122" s="481"/>
      <c r="P122" s="482"/>
      <c r="AK122" s="175"/>
      <c r="AQ122" s="83"/>
    </row>
    <row r="123" spans="15:43" x14ac:dyDescent="0.25">
      <c r="P123" s="482"/>
    </row>
    <row r="137" ht="150.75" customHeight="1" x14ac:dyDescent="0.25"/>
    <row r="145" spans="3:3" x14ac:dyDescent="0.25">
      <c r="C145" s="179"/>
    </row>
    <row r="146" spans="3:3" x14ac:dyDescent="0.25">
      <c r="C146" s="179"/>
    </row>
    <row r="278" spans="14:15" x14ac:dyDescent="0.25">
      <c r="N278" s="146"/>
      <c r="O278" s="145"/>
    </row>
  </sheetData>
  <sheetProtection selectLockedCells="1" selectUnlockedCells="1"/>
  <mergeCells count="7">
    <mergeCell ref="AT16:IN16"/>
    <mergeCell ref="AU18:AV20"/>
    <mergeCell ref="AX18:HW19"/>
    <mergeCell ref="IG19:IM19"/>
    <mergeCell ref="B47:C47"/>
    <mergeCell ref="D16:V16"/>
    <mergeCell ref="N45:N46"/>
  </mergeCells>
  <conditionalFormatting sqref="Q47:AA61">
    <cfRule type="colorScale" priority="7">
      <colorScale>
        <cfvo type="min"/>
        <cfvo type="percentile" val="50"/>
        <cfvo type="max"/>
        <color rgb="FF63BE7B"/>
        <color rgb="FFFFEB84"/>
        <color rgb="FFF8696B"/>
      </colorScale>
    </cfRule>
  </conditionalFormatting>
  <conditionalFormatting sqref="Q89:AA89 X75:X88">
    <cfRule type="colorScale" priority="4">
      <colorScale>
        <cfvo type="min"/>
        <cfvo type="percentile" val="50"/>
        <cfvo type="max"/>
        <color rgb="FF63BE7B"/>
        <color rgb="FFFFEB84"/>
        <color rgb="FFF8696B"/>
      </colorScale>
    </cfRule>
  </conditionalFormatting>
  <conditionalFormatting sqref="Q103:AA117">
    <cfRule type="colorScale" priority="3">
      <colorScale>
        <cfvo type="min"/>
        <cfvo type="percentile" val="50"/>
        <cfvo type="max"/>
        <color rgb="FF63BE7B"/>
        <color rgb="FFFFEB84"/>
        <color rgb="FFF8696B"/>
      </colorScale>
    </cfRule>
  </conditionalFormatting>
  <conditionalFormatting sqref="Q94:AB94">
    <cfRule type="colorScale" priority="6">
      <colorScale>
        <cfvo type="min"/>
        <cfvo type="percentile" val="50"/>
        <cfvo type="max"/>
        <color rgb="FF63BE7B"/>
        <color rgb="FFFFEB84"/>
        <color rgb="FFF8696B"/>
      </colorScale>
    </cfRule>
  </conditionalFormatting>
  <conditionalFormatting sqref="Q122:AB122 AJ103:AJ112">
    <cfRule type="colorScale" priority="5">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N278"/>
  <sheetViews>
    <sheetView zoomScale="90" zoomScaleNormal="90" workbookViewId="0">
      <selection activeCell="D28" sqref="D28"/>
    </sheetView>
  </sheetViews>
  <sheetFormatPr defaultRowHeight="15" x14ac:dyDescent="0.25"/>
  <cols>
    <col min="1" max="1" width="12.85546875" customWidth="1"/>
    <col min="2" max="2" width="21.5703125" customWidth="1"/>
    <col min="3" max="3" width="19.7109375" customWidth="1"/>
    <col min="4" max="4" width="13.7109375" customWidth="1"/>
    <col min="5" max="5" width="19.140625" customWidth="1"/>
    <col min="6" max="6" width="13.42578125" customWidth="1"/>
    <col min="7" max="7" width="9.85546875" customWidth="1"/>
    <col min="8" max="8" width="10" customWidth="1"/>
    <col min="9" max="9" width="13.42578125" customWidth="1"/>
    <col min="10" max="10" width="10.28515625" customWidth="1"/>
    <col min="11" max="11" width="15.140625" customWidth="1"/>
    <col min="12" max="12" width="9.140625" customWidth="1"/>
    <col min="13" max="13" width="12.42578125" customWidth="1"/>
    <col min="14" max="14" width="17.28515625" customWidth="1"/>
    <col min="15" max="15" width="16.42578125" customWidth="1"/>
    <col min="16" max="16" width="11.85546875" customWidth="1"/>
    <col min="18" max="21" width="9.140625" customWidth="1"/>
    <col min="22" max="22" width="10.7109375" customWidth="1"/>
    <col min="23" max="25" width="9.140625" customWidth="1"/>
    <col min="28" max="35" width="9.140625" customWidth="1"/>
    <col min="38" max="38" width="12.5703125" customWidth="1"/>
    <col min="39"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6" width="0" hidden="1" customWidth="1"/>
    <col min="107" max="107" width="12.140625" hidden="1" customWidth="1"/>
    <col min="108" max="109" width="9.140625" hidden="1" customWidth="1"/>
    <col min="110" max="111" width="9.140625" customWidth="1"/>
    <col min="112" max="115" width="9.140625" hidden="1" customWidth="1"/>
    <col min="116" max="117" width="0"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4" width="9.140625" hidden="1" customWidth="1"/>
    <col min="195" max="195" width="18.140625" hidden="1" customWidth="1"/>
    <col min="196" max="196" width="15.140625" hidden="1" customWidth="1"/>
    <col min="197" max="197" width="17.85546875" hidden="1" customWidth="1"/>
    <col min="198" max="198" width="29" hidden="1" customWidth="1"/>
    <col min="199" max="199" width="30.28515625" hidden="1" customWidth="1"/>
    <col min="200" max="200" width="35.42578125" hidden="1" customWidth="1"/>
    <col min="201" max="201" width="26.140625" hidden="1" customWidth="1"/>
    <col min="202" max="202" width="22.5703125" hidden="1" customWidth="1"/>
    <col min="203" max="203" width="28" hidden="1" customWidth="1"/>
    <col min="204" max="206" width="0" hidden="1" customWidth="1"/>
    <col min="207" max="207" width="20.28515625" hidden="1" customWidth="1"/>
    <col min="208" max="208" width="36" hidden="1" customWidth="1"/>
    <col min="209" max="209" width="35.42578125" hidden="1" customWidth="1"/>
    <col min="210" max="210" width="33.42578125" hidden="1" customWidth="1"/>
    <col min="211" max="211" width="30.85546875" hidden="1" customWidth="1"/>
    <col min="212" max="214" width="0" hidden="1" customWidth="1"/>
    <col min="215" max="215" width="18.28515625" hidden="1" customWidth="1"/>
    <col min="216" max="239" width="0" hidden="1" customWidth="1"/>
  </cols>
  <sheetData>
    <row r="1" spans="1:248" ht="21.75" thickBot="1" x14ac:dyDescent="0.4">
      <c r="A1" s="51"/>
      <c r="B1" s="315" t="s">
        <v>39</v>
      </c>
      <c r="C1" s="381" t="s">
        <v>108</v>
      </c>
      <c r="D1" s="387"/>
      <c r="E1" s="387"/>
      <c r="F1" s="388"/>
      <c r="G1" s="51"/>
      <c r="H1" s="51"/>
    </row>
    <row r="2" spans="1:248" ht="21" x14ac:dyDescent="0.35">
      <c r="A2" s="51"/>
      <c r="B2" s="382" t="s">
        <v>40</v>
      </c>
      <c r="C2" s="314"/>
      <c r="D2" s="314" t="s">
        <v>73</v>
      </c>
      <c r="E2" s="314"/>
      <c r="F2" s="331"/>
      <c r="G2" s="51"/>
      <c r="H2" s="403" t="s">
        <v>277</v>
      </c>
      <c r="I2" s="387"/>
      <c r="J2" s="388"/>
      <c r="N2" s="315" t="s">
        <v>64</v>
      </c>
      <c r="O2" s="317"/>
      <c r="P2" s="317"/>
      <c r="Q2" s="317"/>
      <c r="R2" s="317"/>
      <c r="S2" s="317"/>
      <c r="T2" s="317"/>
      <c r="U2" s="317"/>
      <c r="V2" s="317"/>
      <c r="W2" s="318"/>
    </row>
    <row r="3" spans="1:248" ht="18.75" x14ac:dyDescent="0.3">
      <c r="A3" s="51"/>
      <c r="B3" s="382" t="s">
        <v>41</v>
      </c>
      <c r="C3" s="314" t="str">
        <f>IF('DATA ENTRY'!B9="mm",'DATA ENTRY'!B10/25.4,'DATA ENTRY'!B10)</f>
        <v>ENTER WIDTH</v>
      </c>
      <c r="D3" s="287" t="e">
        <f>IF('DATA ENTRY'!B12="ACTUAL",'QA845'!C3,'QA845'!C3-0.5)</f>
        <v>#VALUE!</v>
      </c>
      <c r="E3" s="314"/>
      <c r="F3" s="331"/>
      <c r="G3" s="359"/>
      <c r="H3" s="330" t="s">
        <v>278</v>
      </c>
      <c r="J3" s="331" t="e">
        <f>D3*D4/144</f>
        <v>#VALUE!</v>
      </c>
      <c r="N3" s="280"/>
      <c r="O3" s="282"/>
      <c r="P3" s="282"/>
      <c r="Q3" s="282"/>
      <c r="R3" s="282"/>
      <c r="S3" s="282"/>
      <c r="T3" s="282"/>
      <c r="U3" s="282"/>
      <c r="V3" s="282"/>
      <c r="W3" s="291"/>
    </row>
    <row r="4" spans="1:248" ht="18.75" x14ac:dyDescent="0.3">
      <c r="A4" s="51"/>
      <c r="B4" s="382" t="s">
        <v>42</v>
      </c>
      <c r="C4" s="314" t="str">
        <f>IF('DATA ENTRY'!B9="mm",'DATA ENTRY'!B11/25.4,'DATA ENTRY'!B11)</f>
        <v>ENTER HEIGHT</v>
      </c>
      <c r="D4" s="287" t="e">
        <f>IF('DATA ENTRY'!B11=425,16.75,IF('DATA ENTRY'!B12="ACTUAL",'QA845'!C4,'QA845'!C4-0.5))</f>
        <v>#VALUE!</v>
      </c>
      <c r="E4" s="314"/>
      <c r="F4" s="331"/>
      <c r="G4" s="51"/>
      <c r="H4" s="330" t="s">
        <v>279</v>
      </c>
      <c r="I4" s="314"/>
      <c r="J4" s="331" t="e">
        <f>C5/J3</f>
        <v>#VALUE!</v>
      </c>
      <c r="N4" s="280"/>
      <c r="O4" s="282" t="str">
        <f>C1&amp;"_MODEL"</f>
        <v>QA845_MODEL</v>
      </c>
      <c r="P4" s="282" t="s">
        <v>115</v>
      </c>
      <c r="Q4" s="282"/>
      <c r="R4" s="282"/>
      <c r="S4" s="282"/>
      <c r="T4" s="282"/>
      <c r="U4" s="282"/>
      <c r="V4" s="287" t="s">
        <v>116</v>
      </c>
      <c r="W4" s="291"/>
    </row>
    <row r="5" spans="1:248" ht="18.75" x14ac:dyDescent="0.3">
      <c r="A5" s="51"/>
      <c r="B5" s="382" t="s">
        <v>43</v>
      </c>
      <c r="C5" s="509" t="str">
        <f>IF('DATA ENTRY'!B9="mm",'DATA ENTRY'!B13*2.1188799727597,'DATA ENTRY'!B13)</f>
        <v>ENTER AIR VOLUME</v>
      </c>
      <c r="D5" s="314"/>
      <c r="E5" s="314"/>
      <c r="F5" s="331"/>
      <c r="G5" s="51"/>
      <c r="H5" s="330"/>
      <c r="I5" s="314"/>
      <c r="J5" s="331"/>
      <c r="N5" s="280" t="s">
        <v>93</v>
      </c>
      <c r="O5" s="282" t="str">
        <f>C1&amp;"_FA"</f>
        <v>QA845_FA</v>
      </c>
      <c r="P5" s="283" t="e">
        <f>D64</f>
        <v>#VALUE!</v>
      </c>
      <c r="Q5" s="282" t="s">
        <v>45</v>
      </c>
      <c r="R5" s="282"/>
      <c r="S5" s="282"/>
      <c r="T5" s="282"/>
      <c r="U5" s="282"/>
      <c r="V5" s="282" t="str">
        <f>C1&amp;"_W"</f>
        <v>QA845_W</v>
      </c>
      <c r="W5" s="286" t="e">
        <f>D3</f>
        <v>#VALUE!</v>
      </c>
    </row>
    <row r="6" spans="1:248" ht="18.75" x14ac:dyDescent="0.3">
      <c r="A6" s="51"/>
      <c r="B6" s="382" t="s">
        <v>44</v>
      </c>
      <c r="C6" s="383" t="str">
        <f>'DATA ENTRY'!B14</f>
        <v>SELECT AIR DIRECTION</v>
      </c>
      <c r="D6" s="314"/>
      <c r="E6" s="314"/>
      <c r="F6" s="331"/>
      <c r="G6" s="51"/>
      <c r="H6" s="330"/>
      <c r="I6" s="314"/>
      <c r="J6" s="331"/>
      <c r="N6" s="280" t="s">
        <v>70</v>
      </c>
      <c r="O6" s="282" t="str">
        <f>C1&amp;"_FA%"</f>
        <v>QA845_FA%</v>
      </c>
      <c r="P6" s="284" t="e">
        <f>D66</f>
        <v>#VALUE!</v>
      </c>
      <c r="Q6" s="282" t="s">
        <v>16</v>
      </c>
      <c r="R6" s="282"/>
      <c r="S6" s="282"/>
      <c r="T6" s="282"/>
      <c r="U6" s="282"/>
      <c r="V6" s="282" t="str">
        <f>C1&amp;"_H"</f>
        <v>QA845_H</v>
      </c>
      <c r="W6" s="286" t="e">
        <f>D4</f>
        <v>#VALUE!</v>
      </c>
    </row>
    <row r="7" spans="1:248" ht="19.5" thickBot="1" x14ac:dyDescent="0.35">
      <c r="A7" s="51"/>
      <c r="B7" s="330"/>
      <c r="C7" s="314"/>
      <c r="D7" s="314"/>
      <c r="E7" s="314"/>
      <c r="F7" s="331"/>
      <c r="G7" s="51"/>
      <c r="H7" s="543"/>
      <c r="I7" s="544"/>
      <c r="J7" s="545"/>
      <c r="N7" s="280" t="s">
        <v>96</v>
      </c>
      <c r="O7" s="282" t="str">
        <f>C1&amp;"_VEL"</f>
        <v>QA845_VEL</v>
      </c>
      <c r="P7" s="284" t="e">
        <f>D68</f>
        <v>#VALUE!</v>
      </c>
      <c r="Q7" s="282" t="s">
        <v>0</v>
      </c>
      <c r="R7" s="282"/>
      <c r="S7" s="282"/>
      <c r="T7" s="282"/>
      <c r="U7" s="282"/>
      <c r="V7" s="282" t="str">
        <f>C1&amp;"_SW"</f>
        <v>QA845_SW</v>
      </c>
      <c r="W7" s="286" t="e">
        <f>C8</f>
        <v>#VALUE!</v>
      </c>
    </row>
    <row r="8" spans="1:248" ht="18.75" x14ac:dyDescent="0.3">
      <c r="A8" s="51"/>
      <c r="B8" s="382" t="s">
        <v>74</v>
      </c>
      <c r="C8" s="314" t="e">
        <f>CEILING(D3/72,1)</f>
        <v>#VALUE!</v>
      </c>
      <c r="D8" s="314"/>
      <c r="E8" s="314" t="s">
        <v>75</v>
      </c>
      <c r="F8" s="331" t="e">
        <f>CEILING(D4/96,1)</f>
        <v>#VALUE!</v>
      </c>
      <c r="G8" s="51"/>
      <c r="H8" s="51"/>
      <c r="N8" s="280" t="s">
        <v>94</v>
      </c>
      <c r="O8" s="282" t="str">
        <f>C1&amp;"_Intake"</f>
        <v>QA845_Intake</v>
      </c>
      <c r="P8" s="285" t="e">
        <f>D69</f>
        <v>#VALUE!</v>
      </c>
      <c r="Q8" s="282" t="s">
        <v>99</v>
      </c>
      <c r="R8" s="282"/>
      <c r="S8" s="282"/>
      <c r="T8" s="282"/>
      <c r="U8" s="282"/>
      <c r="V8" s="282" t="str">
        <f>C1&amp;"_SH"</f>
        <v>QA845_SH</v>
      </c>
      <c r="W8" s="286" t="e">
        <f>F8</f>
        <v>#VALUE!</v>
      </c>
    </row>
    <row r="9" spans="1:248" ht="18.75" x14ac:dyDescent="0.3">
      <c r="A9" s="51"/>
      <c r="B9" s="382" t="s">
        <v>72</v>
      </c>
      <c r="C9" s="314" t="e">
        <f>D3/C8</f>
        <v>#VALUE!</v>
      </c>
      <c r="D9" s="314"/>
      <c r="E9" s="314" t="s">
        <v>63</v>
      </c>
      <c r="F9" s="331" t="e">
        <f>D4/F8</f>
        <v>#VALUE!</v>
      </c>
      <c r="G9" s="51"/>
      <c r="H9" s="51"/>
      <c r="N9" s="280" t="s">
        <v>95</v>
      </c>
      <c r="O9" s="282" t="str">
        <f>C1&amp;"_Exhaust"</f>
        <v>QA845_Exhaust</v>
      </c>
      <c r="P9" s="285" t="e">
        <f>D70</f>
        <v>#VALUE!</v>
      </c>
      <c r="Q9" s="282" t="s">
        <v>99</v>
      </c>
      <c r="R9" s="282"/>
      <c r="S9" s="282"/>
      <c r="T9" s="282"/>
      <c r="U9" s="282"/>
      <c r="V9" s="282"/>
      <c r="W9" s="291"/>
    </row>
    <row r="10" spans="1:248" ht="18.75" x14ac:dyDescent="0.3">
      <c r="A10" s="51"/>
      <c r="B10" s="330"/>
      <c r="C10" s="314"/>
      <c r="D10" s="314"/>
      <c r="E10" s="314"/>
      <c r="F10" s="331"/>
      <c r="G10" s="51"/>
      <c r="H10" s="51"/>
      <c r="N10" s="280" t="s">
        <v>100</v>
      </c>
      <c r="O10" s="282" t="str">
        <f>C1&amp;"_SEC"</f>
        <v>QA845_SEC</v>
      </c>
      <c r="P10" s="282" t="e">
        <f>C11</f>
        <v>#VALUE!</v>
      </c>
      <c r="Q10" s="282"/>
      <c r="R10" s="282"/>
      <c r="S10" s="282"/>
      <c r="T10" s="282"/>
      <c r="U10" s="282"/>
      <c r="V10" s="282"/>
      <c r="W10" s="291"/>
    </row>
    <row r="11" spans="1:248" ht="18.75" x14ac:dyDescent="0.3">
      <c r="A11" s="51"/>
      <c r="B11" s="382" t="s">
        <v>76</v>
      </c>
      <c r="C11" s="314" t="e">
        <f>C8*F8</f>
        <v>#VALUE!</v>
      </c>
      <c r="D11" s="314"/>
      <c r="E11" s="383" t="s">
        <v>164</v>
      </c>
      <c r="F11" s="384">
        <v>12</v>
      </c>
      <c r="G11" s="51"/>
      <c r="H11" s="51"/>
      <c r="N11" s="280" t="s">
        <v>97</v>
      </c>
      <c r="O11" s="282" t="str">
        <f>C1&amp;"_SECW"</f>
        <v>QA845_SECW</v>
      </c>
      <c r="P11" s="364" t="e">
        <f>AB79</f>
        <v>#VALUE!</v>
      </c>
      <c r="Q11" s="282" t="s">
        <v>86</v>
      </c>
      <c r="R11" s="282"/>
      <c r="S11" s="282"/>
      <c r="T11" s="282"/>
      <c r="U11" s="282"/>
      <c r="V11" s="282"/>
      <c r="W11" s="291"/>
    </row>
    <row r="12" spans="1:248" ht="18.75" x14ac:dyDescent="0.3">
      <c r="A12" s="51"/>
      <c r="B12" s="330"/>
      <c r="C12" s="314"/>
      <c r="D12" s="314"/>
      <c r="E12" s="383" t="s">
        <v>165</v>
      </c>
      <c r="F12" s="384">
        <v>16.75</v>
      </c>
      <c r="G12" s="51"/>
      <c r="H12" s="51"/>
      <c r="N12" s="280" t="s">
        <v>98</v>
      </c>
      <c r="O12" s="282" t="str">
        <f>C1&amp;"_TW"</f>
        <v>QA845_TW</v>
      </c>
      <c r="P12" s="364" t="e">
        <f>AB78</f>
        <v>#VALUE!</v>
      </c>
      <c r="Q12" s="282" t="s">
        <v>86</v>
      </c>
      <c r="R12" s="47"/>
      <c r="S12" s="47"/>
      <c r="T12" s="47"/>
      <c r="U12" s="47"/>
      <c r="V12" s="47"/>
      <c r="W12" s="278"/>
    </row>
    <row r="13" spans="1:248" ht="18.75" x14ac:dyDescent="0.3">
      <c r="A13" s="51"/>
      <c r="B13" s="330"/>
      <c r="C13" s="314"/>
      <c r="D13" s="314"/>
      <c r="E13" s="383"/>
      <c r="F13" s="384"/>
      <c r="G13" s="51"/>
      <c r="H13" s="51"/>
      <c r="N13" s="280" t="s">
        <v>280</v>
      </c>
      <c r="O13" s="282" t="str">
        <f>$C$1&amp;"_FACEAREA"</f>
        <v>QA845_FACEAREA</v>
      </c>
      <c r="P13" s="364" t="e">
        <f>J3</f>
        <v>#VALUE!</v>
      </c>
      <c r="Q13" s="282" t="s">
        <v>45</v>
      </c>
      <c r="R13" s="47"/>
      <c r="S13" s="47"/>
      <c r="T13" s="47"/>
      <c r="U13" s="47"/>
      <c r="V13" s="47"/>
      <c r="W13" s="278"/>
    </row>
    <row r="14" spans="1:248" ht="19.5" thickBot="1" x14ac:dyDescent="0.35">
      <c r="A14" s="51"/>
      <c r="B14" s="330"/>
      <c r="C14" s="314"/>
      <c r="D14" s="314"/>
      <c r="E14" s="383"/>
      <c r="F14" s="384"/>
      <c r="G14" s="51"/>
      <c r="H14" s="51"/>
      <c r="N14" s="281" t="s">
        <v>277</v>
      </c>
      <c r="O14" s="395" t="str">
        <f>$C$1&amp;"_FACEVEL"</f>
        <v>QA845_FACEVEL</v>
      </c>
      <c r="P14" s="472" t="e">
        <f>J4</f>
        <v>#VALUE!</v>
      </c>
      <c r="Q14" s="395" t="s">
        <v>0</v>
      </c>
      <c r="R14" s="50"/>
      <c r="S14" s="50"/>
      <c r="T14" s="50"/>
      <c r="U14" s="50"/>
      <c r="V14" s="50"/>
      <c r="W14" s="279"/>
    </row>
    <row r="15" spans="1:248" ht="15.75" thickBot="1" x14ac:dyDescent="0.3">
      <c r="B15" s="49"/>
      <c r="C15" s="50"/>
      <c r="D15" s="50"/>
      <c r="E15" s="50"/>
      <c r="F15" s="279"/>
    </row>
    <row r="16" spans="1:248" ht="24.75" customHeight="1"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5"/>
      <c r="W16" s="94"/>
      <c r="X16" s="95"/>
      <c r="AT16" s="886" t="s">
        <v>108</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8"/>
    </row>
    <row r="17" spans="2:248" ht="18" customHeight="1" thickBot="1" x14ac:dyDescent="0.3">
      <c r="B17" s="66"/>
      <c r="C17" s="68"/>
      <c r="D17" s="68">
        <f>F11</f>
        <v>12</v>
      </c>
      <c r="E17" s="68">
        <f>D17+6</f>
        <v>18</v>
      </c>
      <c r="F17" s="68">
        <f t="shared" ref="F17:G17" si="0">E17+6</f>
        <v>24</v>
      </c>
      <c r="G17" s="68">
        <f t="shared" si="0"/>
        <v>30</v>
      </c>
      <c r="H17" s="68">
        <f>G17+6</f>
        <v>36</v>
      </c>
      <c r="I17" s="68">
        <v>42</v>
      </c>
      <c r="J17" s="68">
        <v>48</v>
      </c>
      <c r="K17" s="68">
        <v>54</v>
      </c>
      <c r="L17" s="68">
        <v>60</v>
      </c>
      <c r="M17" s="68">
        <v>66</v>
      </c>
      <c r="N17" s="68">
        <v>72</v>
      </c>
      <c r="O17" s="68">
        <v>78</v>
      </c>
      <c r="P17" s="68">
        <v>84</v>
      </c>
      <c r="Q17" s="68">
        <v>90</v>
      </c>
      <c r="R17" s="68">
        <v>96</v>
      </c>
      <c r="S17" s="68">
        <v>102</v>
      </c>
      <c r="T17" s="68">
        <v>108</v>
      </c>
      <c r="U17" s="68">
        <v>114</v>
      </c>
      <c r="V17" s="68">
        <v>120</v>
      </c>
      <c r="W17" s="64"/>
      <c r="X17" s="65"/>
      <c r="AT17" s="4"/>
      <c r="AU17" s="5"/>
      <c r="AV17" s="5"/>
      <c r="AW17" s="5"/>
      <c r="AX17" s="6"/>
      <c r="AY17" s="7"/>
      <c r="AZ17" s="7"/>
      <c r="BA17" s="7"/>
      <c r="BB17" s="7"/>
      <c r="BC17" s="7"/>
      <c r="BD17" s="7"/>
      <c r="BE17" s="7"/>
      <c r="BF17" s="7"/>
      <c r="BG17" s="7"/>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5"/>
      <c r="IE17" s="5"/>
      <c r="IF17" s="5"/>
      <c r="IG17" s="5"/>
      <c r="IH17" s="5"/>
      <c r="II17" s="5"/>
      <c r="IJ17" s="5"/>
      <c r="IK17" s="5"/>
      <c r="IL17" s="5"/>
      <c r="IM17" s="5"/>
      <c r="IN17" s="8"/>
    </row>
    <row r="18" spans="2:248" ht="16.5" thickBot="1" x14ac:dyDescent="0.3">
      <c r="B18" s="107" t="s">
        <v>123</v>
      </c>
      <c r="C18" s="104">
        <v>1</v>
      </c>
      <c r="D18" s="105">
        <v>2</v>
      </c>
      <c r="E18" s="106">
        <v>3</v>
      </c>
      <c r="F18" s="106">
        <v>4</v>
      </c>
      <c r="G18" s="106">
        <v>5</v>
      </c>
      <c r="H18" s="106">
        <v>6</v>
      </c>
      <c r="I18" s="106">
        <v>7</v>
      </c>
      <c r="J18" s="106">
        <v>8</v>
      </c>
      <c r="K18" s="106">
        <v>9</v>
      </c>
      <c r="L18" s="106">
        <v>10</v>
      </c>
      <c r="M18" s="106">
        <v>11</v>
      </c>
      <c r="N18" s="106">
        <v>12</v>
      </c>
      <c r="O18" s="106">
        <v>13</v>
      </c>
      <c r="P18" s="106">
        <v>14</v>
      </c>
      <c r="Q18" s="106">
        <v>15</v>
      </c>
      <c r="R18" s="106">
        <v>16</v>
      </c>
      <c r="S18" s="106">
        <v>17</v>
      </c>
      <c r="T18" s="106">
        <v>18</v>
      </c>
      <c r="U18" s="106">
        <v>19</v>
      </c>
      <c r="V18" s="106">
        <v>20</v>
      </c>
      <c r="W18" s="64"/>
      <c r="X18" s="65"/>
      <c r="AT18" s="4"/>
      <c r="AU18" s="889" t="s">
        <v>17</v>
      </c>
      <c r="AV18" s="890"/>
      <c r="AW18" s="209"/>
      <c r="AX18" s="895" t="s">
        <v>18</v>
      </c>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208"/>
      <c r="HY18" s="208"/>
      <c r="HZ18" s="208"/>
      <c r="IA18" s="208"/>
      <c r="IB18" s="208"/>
      <c r="IC18" s="208"/>
      <c r="ID18" s="198"/>
      <c r="IE18" s="200"/>
      <c r="IF18" s="5"/>
      <c r="IG18" s="9"/>
      <c r="IH18" s="9"/>
      <c r="II18" s="9"/>
      <c r="IJ18" s="9"/>
      <c r="IK18" s="9"/>
      <c r="IL18" s="9"/>
      <c r="IM18" s="9"/>
      <c r="IN18" s="8"/>
    </row>
    <row r="19" spans="2:248" ht="15" customHeight="1" thickBot="1" x14ac:dyDescent="0.3">
      <c r="B19" s="103">
        <f>F12</f>
        <v>16.75</v>
      </c>
      <c r="C19" s="101">
        <v>2</v>
      </c>
      <c r="D19" s="99">
        <f t="shared" ref="D19:D33" si="1">AX22/((D$17*B19)/144)</f>
        <v>0.11807758690840019</v>
      </c>
      <c r="E19" s="100">
        <f t="shared" ref="E19:E33" si="2">BH22/((E$17*$B19)/144)</f>
        <v>0.12594942603562687</v>
      </c>
      <c r="F19" s="100">
        <f t="shared" ref="F19:F33" si="3">BR22/((F$17*$B19)/144)</f>
        <v>0.1298853455992402</v>
      </c>
      <c r="G19" s="100">
        <f t="shared" ref="G19:G33" si="4">CB22/((G$17*$B19)/144)</f>
        <v>0.13224689733740819</v>
      </c>
      <c r="H19" s="100">
        <f t="shared" ref="H19:H33" si="5">CL22/((H$17*$B19)/144)</f>
        <v>0.13382126516285353</v>
      </c>
      <c r="I19" s="100">
        <f t="shared" ref="I19:I33" si="6">CV22/((I$17*$B19)/144)</f>
        <v>0.1349458136096002</v>
      </c>
      <c r="J19" s="100">
        <f t="shared" ref="J19:J33" si="7">DF22/((J$17*$B19)/144)</f>
        <v>0.1357892249446602</v>
      </c>
      <c r="K19" s="100">
        <f t="shared" ref="K19:K33" si="8">DP22/((K$17*$B19)/144)</f>
        <v>0.13644521153859576</v>
      </c>
      <c r="L19" s="100">
        <f t="shared" ref="L19:L33" si="9">DZ22/((L$17*$B19)/144)</f>
        <v>0.13697000081374419</v>
      </c>
      <c r="M19" s="100">
        <f t="shared" ref="M19:M33" si="10">EJ22/((M$17*$B19)/144)</f>
        <v>0.13739937385704748</v>
      </c>
      <c r="N19" s="100">
        <f t="shared" ref="N19:N33" si="11">ET22/((N$17*$B19)/144)</f>
        <v>0.13775718472646686</v>
      </c>
      <c r="O19" s="258"/>
      <c r="P19" s="258"/>
      <c r="Q19" s="258"/>
      <c r="R19" s="258"/>
      <c r="S19" s="258"/>
      <c r="T19" s="258"/>
      <c r="U19" s="258"/>
      <c r="V19" s="258"/>
      <c r="W19" s="96"/>
      <c r="X19" s="97"/>
      <c r="Y19" s="83"/>
      <c r="Z19" s="83"/>
      <c r="AA19" s="83"/>
      <c r="AT19" s="4"/>
      <c r="AU19" s="891"/>
      <c r="AV19" s="892"/>
      <c r="AW19" s="210"/>
      <c r="AX19" s="897"/>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207"/>
      <c r="HY19" s="207"/>
      <c r="HZ19" s="207"/>
      <c r="IA19" s="207"/>
      <c r="IB19" s="207"/>
      <c r="IC19" s="207"/>
      <c r="ID19" s="199"/>
      <c r="IE19" s="201"/>
      <c r="IF19" s="5"/>
      <c r="IG19" s="899" t="s">
        <v>19</v>
      </c>
      <c r="IH19" s="900"/>
      <c r="II19" s="900"/>
      <c r="IJ19" s="900"/>
      <c r="IK19" s="900"/>
      <c r="IL19" s="900"/>
      <c r="IM19" s="901"/>
      <c r="IN19" s="8"/>
    </row>
    <row r="20" spans="2:248" ht="15.75" thickBot="1" x14ac:dyDescent="0.3">
      <c r="B20" s="103">
        <v>18</v>
      </c>
      <c r="C20" s="102">
        <v>3</v>
      </c>
      <c r="D20" s="98">
        <f t="shared" si="1"/>
        <v>0.16839990682571182</v>
      </c>
      <c r="E20" s="96">
        <f t="shared" si="2"/>
        <v>0.17962656728075924</v>
      </c>
      <c r="F20" s="96">
        <f t="shared" si="3"/>
        <v>0.18523989750828296</v>
      </c>
      <c r="G20" s="96">
        <f t="shared" si="4"/>
        <v>0.18860789564479719</v>
      </c>
      <c r="H20" s="96">
        <f t="shared" si="5"/>
        <v>0.19085322773580671</v>
      </c>
      <c r="I20" s="96">
        <f t="shared" si="6"/>
        <v>0.19245703637224207</v>
      </c>
      <c r="J20" s="96">
        <f t="shared" si="7"/>
        <v>0.19365989284956855</v>
      </c>
      <c r="K20" s="96">
        <f t="shared" si="8"/>
        <v>0.1945954478874892</v>
      </c>
      <c r="L20" s="96">
        <f t="shared" si="9"/>
        <v>0.19534389191782567</v>
      </c>
      <c r="M20" s="96">
        <f t="shared" si="10"/>
        <v>0.19595625521537371</v>
      </c>
      <c r="N20" s="96">
        <f t="shared" si="11"/>
        <v>0.19646655796333043</v>
      </c>
      <c r="O20" s="259"/>
      <c r="P20" s="259"/>
      <c r="Q20" s="259"/>
      <c r="R20" s="259"/>
      <c r="S20" s="259"/>
      <c r="T20" s="259"/>
      <c r="U20" s="259"/>
      <c r="V20" s="259"/>
      <c r="W20" s="64"/>
      <c r="X20" s="65"/>
      <c r="Z20" s="83"/>
      <c r="AA20" s="83"/>
      <c r="AT20" s="4"/>
      <c r="AU20" s="893"/>
      <c r="AV20" s="894"/>
      <c r="AW20" s="10"/>
      <c r="AX20" s="11">
        <v>12</v>
      </c>
      <c r="AY20" s="12" t="str">
        <f>"("&amp;ROUND(AX20*25.4/50,0)*50&amp;")"</f>
        <v>(300)</v>
      </c>
      <c r="AZ20" s="13" t="s">
        <v>20</v>
      </c>
      <c r="BA20" s="13" t="s">
        <v>21</v>
      </c>
      <c r="BB20" s="13" t="s">
        <v>22</v>
      </c>
      <c r="BC20" s="13" t="s">
        <v>23</v>
      </c>
      <c r="BD20" s="13" t="s">
        <v>24</v>
      </c>
      <c r="BE20" s="13" t="s">
        <v>25</v>
      </c>
      <c r="BF20" s="13" t="s">
        <v>26</v>
      </c>
      <c r="BG20" s="13" t="s">
        <v>27</v>
      </c>
      <c r="BH20" s="11">
        <f>AX20+6</f>
        <v>18</v>
      </c>
      <c r="BI20" s="12" t="str">
        <f>"("&amp;ROUND(BH20*25.4/50,0)*50&amp;")"</f>
        <v>(450)</v>
      </c>
      <c r="BJ20" s="13" t="s">
        <v>20</v>
      </c>
      <c r="BK20" s="13" t="s">
        <v>21</v>
      </c>
      <c r="BL20" s="13" t="s">
        <v>22</v>
      </c>
      <c r="BM20" s="13" t="s">
        <v>23</v>
      </c>
      <c r="BN20" s="13" t="s">
        <v>24</v>
      </c>
      <c r="BO20" s="13" t="s">
        <v>25</v>
      </c>
      <c r="BP20" s="13" t="s">
        <v>26</v>
      </c>
      <c r="BQ20" s="13" t="s">
        <v>27</v>
      </c>
      <c r="BR20" s="11">
        <f>BH20+6</f>
        <v>24</v>
      </c>
      <c r="BS20" s="12" t="str">
        <f>"("&amp;ROUND(BR20*25.4/50,0)*50&amp;")"</f>
        <v>(600)</v>
      </c>
      <c r="BT20" s="13" t="s">
        <v>20</v>
      </c>
      <c r="BU20" s="13" t="s">
        <v>21</v>
      </c>
      <c r="BV20" s="13" t="s">
        <v>22</v>
      </c>
      <c r="BW20" s="13" t="s">
        <v>23</v>
      </c>
      <c r="BX20" s="13" t="s">
        <v>24</v>
      </c>
      <c r="BY20" s="13" t="s">
        <v>25</v>
      </c>
      <c r="BZ20" s="13" t="s">
        <v>26</v>
      </c>
      <c r="CA20" s="13" t="s">
        <v>27</v>
      </c>
      <c r="CB20" s="11">
        <f>BR20+6</f>
        <v>30</v>
      </c>
      <c r="CC20" s="12" t="str">
        <f>"("&amp;ROUND(CB20*25.4/50,0)*50&amp;")"</f>
        <v>(750)</v>
      </c>
      <c r="CD20" s="13" t="s">
        <v>20</v>
      </c>
      <c r="CE20" s="13" t="s">
        <v>21</v>
      </c>
      <c r="CF20" s="13" t="s">
        <v>22</v>
      </c>
      <c r="CG20" s="13" t="s">
        <v>23</v>
      </c>
      <c r="CH20" s="13" t="s">
        <v>24</v>
      </c>
      <c r="CI20" s="13" t="s">
        <v>25</v>
      </c>
      <c r="CJ20" s="13" t="s">
        <v>26</v>
      </c>
      <c r="CK20" s="13" t="s">
        <v>27</v>
      </c>
      <c r="CL20" s="11">
        <f>CB20+6</f>
        <v>36</v>
      </c>
      <c r="CM20" s="12" t="str">
        <f>"("&amp;ROUND(CL20*25.4/50,0)*50&amp;")"</f>
        <v>(900)</v>
      </c>
      <c r="CN20" s="13" t="s">
        <v>20</v>
      </c>
      <c r="CO20" s="13" t="s">
        <v>21</v>
      </c>
      <c r="CP20" s="13" t="s">
        <v>22</v>
      </c>
      <c r="CQ20" s="13" t="s">
        <v>23</v>
      </c>
      <c r="CR20" s="13" t="s">
        <v>24</v>
      </c>
      <c r="CS20" s="13" t="s">
        <v>25</v>
      </c>
      <c r="CT20" s="13" t="s">
        <v>26</v>
      </c>
      <c r="CU20" s="13" t="s">
        <v>27</v>
      </c>
      <c r="CV20" s="11">
        <f>CL20+6</f>
        <v>42</v>
      </c>
      <c r="CW20" s="12" t="str">
        <f>"("&amp;ROUND(CV20*25.4/50,0)*50&amp;")"</f>
        <v>(1050)</v>
      </c>
      <c r="CX20" s="13" t="s">
        <v>20</v>
      </c>
      <c r="CY20" s="13" t="s">
        <v>21</v>
      </c>
      <c r="CZ20" s="13" t="s">
        <v>22</v>
      </c>
      <c r="DA20" s="13" t="s">
        <v>23</v>
      </c>
      <c r="DB20" s="13" t="s">
        <v>24</v>
      </c>
      <c r="DC20" s="13" t="s">
        <v>25</v>
      </c>
      <c r="DD20" s="13" t="s">
        <v>26</v>
      </c>
      <c r="DE20" s="13" t="s">
        <v>27</v>
      </c>
      <c r="DF20" s="11">
        <f>CV20+6</f>
        <v>48</v>
      </c>
      <c r="DG20" s="12" t="str">
        <f>"("&amp;ROUND(DF20*25.4/50,0)*50&amp;")"</f>
        <v>(1200)</v>
      </c>
      <c r="DH20" s="13" t="s">
        <v>20</v>
      </c>
      <c r="DI20" s="13" t="s">
        <v>21</v>
      </c>
      <c r="DJ20" s="13" t="s">
        <v>22</v>
      </c>
      <c r="DK20" s="13" t="s">
        <v>23</v>
      </c>
      <c r="DL20" s="13" t="s">
        <v>24</v>
      </c>
      <c r="DM20" s="13" t="s">
        <v>25</v>
      </c>
      <c r="DN20" s="13" t="s">
        <v>26</v>
      </c>
      <c r="DO20" s="13" t="s">
        <v>27</v>
      </c>
      <c r="DP20" s="11">
        <f>DF20+6</f>
        <v>54</v>
      </c>
      <c r="DQ20" s="12" t="str">
        <f>"("&amp;ROUND(DP20*25.4/50,0)*50&amp;")"</f>
        <v>(1350)</v>
      </c>
      <c r="DR20" s="13" t="s">
        <v>20</v>
      </c>
      <c r="DS20" s="13" t="s">
        <v>21</v>
      </c>
      <c r="DT20" s="13" t="s">
        <v>22</v>
      </c>
      <c r="DU20" s="13" t="s">
        <v>23</v>
      </c>
      <c r="DV20" s="13" t="s">
        <v>24</v>
      </c>
      <c r="DW20" s="13" t="s">
        <v>25</v>
      </c>
      <c r="DX20" s="13" t="s">
        <v>26</v>
      </c>
      <c r="DY20" s="13" t="s">
        <v>27</v>
      </c>
      <c r="DZ20" s="11">
        <f>DP20+6</f>
        <v>60</v>
      </c>
      <c r="EA20" s="12" t="str">
        <f>"("&amp;ROUND(DZ20*25.4/50,0)*50&amp;")"</f>
        <v>(1500)</v>
      </c>
      <c r="EB20" s="13" t="s">
        <v>20</v>
      </c>
      <c r="EC20" s="13" t="s">
        <v>21</v>
      </c>
      <c r="ED20" s="13" t="s">
        <v>22</v>
      </c>
      <c r="EE20" s="13" t="s">
        <v>23</v>
      </c>
      <c r="EF20" s="13" t="s">
        <v>24</v>
      </c>
      <c r="EG20" s="13" t="s">
        <v>25</v>
      </c>
      <c r="EH20" s="13" t="s">
        <v>26</v>
      </c>
      <c r="EI20" s="13" t="s">
        <v>27</v>
      </c>
      <c r="EJ20" s="11">
        <f>DZ20+6</f>
        <v>66</v>
      </c>
      <c r="EK20" s="12" t="str">
        <f>"("&amp;ROUND(EJ20*25.4/50,0)*50&amp;")"</f>
        <v>(1700)</v>
      </c>
      <c r="EL20" s="13" t="s">
        <v>20</v>
      </c>
      <c r="EM20" s="13" t="s">
        <v>21</v>
      </c>
      <c r="EN20" s="13" t="s">
        <v>22</v>
      </c>
      <c r="EO20" s="13" t="s">
        <v>23</v>
      </c>
      <c r="EP20" s="13" t="s">
        <v>24</v>
      </c>
      <c r="EQ20" s="13" t="s">
        <v>25</v>
      </c>
      <c r="ER20" s="13" t="s">
        <v>26</v>
      </c>
      <c r="ES20" s="13" t="s">
        <v>27</v>
      </c>
      <c r="ET20" s="11">
        <f>EJ20+6</f>
        <v>72</v>
      </c>
      <c r="EU20" s="12" t="str">
        <f>"("&amp;ROUND(ET20*25.4/50,0)*50&amp;")"</f>
        <v>(1850)</v>
      </c>
      <c r="EV20" s="13" t="s">
        <v>20</v>
      </c>
      <c r="EW20" s="13" t="s">
        <v>21</v>
      </c>
      <c r="EX20" s="13" t="s">
        <v>22</v>
      </c>
      <c r="EY20" s="13" t="s">
        <v>23</v>
      </c>
      <c r="EZ20" s="13" t="s">
        <v>24</v>
      </c>
      <c r="FA20" s="13" t="s">
        <v>25</v>
      </c>
      <c r="FB20" s="13" t="s">
        <v>26</v>
      </c>
      <c r="FC20" s="13" t="s">
        <v>27</v>
      </c>
      <c r="FD20" s="11">
        <f>ET20+6</f>
        <v>78</v>
      </c>
      <c r="FE20" s="12" t="str">
        <f>"("&amp;ROUND(FD20*25.4/50,0)*50&amp;")"</f>
        <v>(2000)</v>
      </c>
      <c r="FF20" s="13" t="s">
        <v>20</v>
      </c>
      <c r="FG20" s="13" t="s">
        <v>21</v>
      </c>
      <c r="FH20" s="13" t="s">
        <v>22</v>
      </c>
      <c r="FI20" s="13" t="s">
        <v>23</v>
      </c>
      <c r="FJ20" s="13" t="s">
        <v>24</v>
      </c>
      <c r="FK20" s="13" t="s">
        <v>25</v>
      </c>
      <c r="FL20" s="13" t="s">
        <v>26</v>
      </c>
      <c r="FM20" s="13" t="s">
        <v>27</v>
      </c>
      <c r="FN20" s="11">
        <f>FD20+6</f>
        <v>84</v>
      </c>
      <c r="FO20" s="12" t="str">
        <f>"("&amp;ROUND(FN20*25.4/50,0)*50&amp;")"</f>
        <v>(2150)</v>
      </c>
      <c r="FP20" s="13" t="s">
        <v>20</v>
      </c>
      <c r="FQ20" s="13" t="s">
        <v>21</v>
      </c>
      <c r="FR20" s="13" t="s">
        <v>22</v>
      </c>
      <c r="FS20" s="13" t="s">
        <v>23</v>
      </c>
      <c r="FT20" s="13" t="s">
        <v>24</v>
      </c>
      <c r="FU20" s="13" t="s">
        <v>25</v>
      </c>
      <c r="FV20" s="13" t="s">
        <v>26</v>
      </c>
      <c r="FW20" s="13" t="s">
        <v>27</v>
      </c>
      <c r="FX20" s="11">
        <f>FN20+6</f>
        <v>90</v>
      </c>
      <c r="FY20" s="12" t="str">
        <f>"("&amp;ROUND(FX20*25.4/50,0)*50&amp;")"</f>
        <v>(2300)</v>
      </c>
      <c r="FZ20" s="13" t="s">
        <v>20</v>
      </c>
      <c r="GA20" s="13" t="s">
        <v>21</v>
      </c>
      <c r="GB20" s="13" t="s">
        <v>22</v>
      </c>
      <c r="GC20" s="13" t="s">
        <v>23</v>
      </c>
      <c r="GD20" s="13" t="s">
        <v>24</v>
      </c>
      <c r="GE20" s="13" t="s">
        <v>25</v>
      </c>
      <c r="GF20" s="13" t="s">
        <v>26</v>
      </c>
      <c r="GG20" s="13" t="s">
        <v>27</v>
      </c>
      <c r="GH20" s="11">
        <f>FX20+6</f>
        <v>96</v>
      </c>
      <c r="GI20" s="12" t="str">
        <f>"("&amp;ROUND(GH20*25.4/50,0)*50&amp;")"</f>
        <v>(2450)</v>
      </c>
      <c r="GJ20" s="13" t="s">
        <v>20</v>
      </c>
      <c r="GK20" s="13" t="s">
        <v>21</v>
      </c>
      <c r="GL20" s="13" t="s">
        <v>22</v>
      </c>
      <c r="GM20" s="13" t="s">
        <v>23</v>
      </c>
      <c r="GN20" s="13" t="s">
        <v>24</v>
      </c>
      <c r="GO20" s="13" t="s">
        <v>25</v>
      </c>
      <c r="GP20" s="13" t="s">
        <v>26</v>
      </c>
      <c r="GQ20" s="13" t="s">
        <v>27</v>
      </c>
      <c r="GR20" s="11">
        <f>GH20+6</f>
        <v>102</v>
      </c>
      <c r="GS20" s="12" t="str">
        <f>"("&amp;ROUND(GR20*25.4/50,0)*50&amp;")"</f>
        <v>(2600)</v>
      </c>
      <c r="GT20" s="13" t="s">
        <v>20</v>
      </c>
      <c r="GU20" s="13" t="s">
        <v>21</v>
      </c>
      <c r="GV20" s="13" t="s">
        <v>22</v>
      </c>
      <c r="GW20" s="13" t="s">
        <v>23</v>
      </c>
      <c r="GX20" s="13" t="s">
        <v>24</v>
      </c>
      <c r="GY20" s="13" t="s">
        <v>25</v>
      </c>
      <c r="GZ20" s="13" t="s">
        <v>26</v>
      </c>
      <c r="HA20" s="13" t="s">
        <v>27</v>
      </c>
      <c r="HB20" s="11">
        <f>GR20+6</f>
        <v>108</v>
      </c>
      <c r="HC20" s="12" t="str">
        <f>"("&amp;ROUND(HB20*25.4/50,0)*50&amp;")"</f>
        <v>(2750)</v>
      </c>
      <c r="HD20" s="13" t="s">
        <v>20</v>
      </c>
      <c r="HE20" s="13" t="s">
        <v>21</v>
      </c>
      <c r="HF20" s="13" t="s">
        <v>22</v>
      </c>
      <c r="HG20" s="13" t="s">
        <v>23</v>
      </c>
      <c r="HH20" s="13" t="s">
        <v>24</v>
      </c>
      <c r="HI20" s="13" t="s">
        <v>25</v>
      </c>
      <c r="HJ20" s="13" t="s">
        <v>26</v>
      </c>
      <c r="HK20" s="13" t="s">
        <v>27</v>
      </c>
      <c r="HL20" s="11">
        <f>HB20+6</f>
        <v>114</v>
      </c>
      <c r="HM20" s="12" t="str">
        <f>"("&amp;ROUND(HL20*25.4/50,0)*50&amp;")"</f>
        <v>(2900)</v>
      </c>
      <c r="HN20" s="13" t="s">
        <v>20</v>
      </c>
      <c r="HO20" s="13" t="s">
        <v>21</v>
      </c>
      <c r="HP20" s="13" t="s">
        <v>22</v>
      </c>
      <c r="HQ20" s="13" t="s">
        <v>23</v>
      </c>
      <c r="HR20" s="13" t="s">
        <v>24</v>
      </c>
      <c r="HS20" s="13" t="s">
        <v>25</v>
      </c>
      <c r="HT20" s="13" t="s">
        <v>26</v>
      </c>
      <c r="HU20" s="13" t="s">
        <v>27</v>
      </c>
      <c r="HV20" s="11">
        <f>HL20+6</f>
        <v>120</v>
      </c>
      <c r="HW20" s="12" t="str">
        <f>"("&amp;ROUND(HV20*25.4/50,0)*50&amp;")"</f>
        <v>(3050)</v>
      </c>
      <c r="HX20" s="13" t="s">
        <v>20</v>
      </c>
      <c r="HY20" s="13" t="s">
        <v>21</v>
      </c>
      <c r="HZ20" s="13" t="s">
        <v>22</v>
      </c>
      <c r="IA20" s="13" t="s">
        <v>23</v>
      </c>
      <c r="IB20" s="13" t="s">
        <v>24</v>
      </c>
      <c r="IC20" s="13" t="s">
        <v>25</v>
      </c>
      <c r="ID20" s="13" t="s">
        <v>26</v>
      </c>
      <c r="IE20" s="13" t="s">
        <v>27</v>
      </c>
      <c r="IF20" s="15"/>
      <c r="IG20" s="16" t="s">
        <v>28</v>
      </c>
      <c r="IH20" s="16" t="s">
        <v>29</v>
      </c>
      <c r="II20" s="16" t="s">
        <v>30</v>
      </c>
      <c r="IJ20" s="16" t="s">
        <v>31</v>
      </c>
      <c r="IK20" s="16" t="s">
        <v>32</v>
      </c>
      <c r="IL20" s="16" t="s">
        <v>33</v>
      </c>
      <c r="IM20" s="16" t="s">
        <v>34</v>
      </c>
      <c r="IN20" s="8"/>
    </row>
    <row r="21" spans="2:248" ht="15.75" thickBot="1" x14ac:dyDescent="0.3">
      <c r="B21" s="103">
        <f t="shared" ref="B21:B37" si="12">B20+6</f>
        <v>24</v>
      </c>
      <c r="C21" s="102">
        <v>4</v>
      </c>
      <c r="D21" s="98">
        <f t="shared" si="1"/>
        <v>0.19609159678595051</v>
      </c>
      <c r="E21" s="96">
        <f t="shared" si="2"/>
        <v>0.20916436990501386</v>
      </c>
      <c r="F21" s="96">
        <f t="shared" si="3"/>
        <v>0.21570075646454556</v>
      </c>
      <c r="G21" s="96">
        <f t="shared" si="4"/>
        <v>0.21962258840026455</v>
      </c>
      <c r="H21" s="96">
        <f t="shared" si="5"/>
        <v>0.22223714302407727</v>
      </c>
      <c r="I21" s="96">
        <f t="shared" si="6"/>
        <v>0.2241046820410863</v>
      </c>
      <c r="J21" s="96">
        <f t="shared" si="7"/>
        <v>0.22550533630384306</v>
      </c>
      <c r="K21" s="96">
        <f t="shared" si="8"/>
        <v>0.22659473406376504</v>
      </c>
      <c r="L21" s="96">
        <f t="shared" si="9"/>
        <v>0.22746625227170258</v>
      </c>
      <c r="M21" s="96">
        <f t="shared" si="10"/>
        <v>0.22817931262365149</v>
      </c>
      <c r="N21" s="96">
        <f t="shared" si="11"/>
        <v>0.22877352958360889</v>
      </c>
      <c r="O21" s="259"/>
      <c r="P21" s="259"/>
      <c r="Q21" s="259"/>
      <c r="R21" s="259"/>
      <c r="S21" s="259"/>
      <c r="T21" s="259"/>
      <c r="U21" s="259"/>
      <c r="V21" s="259"/>
      <c r="W21" s="64"/>
      <c r="X21" s="65"/>
      <c r="Z21" s="83"/>
      <c r="AA21" s="83"/>
      <c r="AT21" s="4"/>
      <c r="AU21" s="10"/>
      <c r="AV21" s="17"/>
      <c r="AW21" s="18"/>
      <c r="AX21" s="11">
        <v>6</v>
      </c>
      <c r="AY21" s="12">
        <f>AX21+1</f>
        <v>7</v>
      </c>
      <c r="AZ21" s="12">
        <f t="shared" ref="AZ21:DK21" si="13">AY21+1</f>
        <v>8</v>
      </c>
      <c r="BA21" s="12">
        <f t="shared" si="13"/>
        <v>9</v>
      </c>
      <c r="BB21" s="12">
        <f t="shared" si="13"/>
        <v>10</v>
      </c>
      <c r="BC21" s="12">
        <f t="shared" si="13"/>
        <v>11</v>
      </c>
      <c r="BD21" s="12">
        <f t="shared" si="13"/>
        <v>12</v>
      </c>
      <c r="BE21" s="12">
        <f t="shared" si="13"/>
        <v>13</v>
      </c>
      <c r="BF21" s="12">
        <f t="shared" si="13"/>
        <v>14</v>
      </c>
      <c r="BG21" s="12">
        <f t="shared" si="13"/>
        <v>15</v>
      </c>
      <c r="BH21" s="12">
        <f>BG21+1</f>
        <v>16</v>
      </c>
      <c r="BI21" s="12">
        <f t="shared" si="13"/>
        <v>17</v>
      </c>
      <c r="BJ21" s="12">
        <f t="shared" si="13"/>
        <v>18</v>
      </c>
      <c r="BK21" s="12">
        <f t="shared" si="13"/>
        <v>19</v>
      </c>
      <c r="BL21" s="12">
        <f t="shared" si="13"/>
        <v>20</v>
      </c>
      <c r="BM21" s="12">
        <f t="shared" si="13"/>
        <v>21</v>
      </c>
      <c r="BN21" s="12">
        <f t="shared" si="13"/>
        <v>22</v>
      </c>
      <c r="BO21" s="12">
        <f t="shared" si="13"/>
        <v>23</v>
      </c>
      <c r="BP21" s="12">
        <f t="shared" si="13"/>
        <v>24</v>
      </c>
      <c r="BQ21" s="12">
        <f t="shared" si="13"/>
        <v>25</v>
      </c>
      <c r="BR21" s="12">
        <f t="shared" si="13"/>
        <v>26</v>
      </c>
      <c r="BS21" s="12">
        <f t="shared" si="13"/>
        <v>27</v>
      </c>
      <c r="BT21" s="12">
        <f t="shared" si="13"/>
        <v>28</v>
      </c>
      <c r="BU21" s="12">
        <f t="shared" si="13"/>
        <v>29</v>
      </c>
      <c r="BV21" s="12">
        <f t="shared" si="13"/>
        <v>30</v>
      </c>
      <c r="BW21" s="12">
        <f t="shared" si="13"/>
        <v>31</v>
      </c>
      <c r="BX21" s="12">
        <f t="shared" si="13"/>
        <v>32</v>
      </c>
      <c r="BY21" s="12">
        <f t="shared" si="13"/>
        <v>33</v>
      </c>
      <c r="BZ21" s="12">
        <f t="shared" si="13"/>
        <v>34</v>
      </c>
      <c r="CA21" s="12">
        <f t="shared" si="13"/>
        <v>35</v>
      </c>
      <c r="CB21" s="12">
        <f t="shared" si="13"/>
        <v>36</v>
      </c>
      <c r="CC21" s="12">
        <f t="shared" si="13"/>
        <v>37</v>
      </c>
      <c r="CD21" s="12">
        <f t="shared" si="13"/>
        <v>38</v>
      </c>
      <c r="CE21" s="12">
        <f t="shared" si="13"/>
        <v>39</v>
      </c>
      <c r="CF21" s="12">
        <f t="shared" si="13"/>
        <v>40</v>
      </c>
      <c r="CG21" s="12">
        <f t="shared" si="13"/>
        <v>41</v>
      </c>
      <c r="CH21" s="12">
        <f t="shared" si="13"/>
        <v>42</v>
      </c>
      <c r="CI21" s="12">
        <f t="shared" si="13"/>
        <v>43</v>
      </c>
      <c r="CJ21" s="12">
        <f t="shared" si="13"/>
        <v>44</v>
      </c>
      <c r="CK21" s="12">
        <f t="shared" si="13"/>
        <v>45</v>
      </c>
      <c r="CL21" s="12">
        <f t="shared" si="13"/>
        <v>46</v>
      </c>
      <c r="CM21" s="12">
        <f t="shared" si="13"/>
        <v>47</v>
      </c>
      <c r="CN21" s="12">
        <f t="shared" si="13"/>
        <v>48</v>
      </c>
      <c r="CO21" s="12">
        <f t="shared" si="13"/>
        <v>49</v>
      </c>
      <c r="CP21" s="12">
        <f t="shared" si="13"/>
        <v>50</v>
      </c>
      <c r="CQ21" s="12">
        <f t="shared" si="13"/>
        <v>51</v>
      </c>
      <c r="CR21" s="12">
        <f t="shared" si="13"/>
        <v>52</v>
      </c>
      <c r="CS21" s="12">
        <f t="shared" si="13"/>
        <v>53</v>
      </c>
      <c r="CT21" s="12">
        <f t="shared" si="13"/>
        <v>54</v>
      </c>
      <c r="CU21" s="12">
        <f t="shared" si="13"/>
        <v>55</v>
      </c>
      <c r="CV21" s="12">
        <f t="shared" si="13"/>
        <v>56</v>
      </c>
      <c r="CW21" s="12">
        <f t="shared" si="13"/>
        <v>57</v>
      </c>
      <c r="CX21" s="12">
        <f t="shared" si="13"/>
        <v>58</v>
      </c>
      <c r="CY21" s="12">
        <f t="shared" si="13"/>
        <v>59</v>
      </c>
      <c r="CZ21" s="12">
        <f t="shared" si="13"/>
        <v>60</v>
      </c>
      <c r="DA21" s="12">
        <f t="shared" si="13"/>
        <v>61</v>
      </c>
      <c r="DB21" s="12">
        <f t="shared" si="13"/>
        <v>62</v>
      </c>
      <c r="DC21" s="12">
        <f t="shared" si="13"/>
        <v>63</v>
      </c>
      <c r="DD21" s="12">
        <f t="shared" si="13"/>
        <v>64</v>
      </c>
      <c r="DE21" s="12">
        <f t="shared" si="13"/>
        <v>65</v>
      </c>
      <c r="DF21" s="12">
        <f t="shared" si="13"/>
        <v>66</v>
      </c>
      <c r="DG21" s="12">
        <f t="shared" si="13"/>
        <v>67</v>
      </c>
      <c r="DH21" s="12">
        <f t="shared" si="13"/>
        <v>68</v>
      </c>
      <c r="DI21" s="12">
        <f t="shared" si="13"/>
        <v>69</v>
      </c>
      <c r="DJ21" s="12">
        <f t="shared" si="13"/>
        <v>70</v>
      </c>
      <c r="DK21" s="12">
        <f t="shared" si="13"/>
        <v>71</v>
      </c>
      <c r="DL21" s="12">
        <f t="shared" ref="DL21:FW21" si="14">DK21+1</f>
        <v>72</v>
      </c>
      <c r="DM21" s="12">
        <f t="shared" si="14"/>
        <v>73</v>
      </c>
      <c r="DN21" s="12">
        <f t="shared" si="14"/>
        <v>74</v>
      </c>
      <c r="DO21" s="12">
        <f t="shared" si="14"/>
        <v>75</v>
      </c>
      <c r="DP21" s="12">
        <f t="shared" si="14"/>
        <v>76</v>
      </c>
      <c r="DQ21" s="12">
        <f t="shared" si="14"/>
        <v>77</v>
      </c>
      <c r="DR21" s="12">
        <f t="shared" si="14"/>
        <v>78</v>
      </c>
      <c r="DS21" s="12">
        <f t="shared" si="14"/>
        <v>79</v>
      </c>
      <c r="DT21" s="12">
        <f t="shared" si="14"/>
        <v>80</v>
      </c>
      <c r="DU21" s="12">
        <f t="shared" si="14"/>
        <v>81</v>
      </c>
      <c r="DV21" s="12">
        <f t="shared" si="14"/>
        <v>82</v>
      </c>
      <c r="DW21" s="12">
        <f t="shared" si="14"/>
        <v>83</v>
      </c>
      <c r="DX21" s="12">
        <f t="shared" si="14"/>
        <v>84</v>
      </c>
      <c r="DY21" s="12">
        <f t="shared" si="14"/>
        <v>85</v>
      </c>
      <c r="DZ21" s="12">
        <f t="shared" si="14"/>
        <v>86</v>
      </c>
      <c r="EA21" s="12">
        <f t="shared" si="14"/>
        <v>87</v>
      </c>
      <c r="EB21" s="12">
        <f t="shared" si="14"/>
        <v>88</v>
      </c>
      <c r="EC21" s="12">
        <f t="shared" si="14"/>
        <v>89</v>
      </c>
      <c r="ED21" s="12">
        <f t="shared" si="14"/>
        <v>90</v>
      </c>
      <c r="EE21" s="12">
        <f t="shared" si="14"/>
        <v>91</v>
      </c>
      <c r="EF21" s="12">
        <f t="shared" si="14"/>
        <v>92</v>
      </c>
      <c r="EG21" s="12">
        <f t="shared" si="14"/>
        <v>93</v>
      </c>
      <c r="EH21" s="12">
        <f t="shared" si="14"/>
        <v>94</v>
      </c>
      <c r="EI21" s="12">
        <f t="shared" si="14"/>
        <v>95</v>
      </c>
      <c r="EJ21" s="12">
        <f t="shared" si="14"/>
        <v>96</v>
      </c>
      <c r="EK21" s="12">
        <f t="shared" si="14"/>
        <v>97</v>
      </c>
      <c r="EL21" s="12">
        <f t="shared" si="14"/>
        <v>98</v>
      </c>
      <c r="EM21" s="12">
        <f t="shared" si="14"/>
        <v>99</v>
      </c>
      <c r="EN21" s="12">
        <f t="shared" si="14"/>
        <v>100</v>
      </c>
      <c r="EO21" s="12">
        <f t="shared" si="14"/>
        <v>101</v>
      </c>
      <c r="EP21" s="12">
        <f t="shared" si="14"/>
        <v>102</v>
      </c>
      <c r="EQ21" s="12">
        <f t="shared" si="14"/>
        <v>103</v>
      </c>
      <c r="ER21" s="12">
        <f t="shared" si="14"/>
        <v>104</v>
      </c>
      <c r="ES21" s="12">
        <f t="shared" si="14"/>
        <v>105</v>
      </c>
      <c r="ET21" s="12">
        <f t="shared" si="14"/>
        <v>106</v>
      </c>
      <c r="EU21" s="12">
        <f t="shared" si="14"/>
        <v>107</v>
      </c>
      <c r="EV21" s="12">
        <f t="shared" si="14"/>
        <v>108</v>
      </c>
      <c r="EW21" s="12">
        <f t="shared" si="14"/>
        <v>109</v>
      </c>
      <c r="EX21" s="12">
        <f t="shared" si="14"/>
        <v>110</v>
      </c>
      <c r="EY21" s="12">
        <f t="shared" si="14"/>
        <v>111</v>
      </c>
      <c r="EZ21" s="12">
        <f t="shared" si="14"/>
        <v>112</v>
      </c>
      <c r="FA21" s="12">
        <f t="shared" si="14"/>
        <v>113</v>
      </c>
      <c r="FB21" s="12">
        <f t="shared" si="14"/>
        <v>114</v>
      </c>
      <c r="FC21" s="12">
        <f t="shared" si="14"/>
        <v>115</v>
      </c>
      <c r="FD21" s="12">
        <f t="shared" si="14"/>
        <v>116</v>
      </c>
      <c r="FE21" s="12">
        <f t="shared" si="14"/>
        <v>117</v>
      </c>
      <c r="FF21" s="12">
        <f t="shared" si="14"/>
        <v>118</v>
      </c>
      <c r="FG21" s="12">
        <f t="shared" si="14"/>
        <v>119</v>
      </c>
      <c r="FH21" s="12">
        <f t="shared" si="14"/>
        <v>120</v>
      </c>
      <c r="FI21" s="12">
        <f t="shared" si="14"/>
        <v>121</v>
      </c>
      <c r="FJ21" s="12">
        <f t="shared" si="14"/>
        <v>122</v>
      </c>
      <c r="FK21" s="12">
        <f t="shared" si="14"/>
        <v>123</v>
      </c>
      <c r="FL21" s="12">
        <f t="shared" si="14"/>
        <v>124</v>
      </c>
      <c r="FM21" s="12">
        <f t="shared" si="14"/>
        <v>125</v>
      </c>
      <c r="FN21" s="12">
        <f t="shared" si="14"/>
        <v>126</v>
      </c>
      <c r="FO21" s="12">
        <f t="shared" si="14"/>
        <v>127</v>
      </c>
      <c r="FP21" s="12">
        <f t="shared" si="14"/>
        <v>128</v>
      </c>
      <c r="FQ21" s="12">
        <f t="shared" si="14"/>
        <v>129</v>
      </c>
      <c r="FR21" s="12">
        <f t="shared" si="14"/>
        <v>130</v>
      </c>
      <c r="FS21" s="12">
        <f t="shared" si="14"/>
        <v>131</v>
      </c>
      <c r="FT21" s="12">
        <f t="shared" si="14"/>
        <v>132</v>
      </c>
      <c r="FU21" s="12">
        <f t="shared" si="14"/>
        <v>133</v>
      </c>
      <c r="FV21" s="12">
        <f t="shared" si="14"/>
        <v>134</v>
      </c>
      <c r="FW21" s="12">
        <f t="shared" si="14"/>
        <v>135</v>
      </c>
      <c r="FX21" s="12">
        <f t="shared" ref="FX21:HW21" si="15">FW21+1</f>
        <v>136</v>
      </c>
      <c r="FY21" s="12">
        <f t="shared" si="15"/>
        <v>137</v>
      </c>
      <c r="FZ21" s="12">
        <f t="shared" si="15"/>
        <v>138</v>
      </c>
      <c r="GA21" s="12">
        <f t="shared" si="15"/>
        <v>139</v>
      </c>
      <c r="GB21" s="12">
        <f t="shared" si="15"/>
        <v>140</v>
      </c>
      <c r="GC21" s="12">
        <f t="shared" si="15"/>
        <v>141</v>
      </c>
      <c r="GD21" s="12">
        <f t="shared" si="15"/>
        <v>142</v>
      </c>
      <c r="GE21" s="12">
        <f t="shared" si="15"/>
        <v>143</v>
      </c>
      <c r="GF21" s="12">
        <f t="shared" si="15"/>
        <v>144</v>
      </c>
      <c r="GG21" s="12">
        <f t="shared" si="15"/>
        <v>145</v>
      </c>
      <c r="GH21" s="12">
        <f t="shared" si="15"/>
        <v>146</v>
      </c>
      <c r="GI21" s="12">
        <f t="shared" si="15"/>
        <v>147</v>
      </c>
      <c r="GJ21" s="12">
        <f t="shared" si="15"/>
        <v>148</v>
      </c>
      <c r="GK21" s="12">
        <f t="shared" si="15"/>
        <v>149</v>
      </c>
      <c r="GL21" s="12">
        <f t="shared" si="15"/>
        <v>150</v>
      </c>
      <c r="GM21" s="12">
        <f t="shared" si="15"/>
        <v>151</v>
      </c>
      <c r="GN21" s="12">
        <f t="shared" si="15"/>
        <v>152</v>
      </c>
      <c r="GO21" s="12">
        <f t="shared" si="15"/>
        <v>153</v>
      </c>
      <c r="GP21" s="12">
        <f t="shared" si="15"/>
        <v>154</v>
      </c>
      <c r="GQ21" s="12">
        <f t="shared" si="15"/>
        <v>155</v>
      </c>
      <c r="GR21" s="12">
        <f t="shared" si="15"/>
        <v>156</v>
      </c>
      <c r="GS21" s="12">
        <f t="shared" si="15"/>
        <v>157</v>
      </c>
      <c r="GT21" s="12">
        <f t="shared" si="15"/>
        <v>158</v>
      </c>
      <c r="GU21" s="12">
        <f t="shared" si="15"/>
        <v>159</v>
      </c>
      <c r="GV21" s="12">
        <f t="shared" si="15"/>
        <v>160</v>
      </c>
      <c r="GW21" s="12">
        <f t="shared" si="15"/>
        <v>161</v>
      </c>
      <c r="GX21" s="12">
        <f t="shared" si="15"/>
        <v>162</v>
      </c>
      <c r="GY21" s="12">
        <f t="shared" si="15"/>
        <v>163</v>
      </c>
      <c r="GZ21" s="12">
        <f t="shared" si="15"/>
        <v>164</v>
      </c>
      <c r="HA21" s="12">
        <f t="shared" si="15"/>
        <v>165</v>
      </c>
      <c r="HB21" s="12">
        <f t="shared" si="15"/>
        <v>166</v>
      </c>
      <c r="HC21" s="12">
        <f t="shared" si="15"/>
        <v>167</v>
      </c>
      <c r="HD21" s="12">
        <f t="shared" si="15"/>
        <v>168</v>
      </c>
      <c r="HE21" s="12">
        <f t="shared" si="15"/>
        <v>169</v>
      </c>
      <c r="HF21" s="12">
        <f t="shared" si="15"/>
        <v>170</v>
      </c>
      <c r="HG21" s="12">
        <f t="shared" si="15"/>
        <v>171</v>
      </c>
      <c r="HH21" s="12">
        <f t="shared" si="15"/>
        <v>172</v>
      </c>
      <c r="HI21" s="12">
        <f t="shared" si="15"/>
        <v>173</v>
      </c>
      <c r="HJ21" s="12">
        <f t="shared" si="15"/>
        <v>174</v>
      </c>
      <c r="HK21" s="12">
        <f t="shared" si="15"/>
        <v>175</v>
      </c>
      <c r="HL21" s="12">
        <f t="shared" si="15"/>
        <v>176</v>
      </c>
      <c r="HM21" s="12">
        <f t="shared" si="15"/>
        <v>177</v>
      </c>
      <c r="HN21" s="12">
        <f t="shared" si="15"/>
        <v>178</v>
      </c>
      <c r="HO21" s="12">
        <f t="shared" si="15"/>
        <v>179</v>
      </c>
      <c r="HP21" s="12">
        <f t="shared" si="15"/>
        <v>180</v>
      </c>
      <c r="HQ21" s="12">
        <f t="shared" si="15"/>
        <v>181</v>
      </c>
      <c r="HR21" s="12">
        <f t="shared" si="15"/>
        <v>182</v>
      </c>
      <c r="HS21" s="12">
        <f t="shared" si="15"/>
        <v>183</v>
      </c>
      <c r="HT21" s="12">
        <f t="shared" si="15"/>
        <v>184</v>
      </c>
      <c r="HU21" s="12">
        <f t="shared" si="15"/>
        <v>185</v>
      </c>
      <c r="HV21" s="12">
        <f t="shared" si="15"/>
        <v>186</v>
      </c>
      <c r="HW21" s="12">
        <f t="shared" si="15"/>
        <v>187</v>
      </c>
      <c r="HX21" s="13"/>
      <c r="HY21" s="13"/>
      <c r="HZ21" s="13"/>
      <c r="IA21" s="13"/>
      <c r="IB21" s="13"/>
      <c r="IC21" s="13"/>
      <c r="ID21" s="13"/>
      <c r="IE21" s="13"/>
      <c r="IF21" s="15"/>
      <c r="IG21" s="16"/>
      <c r="IH21" s="16"/>
      <c r="II21" s="16"/>
      <c r="IJ21" s="16"/>
      <c r="IK21" s="16"/>
      <c r="IL21" s="16"/>
      <c r="IM21" s="16"/>
      <c r="IN21" s="8"/>
    </row>
    <row r="22" spans="2:248" ht="15.75" thickBot="1" x14ac:dyDescent="0.3">
      <c r="B22" s="103">
        <f t="shared" si="12"/>
        <v>30</v>
      </c>
      <c r="C22" s="102">
        <v>5</v>
      </c>
      <c r="D22" s="98">
        <f t="shared" si="1"/>
        <v>0.21270661076209371</v>
      </c>
      <c r="E22" s="96">
        <f t="shared" si="2"/>
        <v>0.22688705147956664</v>
      </c>
      <c r="F22" s="96">
        <f t="shared" si="3"/>
        <v>0.23397727183830308</v>
      </c>
      <c r="G22" s="96">
        <f t="shared" si="4"/>
        <v>0.23823140405354498</v>
      </c>
      <c r="H22" s="96">
        <f t="shared" si="5"/>
        <v>0.24106749219703957</v>
      </c>
      <c r="I22" s="96">
        <f t="shared" si="6"/>
        <v>0.24309326944239282</v>
      </c>
      <c r="J22" s="96">
        <f t="shared" si="7"/>
        <v>0.24461260237640778</v>
      </c>
      <c r="K22" s="96">
        <f t="shared" si="8"/>
        <v>0.24579430576953054</v>
      </c>
      <c r="L22" s="96">
        <f t="shared" si="9"/>
        <v>0.24673966848402873</v>
      </c>
      <c r="M22" s="96">
        <f t="shared" si="10"/>
        <v>0.24751314706861818</v>
      </c>
      <c r="N22" s="96">
        <f t="shared" si="11"/>
        <v>0.24815771255577604</v>
      </c>
      <c r="O22" s="259"/>
      <c r="P22" s="259"/>
      <c r="Q22" s="259"/>
      <c r="R22" s="259"/>
      <c r="S22" s="259"/>
      <c r="T22" s="259"/>
      <c r="U22" s="259"/>
      <c r="V22" s="259"/>
      <c r="W22" s="64"/>
      <c r="X22" s="65"/>
      <c r="Z22" s="83"/>
      <c r="AA22" s="83"/>
      <c r="AT22" s="4"/>
      <c r="AU22" s="248">
        <f>F12</f>
        <v>16.75</v>
      </c>
      <c r="AV22" s="12" t="str">
        <f>"("&amp;ROUND(AU22*25.4/50,0)*50&amp;")"</f>
        <v>(450)</v>
      </c>
      <c r="AW22" s="19">
        <v>8</v>
      </c>
      <c r="AX22" s="20">
        <v>0.16481663172630859</v>
      </c>
      <c r="AY22" s="21" t="str">
        <f t="shared" ref="AY22" si="16">"("&amp;FIXED(AX22*0.092903,2)&amp;")"</f>
        <v>(0.02)</v>
      </c>
      <c r="AZ22" s="22">
        <v>2</v>
      </c>
      <c r="BA22" s="22">
        <f t="shared" ref="BA22:BA36" si="17">$IK$22*AZ22</f>
        <v>2</v>
      </c>
      <c r="BB22" s="22">
        <v>0</v>
      </c>
      <c r="BC22" s="22">
        <f t="shared" ref="BC22:BC36" si="18">$IM$22*BB22</f>
        <v>0</v>
      </c>
      <c r="BD22" s="22">
        <v>0</v>
      </c>
      <c r="BE22" s="22">
        <f t="shared" ref="BE22:BE36" si="19">$IL$22*BD22</f>
        <v>0</v>
      </c>
      <c r="BF22" s="22">
        <f t="shared" ref="BF22" si="20">BA22+BC22+BE22</f>
        <v>2</v>
      </c>
      <c r="BG22" s="23">
        <f t="shared" ref="BG22:BG36" si="21">AX$20-BA22-BC22-BE22</f>
        <v>10</v>
      </c>
      <c r="BH22" s="20">
        <v>0.26370661076209373</v>
      </c>
      <c r="BI22" s="21" t="str">
        <f t="shared" ref="BI22" si="22">"("&amp;ROUND(BH22*0.092903,2)&amp;")"</f>
        <v>(0.02)</v>
      </c>
      <c r="BJ22" s="22">
        <v>2</v>
      </c>
      <c r="BK22" s="22">
        <f t="shared" ref="BK22:BK36" si="23">$IK$22*BJ22</f>
        <v>2</v>
      </c>
      <c r="BL22" s="22">
        <v>0</v>
      </c>
      <c r="BM22" s="22">
        <f t="shared" ref="BM22:BM36" si="24">$IM$22*BL22</f>
        <v>0</v>
      </c>
      <c r="BN22" s="22">
        <v>0</v>
      </c>
      <c r="BO22" s="22">
        <f t="shared" ref="BO22:BO36" si="25">$IL$22*BN22</f>
        <v>0</v>
      </c>
      <c r="BP22" s="22">
        <f t="shared" ref="BP22" si="26">BK22+BM22+BO22</f>
        <v>2</v>
      </c>
      <c r="BQ22" s="23">
        <f t="shared" ref="BQ22:BQ36" si="27">BH$20-BK22-BM22-BO22</f>
        <v>16</v>
      </c>
      <c r="BR22" s="20">
        <v>0.3625965897978789</v>
      </c>
      <c r="BS22" s="21" t="str">
        <f t="shared" ref="BS22" si="28">"("&amp;ROUND(BR22*0.092903,2)&amp;")"</f>
        <v>(0.03)</v>
      </c>
      <c r="BT22" s="22">
        <v>2</v>
      </c>
      <c r="BU22" s="22">
        <f t="shared" ref="BU22:BU36" si="29">$IK$22*BT22</f>
        <v>2</v>
      </c>
      <c r="BV22" s="22">
        <v>0</v>
      </c>
      <c r="BW22" s="22">
        <f t="shared" ref="BW22:BW36" si="30">$IM$22*BV22</f>
        <v>0</v>
      </c>
      <c r="BX22" s="22">
        <v>0</v>
      </c>
      <c r="BY22" s="22">
        <f t="shared" ref="BY22:BY36" si="31">$IL$22*BX22</f>
        <v>0</v>
      </c>
      <c r="BZ22" s="22">
        <f t="shared" ref="BZ22" si="32">BU22+BW22+BY22</f>
        <v>2</v>
      </c>
      <c r="CA22" s="23">
        <f t="shared" ref="CA22:CA36" si="33">BR$20-BU22-BW22-BY22</f>
        <v>22</v>
      </c>
      <c r="CB22" s="20">
        <v>0.46148656883366401</v>
      </c>
      <c r="CC22" s="21" t="str">
        <f t="shared" ref="CC22" si="34">"("&amp;ROUND(CB22*0.092903,2)&amp;")"</f>
        <v>(0.04)</v>
      </c>
      <c r="CD22" s="22">
        <v>2</v>
      </c>
      <c r="CE22" s="22">
        <f t="shared" ref="CE22:CE36" si="35">$IK$22*CD22</f>
        <v>2</v>
      </c>
      <c r="CF22" s="22">
        <v>0</v>
      </c>
      <c r="CG22" s="22">
        <f t="shared" ref="CG22:CG36" si="36">$IM$22*CF22</f>
        <v>0</v>
      </c>
      <c r="CH22" s="22">
        <v>0</v>
      </c>
      <c r="CI22" s="22">
        <f t="shared" ref="CI22:CI36" si="37">$IL$22*CH22</f>
        <v>0</v>
      </c>
      <c r="CJ22" s="22">
        <f t="shared" ref="CJ22" si="38">CE22+CG22+CI22</f>
        <v>2</v>
      </c>
      <c r="CK22" s="23">
        <f t="shared" ref="CK22:CK36" si="39">CB$20-CE22-CG22-CI22</f>
        <v>28</v>
      </c>
      <c r="CL22" s="20">
        <v>0.56037654786944913</v>
      </c>
      <c r="CM22" s="21" t="str">
        <f t="shared" ref="CM22" si="40">"("&amp;ROUND(CL22*0.092903,2)&amp;")"</f>
        <v>(0.05)</v>
      </c>
      <c r="CN22" s="22">
        <v>2</v>
      </c>
      <c r="CO22" s="22">
        <f t="shared" ref="CO22:CO36" si="41">$IK$22*CN22</f>
        <v>2</v>
      </c>
      <c r="CP22" s="22">
        <v>0</v>
      </c>
      <c r="CQ22" s="22">
        <f t="shared" ref="CQ22:CQ36" si="42">$IM$22*CP22</f>
        <v>0</v>
      </c>
      <c r="CR22" s="22">
        <v>0</v>
      </c>
      <c r="CS22" s="22">
        <f t="shared" ref="CS22:CS36" si="43">$IL$22*CR22</f>
        <v>0</v>
      </c>
      <c r="CT22" s="22">
        <f t="shared" ref="CT22" si="44">CO22+CQ22+CS22</f>
        <v>2</v>
      </c>
      <c r="CU22" s="23">
        <f t="shared" ref="CU22:CU36" si="45">CL$20-CO22-CQ22-CS22</f>
        <v>34</v>
      </c>
      <c r="CV22" s="20">
        <v>0.65926652690523435</v>
      </c>
      <c r="CW22" s="21" t="str">
        <f t="shared" ref="CW22" si="46">"("&amp;ROUND(CV22*0.092903,2)&amp;")"</f>
        <v>(0.06)</v>
      </c>
      <c r="CX22" s="22">
        <v>2</v>
      </c>
      <c r="CY22" s="22">
        <f t="shared" ref="CY22:CY36" si="47">$IK$22*CX22</f>
        <v>2</v>
      </c>
      <c r="CZ22" s="22">
        <v>0</v>
      </c>
      <c r="DA22" s="22">
        <f t="shared" ref="DA22:DA36" si="48">$IM$22*CZ22</f>
        <v>0</v>
      </c>
      <c r="DB22" s="22">
        <v>0</v>
      </c>
      <c r="DC22" s="22">
        <f t="shared" ref="DC22:DC36" si="49">$IL$22*DB22</f>
        <v>0</v>
      </c>
      <c r="DD22" s="22">
        <f t="shared" ref="DD22" si="50">CY22+DA22+DC22</f>
        <v>2</v>
      </c>
      <c r="DE22" s="23">
        <f t="shared" ref="DE22:DE36" si="51">CV$20-CY22-DA22-DC22</f>
        <v>40</v>
      </c>
      <c r="DF22" s="20">
        <v>0.75815650594101947</v>
      </c>
      <c r="DG22" s="21" t="str">
        <f t="shared" ref="DG22" si="52">"("&amp;ROUND(DF22*0.092903,2)&amp;")"</f>
        <v>(0.07)</v>
      </c>
      <c r="DH22" s="22">
        <v>2</v>
      </c>
      <c r="DI22" s="22">
        <f t="shared" ref="DI22:DI36" si="53">$IK$22*DH22</f>
        <v>2</v>
      </c>
      <c r="DJ22" s="22">
        <v>0</v>
      </c>
      <c r="DK22" s="22">
        <f t="shared" ref="DK22:DK36" si="54">$IM$22*DJ22</f>
        <v>0</v>
      </c>
      <c r="DL22" s="22">
        <v>0</v>
      </c>
      <c r="DM22" s="22">
        <f t="shared" ref="DM22:DM36" si="55">$IL$22*DL22</f>
        <v>0</v>
      </c>
      <c r="DN22" s="22">
        <f t="shared" ref="DN22" si="56">DI22+DK22+DM22</f>
        <v>2</v>
      </c>
      <c r="DO22" s="23">
        <f t="shared" ref="DO22:DO36" si="57">DF$20-DI22-DK22-DM22</f>
        <v>46</v>
      </c>
      <c r="DP22" s="20">
        <v>0.85704648497680458</v>
      </c>
      <c r="DQ22" s="21" t="str">
        <f t="shared" ref="DQ22" si="58">"("&amp;FIXED(DP22*0.092903,2)&amp;")"</f>
        <v>(0.08)</v>
      </c>
      <c r="DR22" s="22">
        <v>2</v>
      </c>
      <c r="DS22" s="22">
        <f t="shared" ref="DS22:DS36" si="59">$IK$22*DR22</f>
        <v>2</v>
      </c>
      <c r="DT22" s="22">
        <v>0</v>
      </c>
      <c r="DU22" s="22">
        <f t="shared" ref="DU22:DU36" si="60">$IM$22*DT22</f>
        <v>0</v>
      </c>
      <c r="DV22" s="22">
        <v>0</v>
      </c>
      <c r="DW22" s="22">
        <f t="shared" ref="DW22:DW36" si="61">$IL$22*DV22</f>
        <v>0</v>
      </c>
      <c r="DX22" s="22">
        <f t="shared" ref="DX22" si="62">DS22+DU22+DW22</f>
        <v>2</v>
      </c>
      <c r="DY22" s="23">
        <f t="shared" ref="DY22:DY36" si="63">DP$20-DS22-DU22-DW22</f>
        <v>52</v>
      </c>
      <c r="DZ22" s="20">
        <v>0.9559364640125898</v>
      </c>
      <c r="EA22" s="21" t="str">
        <f t="shared" ref="EA22" si="64">"("&amp;FIXED(DZ22*0.092903,2)&amp;")"</f>
        <v>(0.09)</v>
      </c>
      <c r="EB22" s="22">
        <v>2</v>
      </c>
      <c r="EC22" s="22">
        <f t="shared" ref="EC22:EC36" si="65">$IK$22*EB22</f>
        <v>2</v>
      </c>
      <c r="ED22" s="22">
        <v>0</v>
      </c>
      <c r="EE22" s="22">
        <f t="shared" ref="EE22:EE36" si="66">$IM$22*ED22</f>
        <v>0</v>
      </c>
      <c r="EF22" s="22">
        <v>0</v>
      </c>
      <c r="EG22" s="22">
        <f t="shared" ref="EG22:EG36" si="67">$IL$22*EF22</f>
        <v>0</v>
      </c>
      <c r="EH22" s="22">
        <f t="shared" ref="EH22" si="68">EC22+EE22+EG22</f>
        <v>2</v>
      </c>
      <c r="EI22" s="23">
        <f t="shared" ref="EI22:EI36" si="69">DZ$20-EC22-EE22-EG22</f>
        <v>58</v>
      </c>
      <c r="EJ22" s="20">
        <v>1.0548264430483749</v>
      </c>
      <c r="EK22" s="21" t="str">
        <f t="shared" ref="EK22" si="70">"("&amp;FIXED(EJ22*0.092903,2)&amp;")"</f>
        <v>(0.10)</v>
      </c>
      <c r="EL22" s="22">
        <v>2</v>
      </c>
      <c r="EM22" s="22">
        <f t="shared" ref="EM22:EM36" si="71">$IK$22*EL22</f>
        <v>2</v>
      </c>
      <c r="EN22" s="22">
        <v>0</v>
      </c>
      <c r="EO22" s="22">
        <f t="shared" ref="EO22:EO36" si="72">$IM$22*EN22</f>
        <v>0</v>
      </c>
      <c r="EP22" s="22">
        <v>0</v>
      </c>
      <c r="EQ22" s="22">
        <f t="shared" ref="EQ22:EQ36" si="73">$IL$22*EP22</f>
        <v>0</v>
      </c>
      <c r="ER22" s="22">
        <f t="shared" ref="ER22" si="74">EM22+EO22+EQ22</f>
        <v>2</v>
      </c>
      <c r="ES22" s="23">
        <f t="shared" ref="ES22:ES36" si="75">EJ$20-EM22-EO22-EQ22</f>
        <v>64</v>
      </c>
      <c r="ET22" s="20">
        <v>1.15371642208416</v>
      </c>
      <c r="EU22" s="21" t="str">
        <f t="shared" ref="EU22" si="76">"("&amp;FIXED(ET22*0.092903,2)&amp;")"</f>
        <v>(0.11)</v>
      </c>
      <c r="EV22" s="22">
        <v>2</v>
      </c>
      <c r="EW22" s="22">
        <f t="shared" ref="EW22:EW36" si="77">$IK$22*EV22</f>
        <v>2</v>
      </c>
      <c r="EX22" s="22">
        <v>0</v>
      </c>
      <c r="EY22" s="22">
        <f t="shared" ref="EY22:EY36" si="78">$IM$22*EX22</f>
        <v>0</v>
      </c>
      <c r="EZ22" s="22">
        <v>0</v>
      </c>
      <c r="FA22" s="22">
        <f t="shared" ref="FA22:FA36" si="79">$IL$22*EZ22</f>
        <v>0</v>
      </c>
      <c r="FB22" s="22">
        <f t="shared" ref="FB22" si="80">EW22+EY22+FA22</f>
        <v>2</v>
      </c>
      <c r="FC22" s="23">
        <f t="shared" ref="FC22:FC36" si="81">ET$20-EW22-EY22-FA22</f>
        <v>70</v>
      </c>
      <c r="FD22" s="202"/>
      <c r="FE22" s="203"/>
      <c r="FF22" s="204"/>
      <c r="FG22" s="204"/>
      <c r="FH22" s="204"/>
      <c r="FI22" s="204"/>
      <c r="FJ22" s="204"/>
      <c r="FK22" s="204"/>
      <c r="FL22" s="204"/>
      <c r="FM22" s="205"/>
      <c r="FN22" s="202"/>
      <c r="FO22" s="203"/>
      <c r="FP22" s="204"/>
      <c r="FQ22" s="204"/>
      <c r="FR22" s="204"/>
      <c r="FS22" s="204"/>
      <c r="FT22" s="204"/>
      <c r="FU22" s="204"/>
      <c r="FV22" s="204"/>
      <c r="FW22" s="205"/>
      <c r="FX22" s="202"/>
      <c r="FY22" s="203"/>
      <c r="FZ22" s="204"/>
      <c r="GA22" s="204"/>
      <c r="GB22" s="204"/>
      <c r="GC22" s="204"/>
      <c r="GD22" s="204"/>
      <c r="GE22" s="204"/>
      <c r="GF22" s="204"/>
      <c r="GG22" s="205"/>
      <c r="GH22" s="202"/>
      <c r="GI22" s="203"/>
      <c r="GJ22" s="204"/>
      <c r="GK22" s="204"/>
      <c r="GL22" s="204"/>
      <c r="GM22" s="204"/>
      <c r="GN22" s="204"/>
      <c r="GO22" s="204"/>
      <c r="GP22" s="204"/>
      <c r="GQ22" s="205"/>
      <c r="GR22" s="202"/>
      <c r="GS22" s="203"/>
      <c r="GT22" s="204"/>
      <c r="GU22" s="204"/>
      <c r="GV22" s="204"/>
      <c r="GW22" s="204"/>
      <c r="GX22" s="204"/>
      <c r="GY22" s="204"/>
      <c r="GZ22" s="204"/>
      <c r="HA22" s="205"/>
      <c r="HB22" s="202"/>
      <c r="HC22" s="203"/>
      <c r="HD22" s="204"/>
      <c r="HE22" s="204"/>
      <c r="HF22" s="204"/>
      <c r="HG22" s="204"/>
      <c r="HH22" s="204"/>
      <c r="HI22" s="204"/>
      <c r="HJ22" s="204"/>
      <c r="HK22" s="205"/>
      <c r="HL22" s="202"/>
      <c r="HM22" s="203"/>
      <c r="HN22" s="204"/>
      <c r="HO22" s="204"/>
      <c r="HP22" s="204"/>
      <c r="HQ22" s="204"/>
      <c r="HR22" s="204"/>
      <c r="HS22" s="204"/>
      <c r="HT22" s="204"/>
      <c r="HU22" s="205"/>
      <c r="HV22" s="202"/>
      <c r="HW22" s="203"/>
      <c r="HX22" s="204"/>
      <c r="HY22" s="204"/>
      <c r="HZ22" s="204"/>
      <c r="IA22" s="204"/>
      <c r="IB22" s="204"/>
      <c r="IC22" s="204"/>
      <c r="ID22" s="204"/>
      <c r="IE22" s="205"/>
      <c r="IF22" s="262"/>
      <c r="IG22" s="25">
        <v>0</v>
      </c>
      <c r="IH22" s="26"/>
      <c r="II22" s="26"/>
      <c r="IJ22" s="26"/>
      <c r="IK22" s="26">
        <v>1</v>
      </c>
      <c r="IL22" s="26">
        <v>1</v>
      </c>
      <c r="IM22" s="26">
        <v>1.125</v>
      </c>
      <c r="IN22" s="8"/>
    </row>
    <row r="23" spans="2:248" ht="15.75" thickBot="1" x14ac:dyDescent="0.3">
      <c r="B23" s="103">
        <f t="shared" si="12"/>
        <v>36</v>
      </c>
      <c r="C23" s="102">
        <v>6</v>
      </c>
      <c r="D23" s="98">
        <f t="shared" si="1"/>
        <v>0.22378328674618922</v>
      </c>
      <c r="E23" s="96">
        <f t="shared" si="2"/>
        <v>0.23870217252926848</v>
      </c>
      <c r="F23" s="96">
        <f t="shared" si="3"/>
        <v>0.24616161542080814</v>
      </c>
      <c r="G23" s="96">
        <f t="shared" si="4"/>
        <v>0.25063728115573192</v>
      </c>
      <c r="H23" s="96">
        <f t="shared" si="5"/>
        <v>0.25362105831234777</v>
      </c>
      <c r="I23" s="96">
        <f t="shared" si="6"/>
        <v>0.25575232770993056</v>
      </c>
      <c r="J23" s="96">
        <f t="shared" si="7"/>
        <v>0.2573507797581176</v>
      </c>
      <c r="K23" s="96">
        <f t="shared" si="8"/>
        <v>0.25859402024004086</v>
      </c>
      <c r="L23" s="96">
        <f t="shared" si="9"/>
        <v>0.25958861262557947</v>
      </c>
      <c r="M23" s="96">
        <f t="shared" si="10"/>
        <v>0.26040237003192923</v>
      </c>
      <c r="N23" s="96">
        <f t="shared" si="11"/>
        <v>0.26108050120388743</v>
      </c>
      <c r="O23" s="259"/>
      <c r="P23" s="259"/>
      <c r="Q23" s="259"/>
      <c r="R23" s="259"/>
      <c r="S23" s="259"/>
      <c r="T23" s="259"/>
      <c r="U23" s="259"/>
      <c r="V23" s="259"/>
      <c r="W23" s="64"/>
      <c r="X23" s="65"/>
      <c r="Z23" s="83"/>
      <c r="AA23" s="83"/>
      <c r="AT23" s="4"/>
      <c r="AU23" s="14">
        <v>18</v>
      </c>
      <c r="AV23" s="12" t="str">
        <f t="shared" ref="AV23:AV40" si="82">"("&amp;ROUND(AU23*25.4/50,0)*50&amp;")"</f>
        <v>(450)</v>
      </c>
      <c r="AW23" s="19">
        <f>AW22+1</f>
        <v>9</v>
      </c>
      <c r="AX23" s="373">
        <f t="shared" ref="AX23:AX36" si="83">($IH23+(($IG23-1)*$II23)+$IJ23)*BG23/144</f>
        <v>0.25259986023856773</v>
      </c>
      <c r="AY23" s="374" t="str">
        <f t="shared" ref="AY23:AY36" si="84">"("&amp;FIXED(AX23*0.092903,2)&amp;")"</f>
        <v>(0.02)</v>
      </c>
      <c r="AZ23" s="375">
        <v>2</v>
      </c>
      <c r="BA23" s="375">
        <f t="shared" si="17"/>
        <v>2</v>
      </c>
      <c r="BB23" s="375">
        <v>0</v>
      </c>
      <c r="BC23" s="375">
        <f t="shared" si="18"/>
        <v>0</v>
      </c>
      <c r="BD23" s="375">
        <v>0</v>
      </c>
      <c r="BE23" s="375">
        <f t="shared" si="19"/>
        <v>0</v>
      </c>
      <c r="BF23" s="375">
        <f t="shared" ref="BF23:BF36" si="85">BA23+BC23+BE23</f>
        <v>2</v>
      </c>
      <c r="BG23" s="376">
        <f t="shared" si="21"/>
        <v>10</v>
      </c>
      <c r="BH23" s="373">
        <f t="shared" ref="BH23:BH36" si="86">($IH23+(($IG23-1)*$II23)+$IJ23)*BQ23/144</f>
        <v>0.4041597763817083</v>
      </c>
      <c r="BI23" s="374" t="str">
        <f t="shared" ref="BI23:BI36" si="87">"("&amp;ROUND(BH23*0.092903,2)&amp;")"</f>
        <v>(0.04)</v>
      </c>
      <c r="BJ23" s="375">
        <v>2</v>
      </c>
      <c r="BK23" s="375">
        <f t="shared" si="23"/>
        <v>2</v>
      </c>
      <c r="BL23" s="375">
        <v>0</v>
      </c>
      <c r="BM23" s="375">
        <f t="shared" si="24"/>
        <v>0</v>
      </c>
      <c r="BN23" s="375">
        <v>0</v>
      </c>
      <c r="BO23" s="375">
        <f t="shared" si="25"/>
        <v>0</v>
      </c>
      <c r="BP23" s="375">
        <f t="shared" ref="BP23:BP36" si="88">BK23+BM23+BO23</f>
        <v>2</v>
      </c>
      <c r="BQ23" s="376">
        <f t="shared" si="27"/>
        <v>16</v>
      </c>
      <c r="BR23" s="373">
        <f t="shared" ref="BR23:BR36" si="89">($IH23+(($IG23-1)*$II23)+$IJ23)*CA23/144</f>
        <v>0.55571969252484887</v>
      </c>
      <c r="BS23" s="374" t="str">
        <f t="shared" ref="BS23:BS36" si="90">"("&amp;ROUND(BR23*0.092903,2)&amp;")"</f>
        <v>(0.05)</v>
      </c>
      <c r="BT23" s="375">
        <v>2</v>
      </c>
      <c r="BU23" s="375">
        <f t="shared" si="29"/>
        <v>2</v>
      </c>
      <c r="BV23" s="375">
        <v>0</v>
      </c>
      <c r="BW23" s="375">
        <f t="shared" si="30"/>
        <v>0</v>
      </c>
      <c r="BX23" s="375">
        <v>0</v>
      </c>
      <c r="BY23" s="375">
        <f t="shared" si="31"/>
        <v>0</v>
      </c>
      <c r="BZ23" s="375">
        <f t="shared" ref="BZ23:BZ36" si="91">BU23+BW23+BY23</f>
        <v>2</v>
      </c>
      <c r="CA23" s="376">
        <f t="shared" si="33"/>
        <v>22</v>
      </c>
      <c r="CB23" s="373">
        <f t="shared" ref="CB23:CB36" si="92">($IH23+(($IG23-1)*$II23)+$IJ23)*CK23/144</f>
        <v>0.70727960866798945</v>
      </c>
      <c r="CC23" s="374" t="str">
        <f t="shared" ref="CC23:CC36" si="93">"("&amp;ROUND(CB23*0.092903,2)&amp;")"</f>
        <v>(0.07)</v>
      </c>
      <c r="CD23" s="375">
        <v>2</v>
      </c>
      <c r="CE23" s="375">
        <f t="shared" si="35"/>
        <v>2</v>
      </c>
      <c r="CF23" s="375">
        <v>0</v>
      </c>
      <c r="CG23" s="375">
        <f t="shared" si="36"/>
        <v>0</v>
      </c>
      <c r="CH23" s="375">
        <v>0</v>
      </c>
      <c r="CI23" s="375">
        <f t="shared" si="37"/>
        <v>0</v>
      </c>
      <c r="CJ23" s="375">
        <f t="shared" ref="CJ23:CJ36" si="94">CE23+CG23+CI23</f>
        <v>2</v>
      </c>
      <c r="CK23" s="376">
        <f t="shared" si="39"/>
        <v>28</v>
      </c>
      <c r="CL23" s="373">
        <f t="shared" ref="CL23:CL36" si="95">($IH23+(($IG23-1)*$II23)+$IJ23)*CU23/144</f>
        <v>0.85883952481113013</v>
      </c>
      <c r="CM23" s="374" t="str">
        <f t="shared" ref="CM23:CM36" si="96">"("&amp;ROUND(CL23*0.092903,2)&amp;")"</f>
        <v>(0.08)</v>
      </c>
      <c r="CN23" s="375">
        <v>2</v>
      </c>
      <c r="CO23" s="375">
        <f t="shared" si="41"/>
        <v>2</v>
      </c>
      <c r="CP23" s="375">
        <v>0</v>
      </c>
      <c r="CQ23" s="375">
        <f t="shared" si="42"/>
        <v>0</v>
      </c>
      <c r="CR23" s="375">
        <v>0</v>
      </c>
      <c r="CS23" s="375">
        <f t="shared" si="43"/>
        <v>0</v>
      </c>
      <c r="CT23" s="375">
        <f t="shared" ref="CT23:CT36" si="97">CO23+CQ23+CS23</f>
        <v>2</v>
      </c>
      <c r="CU23" s="376">
        <f t="shared" si="45"/>
        <v>34</v>
      </c>
      <c r="CV23" s="373">
        <f t="shared" ref="CV23:CV36" si="98">($IH23+(($IG23-1)*$II23)+$IJ23)*DE23/144</f>
        <v>1.0103994409542709</v>
      </c>
      <c r="CW23" s="374" t="str">
        <f t="shared" ref="CW23:CW36" si="99">"("&amp;ROUND(CV23*0.092903,2)&amp;")"</f>
        <v>(0.09)</v>
      </c>
      <c r="CX23" s="375">
        <v>2</v>
      </c>
      <c r="CY23" s="375">
        <f t="shared" si="47"/>
        <v>2</v>
      </c>
      <c r="CZ23" s="375">
        <v>0</v>
      </c>
      <c r="DA23" s="375">
        <f t="shared" si="48"/>
        <v>0</v>
      </c>
      <c r="DB23" s="375">
        <v>0</v>
      </c>
      <c r="DC23" s="375">
        <f t="shared" si="49"/>
        <v>0</v>
      </c>
      <c r="DD23" s="375">
        <f t="shared" ref="DD23:DD36" si="100">CY23+DA23+DC23</f>
        <v>2</v>
      </c>
      <c r="DE23" s="376">
        <f t="shared" si="51"/>
        <v>40</v>
      </c>
      <c r="DF23" s="373">
        <f t="shared" ref="DF23:DF36" si="101">($IH23+(($IG23-1)*$II23)+$IJ23)*DO23/144</f>
        <v>1.1619593570974114</v>
      </c>
      <c r="DG23" s="374" t="str">
        <f t="shared" ref="DG23:DG36" si="102">"("&amp;ROUND(DF23*0.092903,2)&amp;")"</f>
        <v>(0.11)</v>
      </c>
      <c r="DH23" s="375">
        <v>2</v>
      </c>
      <c r="DI23" s="375">
        <f t="shared" si="53"/>
        <v>2</v>
      </c>
      <c r="DJ23" s="375">
        <v>0</v>
      </c>
      <c r="DK23" s="375">
        <f t="shared" si="54"/>
        <v>0</v>
      </c>
      <c r="DL23" s="375">
        <v>0</v>
      </c>
      <c r="DM23" s="375">
        <f t="shared" si="55"/>
        <v>0</v>
      </c>
      <c r="DN23" s="375">
        <f t="shared" ref="DN23:DN36" si="103">DI23+DK23+DM23</f>
        <v>2</v>
      </c>
      <c r="DO23" s="376">
        <f t="shared" si="57"/>
        <v>46</v>
      </c>
      <c r="DP23" s="373">
        <f t="shared" ref="DP23:DP36" si="104">($IH23+(($IG23-1)*$II23)+$IJ23)*DY23/144</f>
        <v>1.3135192732405521</v>
      </c>
      <c r="DQ23" s="374" t="str">
        <f t="shared" ref="DQ23:DQ36" si="105">"("&amp;FIXED(DP23*0.092903,2)&amp;")"</f>
        <v>(0.12)</v>
      </c>
      <c r="DR23" s="375">
        <v>2</v>
      </c>
      <c r="DS23" s="375">
        <f t="shared" si="59"/>
        <v>2</v>
      </c>
      <c r="DT23" s="375">
        <v>0</v>
      </c>
      <c r="DU23" s="375">
        <f t="shared" si="60"/>
        <v>0</v>
      </c>
      <c r="DV23" s="375">
        <v>0</v>
      </c>
      <c r="DW23" s="375">
        <f t="shared" si="61"/>
        <v>0</v>
      </c>
      <c r="DX23" s="375">
        <f t="shared" ref="DX23:DX36" si="106">DS23+DU23+DW23</f>
        <v>2</v>
      </c>
      <c r="DY23" s="376">
        <f t="shared" si="63"/>
        <v>52</v>
      </c>
      <c r="DZ23" s="373">
        <f t="shared" ref="DZ23:DZ36" si="107">($IH23+(($IG23-1)*$II23)+$IJ23)*EI23/144</f>
        <v>1.4650791893836925</v>
      </c>
      <c r="EA23" s="374" t="str">
        <f t="shared" ref="EA23:EA29" si="108">"("&amp;FIXED(DZ23*0.092903,2)&amp;")"</f>
        <v>(0.14)</v>
      </c>
      <c r="EB23" s="375">
        <v>2</v>
      </c>
      <c r="EC23" s="375">
        <f t="shared" si="65"/>
        <v>2</v>
      </c>
      <c r="ED23" s="375">
        <v>0</v>
      </c>
      <c r="EE23" s="375">
        <f t="shared" si="66"/>
        <v>0</v>
      </c>
      <c r="EF23" s="375">
        <v>0</v>
      </c>
      <c r="EG23" s="375">
        <f t="shared" si="67"/>
        <v>0</v>
      </c>
      <c r="EH23" s="375">
        <f t="shared" ref="EH23:EH36" si="109">EC23+EE23+EG23</f>
        <v>2</v>
      </c>
      <c r="EI23" s="376">
        <f t="shared" si="69"/>
        <v>58</v>
      </c>
      <c r="EJ23" s="373">
        <f t="shared" ref="EJ23:EJ36" si="110">($IH23+(($IG23-1)*$II23)+$IJ23)*ES23/144</f>
        <v>1.6166391055268332</v>
      </c>
      <c r="EK23" s="374" t="str">
        <f t="shared" ref="EK23:EK29" si="111">"("&amp;FIXED(EJ23*0.092903,2)&amp;")"</f>
        <v>(0.15)</v>
      </c>
      <c r="EL23" s="375">
        <v>2</v>
      </c>
      <c r="EM23" s="375">
        <f t="shared" si="71"/>
        <v>2</v>
      </c>
      <c r="EN23" s="375">
        <v>0</v>
      </c>
      <c r="EO23" s="375">
        <f t="shared" si="72"/>
        <v>0</v>
      </c>
      <c r="EP23" s="375">
        <v>0</v>
      </c>
      <c r="EQ23" s="375">
        <f t="shared" si="73"/>
        <v>0</v>
      </c>
      <c r="ER23" s="375">
        <f t="shared" ref="ER23:ER36" si="112">EM23+EO23+EQ23</f>
        <v>2</v>
      </c>
      <c r="ES23" s="376">
        <f t="shared" si="75"/>
        <v>64</v>
      </c>
      <c r="ET23" s="373">
        <f t="shared" ref="ET23:ET36" si="113">($IH23+(($IG23-1)*$II23)+$IJ23)*FC23/144</f>
        <v>1.7681990216699739</v>
      </c>
      <c r="EU23" s="374" t="str">
        <f t="shared" ref="EU23:EU36" si="114">"("&amp;FIXED(ET23*0.092903,2)&amp;")"</f>
        <v>(0.16)</v>
      </c>
      <c r="EV23" s="22">
        <v>2</v>
      </c>
      <c r="EW23" s="22">
        <f t="shared" si="77"/>
        <v>2</v>
      </c>
      <c r="EX23" s="22">
        <v>0</v>
      </c>
      <c r="EY23" s="22">
        <f t="shared" si="78"/>
        <v>0</v>
      </c>
      <c r="EZ23" s="22">
        <v>0</v>
      </c>
      <c r="FA23" s="22">
        <f t="shared" si="79"/>
        <v>0</v>
      </c>
      <c r="FB23" s="22">
        <f t="shared" ref="FB23:FB36" si="115">EW23+EY23+FA23</f>
        <v>2</v>
      </c>
      <c r="FC23" s="23">
        <f t="shared" si="81"/>
        <v>70</v>
      </c>
      <c r="FD23" s="202"/>
      <c r="FE23" s="203"/>
      <c r="FF23" s="204"/>
      <c r="FG23" s="204"/>
      <c r="FH23" s="204"/>
      <c r="FI23" s="204"/>
      <c r="FJ23" s="204"/>
      <c r="FK23" s="204"/>
      <c r="FL23" s="204"/>
      <c r="FM23" s="205"/>
      <c r="FN23" s="202"/>
      <c r="FO23" s="203"/>
      <c r="FP23" s="204"/>
      <c r="FQ23" s="204"/>
      <c r="FR23" s="204"/>
      <c r="FS23" s="204"/>
      <c r="FT23" s="204"/>
      <c r="FU23" s="204"/>
      <c r="FV23" s="204"/>
      <c r="FW23" s="205"/>
      <c r="FX23" s="202"/>
      <c r="FY23" s="203"/>
      <c r="FZ23" s="204"/>
      <c r="GA23" s="204"/>
      <c r="GB23" s="204"/>
      <c r="GC23" s="204"/>
      <c r="GD23" s="204"/>
      <c r="GE23" s="204"/>
      <c r="GF23" s="204"/>
      <c r="GG23" s="205"/>
      <c r="GH23" s="202"/>
      <c r="GI23" s="203"/>
      <c r="GJ23" s="204"/>
      <c r="GK23" s="204"/>
      <c r="GL23" s="204"/>
      <c r="GM23" s="204"/>
      <c r="GN23" s="204"/>
      <c r="GO23" s="204"/>
      <c r="GP23" s="204"/>
      <c r="GQ23" s="205"/>
      <c r="GR23" s="202"/>
      <c r="GS23" s="203"/>
      <c r="GT23" s="204"/>
      <c r="GU23" s="204"/>
      <c r="GV23" s="204"/>
      <c r="GW23" s="204"/>
      <c r="GX23" s="204"/>
      <c r="GY23" s="204"/>
      <c r="GZ23" s="204"/>
      <c r="HA23" s="205"/>
      <c r="HB23" s="202"/>
      <c r="HC23" s="203"/>
      <c r="HD23" s="204"/>
      <c r="HE23" s="204"/>
      <c r="HF23" s="204"/>
      <c r="HG23" s="204"/>
      <c r="HH23" s="204"/>
      <c r="HI23" s="204"/>
      <c r="HJ23" s="204"/>
      <c r="HK23" s="205"/>
      <c r="HL23" s="202"/>
      <c r="HM23" s="203"/>
      <c r="HN23" s="204"/>
      <c r="HO23" s="204"/>
      <c r="HP23" s="204"/>
      <c r="HQ23" s="204"/>
      <c r="HR23" s="204"/>
      <c r="HS23" s="204"/>
      <c r="HT23" s="204"/>
      <c r="HU23" s="205"/>
      <c r="HV23" s="202"/>
      <c r="HW23" s="203"/>
      <c r="HX23" s="204"/>
      <c r="HY23" s="204"/>
      <c r="HZ23" s="204"/>
      <c r="IA23" s="204"/>
      <c r="IB23" s="204"/>
      <c r="IC23" s="204"/>
      <c r="ID23" s="204"/>
      <c r="IE23" s="205"/>
      <c r="IF23" s="262"/>
      <c r="IG23" s="25">
        <v>1</v>
      </c>
      <c r="IH23" s="26">
        <v>2.0099999999999998</v>
      </c>
      <c r="II23" s="26">
        <v>2.0099999999999998</v>
      </c>
      <c r="IJ23" s="26">
        <v>1.6274379874353748</v>
      </c>
      <c r="IK23" s="26">
        <v>1</v>
      </c>
      <c r="IL23" s="26">
        <v>1</v>
      </c>
      <c r="IM23" s="26">
        <v>1.125</v>
      </c>
      <c r="IN23" s="8"/>
    </row>
    <row r="24" spans="2:248" ht="15.75" thickBot="1" x14ac:dyDescent="0.3">
      <c r="B24" s="103">
        <f t="shared" si="12"/>
        <v>42</v>
      </c>
      <c r="C24" s="102">
        <v>7</v>
      </c>
      <c r="D24" s="98">
        <f t="shared" si="1"/>
        <v>0.23169519816340028</v>
      </c>
      <c r="E24" s="96">
        <f t="shared" si="2"/>
        <v>0.24714154470762695</v>
      </c>
      <c r="F24" s="96">
        <f t="shared" si="3"/>
        <v>0.25486471797974036</v>
      </c>
      <c r="G24" s="96">
        <f t="shared" si="4"/>
        <v>0.25949862194300832</v>
      </c>
      <c r="H24" s="96">
        <f t="shared" si="5"/>
        <v>0.26258789125185367</v>
      </c>
      <c r="I24" s="96">
        <f t="shared" si="6"/>
        <v>0.26479451218674316</v>
      </c>
      <c r="J24" s="96">
        <f t="shared" si="7"/>
        <v>0.26644947788791029</v>
      </c>
      <c r="K24" s="96">
        <f t="shared" si="8"/>
        <v>0.26773667343326252</v>
      </c>
      <c r="L24" s="96">
        <f t="shared" si="9"/>
        <v>0.2687664298695443</v>
      </c>
      <c r="M24" s="96">
        <f t="shared" si="10"/>
        <v>0.26960895786286576</v>
      </c>
      <c r="N24" s="96">
        <f t="shared" si="11"/>
        <v>0.27031106452396697</v>
      </c>
      <c r="O24" s="259"/>
      <c r="P24" s="259"/>
      <c r="Q24" s="259"/>
      <c r="R24" s="259"/>
      <c r="S24" s="259"/>
      <c r="T24" s="259"/>
      <c r="U24" s="259"/>
      <c r="V24" s="259"/>
      <c r="W24" s="64"/>
      <c r="X24" s="65"/>
      <c r="Z24" s="83"/>
      <c r="AA24" s="83"/>
      <c r="AT24" s="4"/>
      <c r="AU24" s="14">
        <f t="shared" ref="AU24:AU40" si="116">AU23+6</f>
        <v>24</v>
      </c>
      <c r="AV24" s="12" t="str">
        <f t="shared" si="82"/>
        <v>(600)</v>
      </c>
      <c r="AW24" s="19">
        <f t="shared" ref="AW24:AW40" si="117">AW23+1</f>
        <v>10</v>
      </c>
      <c r="AX24" s="373">
        <f t="shared" si="83"/>
        <v>0.39218319357190101</v>
      </c>
      <c r="AY24" s="374" t="str">
        <f t="shared" si="84"/>
        <v>(0.04)</v>
      </c>
      <c r="AZ24" s="375">
        <v>2</v>
      </c>
      <c r="BA24" s="375">
        <f t="shared" si="17"/>
        <v>2</v>
      </c>
      <c r="BB24" s="375">
        <v>0</v>
      </c>
      <c r="BC24" s="375">
        <f t="shared" si="18"/>
        <v>0</v>
      </c>
      <c r="BD24" s="375">
        <v>0</v>
      </c>
      <c r="BE24" s="375">
        <f t="shared" si="19"/>
        <v>0</v>
      </c>
      <c r="BF24" s="375">
        <f t="shared" si="85"/>
        <v>2</v>
      </c>
      <c r="BG24" s="376">
        <f t="shared" si="21"/>
        <v>10</v>
      </c>
      <c r="BH24" s="373">
        <f t="shared" si="86"/>
        <v>0.62749310971504157</v>
      </c>
      <c r="BI24" s="374" t="str">
        <f t="shared" si="87"/>
        <v>(0.06)</v>
      </c>
      <c r="BJ24" s="375">
        <v>2</v>
      </c>
      <c r="BK24" s="375">
        <f t="shared" si="23"/>
        <v>2</v>
      </c>
      <c r="BL24" s="375">
        <v>0</v>
      </c>
      <c r="BM24" s="375">
        <f t="shared" si="24"/>
        <v>0</v>
      </c>
      <c r="BN24" s="375">
        <v>0</v>
      </c>
      <c r="BO24" s="375">
        <f t="shared" si="25"/>
        <v>0</v>
      </c>
      <c r="BP24" s="375">
        <f t="shared" si="88"/>
        <v>2</v>
      </c>
      <c r="BQ24" s="376">
        <f t="shared" si="27"/>
        <v>16</v>
      </c>
      <c r="BR24" s="373">
        <f t="shared" si="89"/>
        <v>0.86280302585818225</v>
      </c>
      <c r="BS24" s="374" t="str">
        <f t="shared" si="90"/>
        <v>(0.08)</v>
      </c>
      <c r="BT24" s="375">
        <v>2</v>
      </c>
      <c r="BU24" s="375">
        <f t="shared" si="29"/>
        <v>2</v>
      </c>
      <c r="BV24" s="375">
        <v>0</v>
      </c>
      <c r="BW24" s="375">
        <f t="shared" si="30"/>
        <v>0</v>
      </c>
      <c r="BX24" s="375">
        <v>0</v>
      </c>
      <c r="BY24" s="375">
        <f t="shared" si="31"/>
        <v>0</v>
      </c>
      <c r="BZ24" s="375">
        <f t="shared" si="91"/>
        <v>2</v>
      </c>
      <c r="CA24" s="376">
        <f t="shared" si="33"/>
        <v>22</v>
      </c>
      <c r="CB24" s="373">
        <f t="shared" si="92"/>
        <v>1.0981129420013227</v>
      </c>
      <c r="CC24" s="374" t="str">
        <f t="shared" si="93"/>
        <v>(0.1)</v>
      </c>
      <c r="CD24" s="375">
        <v>2</v>
      </c>
      <c r="CE24" s="375">
        <f t="shared" si="35"/>
        <v>2</v>
      </c>
      <c r="CF24" s="375">
        <v>0</v>
      </c>
      <c r="CG24" s="375">
        <f t="shared" si="36"/>
        <v>0</v>
      </c>
      <c r="CH24" s="375">
        <v>0</v>
      </c>
      <c r="CI24" s="375">
        <f t="shared" si="37"/>
        <v>0</v>
      </c>
      <c r="CJ24" s="375">
        <f t="shared" si="94"/>
        <v>2</v>
      </c>
      <c r="CK24" s="376">
        <f t="shared" si="39"/>
        <v>28</v>
      </c>
      <c r="CL24" s="373">
        <f t="shared" si="95"/>
        <v>1.3334228581444636</v>
      </c>
      <c r="CM24" s="374" t="str">
        <f t="shared" si="96"/>
        <v>(0.12)</v>
      </c>
      <c r="CN24" s="375">
        <v>2</v>
      </c>
      <c r="CO24" s="375">
        <f t="shared" si="41"/>
        <v>2</v>
      </c>
      <c r="CP24" s="375">
        <v>0</v>
      </c>
      <c r="CQ24" s="375">
        <f t="shared" si="42"/>
        <v>0</v>
      </c>
      <c r="CR24" s="375">
        <v>0</v>
      </c>
      <c r="CS24" s="375">
        <f t="shared" si="43"/>
        <v>0</v>
      </c>
      <c r="CT24" s="375">
        <f t="shared" si="97"/>
        <v>2</v>
      </c>
      <c r="CU24" s="376">
        <f t="shared" si="45"/>
        <v>34</v>
      </c>
      <c r="CV24" s="373">
        <f t="shared" si="98"/>
        <v>1.568732774287604</v>
      </c>
      <c r="CW24" s="374" t="str">
        <f t="shared" si="99"/>
        <v>(0.15)</v>
      </c>
      <c r="CX24" s="375">
        <v>2</v>
      </c>
      <c r="CY24" s="375">
        <f t="shared" si="47"/>
        <v>2</v>
      </c>
      <c r="CZ24" s="375">
        <v>0</v>
      </c>
      <c r="DA24" s="375">
        <f t="shared" si="48"/>
        <v>0</v>
      </c>
      <c r="DB24" s="375">
        <v>0</v>
      </c>
      <c r="DC24" s="375">
        <f t="shared" si="49"/>
        <v>0</v>
      </c>
      <c r="DD24" s="375">
        <f t="shared" si="100"/>
        <v>2</v>
      </c>
      <c r="DE24" s="376">
        <f t="shared" si="51"/>
        <v>40</v>
      </c>
      <c r="DF24" s="373">
        <f t="shared" si="101"/>
        <v>1.8040426904307445</v>
      </c>
      <c r="DG24" s="374" t="str">
        <f t="shared" si="102"/>
        <v>(0.17)</v>
      </c>
      <c r="DH24" s="375">
        <v>2</v>
      </c>
      <c r="DI24" s="375">
        <f t="shared" si="53"/>
        <v>2</v>
      </c>
      <c r="DJ24" s="375">
        <v>0</v>
      </c>
      <c r="DK24" s="375">
        <f t="shared" si="54"/>
        <v>0</v>
      </c>
      <c r="DL24" s="375">
        <v>0</v>
      </c>
      <c r="DM24" s="375">
        <f t="shared" si="55"/>
        <v>0</v>
      </c>
      <c r="DN24" s="375">
        <f t="shared" si="103"/>
        <v>2</v>
      </c>
      <c r="DO24" s="376">
        <f t="shared" si="57"/>
        <v>46</v>
      </c>
      <c r="DP24" s="373">
        <f t="shared" si="104"/>
        <v>2.0393526065738854</v>
      </c>
      <c r="DQ24" s="374" t="str">
        <f t="shared" si="105"/>
        <v>(0.19)</v>
      </c>
      <c r="DR24" s="375">
        <v>2</v>
      </c>
      <c r="DS24" s="375">
        <f t="shared" si="59"/>
        <v>2</v>
      </c>
      <c r="DT24" s="375">
        <v>0</v>
      </c>
      <c r="DU24" s="375">
        <f t="shared" si="60"/>
        <v>0</v>
      </c>
      <c r="DV24" s="375">
        <v>0</v>
      </c>
      <c r="DW24" s="375">
        <f t="shared" si="61"/>
        <v>0</v>
      </c>
      <c r="DX24" s="375">
        <f t="shared" si="106"/>
        <v>2</v>
      </c>
      <c r="DY24" s="376">
        <f t="shared" si="63"/>
        <v>52</v>
      </c>
      <c r="DZ24" s="373">
        <f t="shared" si="107"/>
        <v>2.2746625227170258</v>
      </c>
      <c r="EA24" s="374" t="str">
        <f t="shared" si="108"/>
        <v>(0.21)</v>
      </c>
      <c r="EB24" s="375">
        <v>2</v>
      </c>
      <c r="EC24" s="375">
        <f t="shared" si="65"/>
        <v>2</v>
      </c>
      <c r="ED24" s="375">
        <v>0</v>
      </c>
      <c r="EE24" s="375">
        <f t="shared" si="66"/>
        <v>0</v>
      </c>
      <c r="EF24" s="375">
        <v>0</v>
      </c>
      <c r="EG24" s="375">
        <f t="shared" si="67"/>
        <v>0</v>
      </c>
      <c r="EH24" s="375">
        <f t="shared" si="109"/>
        <v>2</v>
      </c>
      <c r="EI24" s="376">
        <f t="shared" si="69"/>
        <v>58</v>
      </c>
      <c r="EJ24" s="373">
        <f t="shared" si="110"/>
        <v>2.5099724388601663</v>
      </c>
      <c r="EK24" s="374" t="str">
        <f t="shared" si="111"/>
        <v>(0.23)</v>
      </c>
      <c r="EL24" s="375">
        <v>2</v>
      </c>
      <c r="EM24" s="375">
        <f t="shared" si="71"/>
        <v>2</v>
      </c>
      <c r="EN24" s="375">
        <v>0</v>
      </c>
      <c r="EO24" s="375">
        <f t="shared" si="72"/>
        <v>0</v>
      </c>
      <c r="EP24" s="375">
        <v>0</v>
      </c>
      <c r="EQ24" s="375">
        <f t="shared" si="73"/>
        <v>0</v>
      </c>
      <c r="ER24" s="375">
        <f t="shared" si="112"/>
        <v>2</v>
      </c>
      <c r="ES24" s="376">
        <f t="shared" si="75"/>
        <v>64</v>
      </c>
      <c r="ET24" s="373">
        <f t="shared" si="113"/>
        <v>2.7452823550033068</v>
      </c>
      <c r="EU24" s="374" t="str">
        <f t="shared" si="114"/>
        <v>(0.26)</v>
      </c>
      <c r="EV24" s="22">
        <v>2</v>
      </c>
      <c r="EW24" s="22">
        <f t="shared" si="77"/>
        <v>2</v>
      </c>
      <c r="EX24" s="22">
        <v>0</v>
      </c>
      <c r="EY24" s="22">
        <f t="shared" si="78"/>
        <v>0</v>
      </c>
      <c r="EZ24" s="22">
        <v>0</v>
      </c>
      <c r="FA24" s="22">
        <f t="shared" si="79"/>
        <v>0</v>
      </c>
      <c r="FB24" s="22">
        <f t="shared" si="115"/>
        <v>2</v>
      </c>
      <c r="FC24" s="23">
        <f t="shared" si="81"/>
        <v>70</v>
      </c>
      <c r="FD24" s="202"/>
      <c r="FE24" s="203"/>
      <c r="FF24" s="204"/>
      <c r="FG24" s="204"/>
      <c r="FH24" s="204"/>
      <c r="FI24" s="204"/>
      <c r="FJ24" s="204"/>
      <c r="FK24" s="204"/>
      <c r="FL24" s="204"/>
      <c r="FM24" s="205"/>
      <c r="FN24" s="202"/>
      <c r="FO24" s="203"/>
      <c r="FP24" s="204"/>
      <c r="FQ24" s="204"/>
      <c r="FR24" s="204"/>
      <c r="FS24" s="204"/>
      <c r="FT24" s="204"/>
      <c r="FU24" s="204"/>
      <c r="FV24" s="204"/>
      <c r="FW24" s="205"/>
      <c r="FX24" s="202"/>
      <c r="FY24" s="203"/>
      <c r="FZ24" s="204"/>
      <c r="GA24" s="204"/>
      <c r="GB24" s="204"/>
      <c r="GC24" s="204"/>
      <c r="GD24" s="204"/>
      <c r="GE24" s="204"/>
      <c r="GF24" s="204"/>
      <c r="GG24" s="205"/>
      <c r="GH24" s="202"/>
      <c r="GI24" s="203"/>
      <c r="GJ24" s="204"/>
      <c r="GK24" s="204"/>
      <c r="GL24" s="204"/>
      <c r="GM24" s="204"/>
      <c r="GN24" s="204"/>
      <c r="GO24" s="204"/>
      <c r="GP24" s="204"/>
      <c r="GQ24" s="205"/>
      <c r="GR24" s="202"/>
      <c r="GS24" s="203"/>
      <c r="GT24" s="204"/>
      <c r="GU24" s="204"/>
      <c r="GV24" s="204"/>
      <c r="GW24" s="204"/>
      <c r="GX24" s="204"/>
      <c r="GY24" s="204"/>
      <c r="GZ24" s="204"/>
      <c r="HA24" s="205"/>
      <c r="HB24" s="202"/>
      <c r="HC24" s="203"/>
      <c r="HD24" s="204"/>
      <c r="HE24" s="204"/>
      <c r="HF24" s="204"/>
      <c r="HG24" s="204"/>
      <c r="HH24" s="204"/>
      <c r="HI24" s="204"/>
      <c r="HJ24" s="204"/>
      <c r="HK24" s="205"/>
      <c r="HL24" s="202"/>
      <c r="HM24" s="203"/>
      <c r="HN24" s="204"/>
      <c r="HO24" s="204"/>
      <c r="HP24" s="204"/>
      <c r="HQ24" s="204"/>
      <c r="HR24" s="204"/>
      <c r="HS24" s="204"/>
      <c r="HT24" s="204"/>
      <c r="HU24" s="205"/>
      <c r="HV24" s="202"/>
      <c r="HW24" s="203"/>
      <c r="HX24" s="204"/>
      <c r="HY24" s="204"/>
      <c r="HZ24" s="204"/>
      <c r="IA24" s="204"/>
      <c r="IB24" s="204"/>
      <c r="IC24" s="204"/>
      <c r="ID24" s="204"/>
      <c r="IE24" s="205"/>
      <c r="IF24" s="262"/>
      <c r="IG24" s="25">
        <v>2</v>
      </c>
      <c r="IH24" s="26">
        <v>2.0099999999999998</v>
      </c>
      <c r="II24" s="26">
        <v>2.0099999999999998</v>
      </c>
      <c r="IJ24" s="26">
        <v>1.6274379874353748</v>
      </c>
      <c r="IK24" s="26">
        <v>1</v>
      </c>
      <c r="IL24" s="26">
        <v>1</v>
      </c>
      <c r="IM24" s="26">
        <v>1.125</v>
      </c>
      <c r="IN24" s="8"/>
    </row>
    <row r="25" spans="2:248" ht="15.75" thickBot="1" x14ac:dyDescent="0.3">
      <c r="B25" s="103">
        <f t="shared" si="12"/>
        <v>48</v>
      </c>
      <c r="C25" s="102">
        <v>8</v>
      </c>
      <c r="D25" s="98">
        <f t="shared" si="1"/>
        <v>0.23762913172630856</v>
      </c>
      <c r="E25" s="96">
        <f t="shared" si="2"/>
        <v>0.25347107384139583</v>
      </c>
      <c r="F25" s="96">
        <f t="shared" si="3"/>
        <v>0.26139204489893941</v>
      </c>
      <c r="G25" s="96">
        <f t="shared" si="4"/>
        <v>0.26614462753346563</v>
      </c>
      <c r="H25" s="96">
        <f t="shared" si="5"/>
        <v>0.26931301595648305</v>
      </c>
      <c r="I25" s="96">
        <f t="shared" si="6"/>
        <v>0.27157615054435263</v>
      </c>
      <c r="J25" s="96">
        <f t="shared" si="7"/>
        <v>0.27327350148525487</v>
      </c>
      <c r="K25" s="96">
        <f t="shared" si="8"/>
        <v>0.27459366332817875</v>
      </c>
      <c r="L25" s="96">
        <f t="shared" si="9"/>
        <v>0.27564979280251795</v>
      </c>
      <c r="M25" s="96">
        <f t="shared" si="10"/>
        <v>0.27651389873606819</v>
      </c>
      <c r="N25" s="96">
        <f t="shared" si="11"/>
        <v>0.27723398701402663</v>
      </c>
      <c r="O25" s="259"/>
      <c r="P25" s="259"/>
      <c r="Q25" s="259"/>
      <c r="R25" s="259"/>
      <c r="S25" s="259"/>
      <c r="T25" s="259"/>
      <c r="U25" s="259"/>
      <c r="V25" s="259"/>
      <c r="W25" s="64"/>
      <c r="X25" s="65"/>
      <c r="Z25" s="83"/>
      <c r="AA25" s="83"/>
      <c r="AT25" s="4"/>
      <c r="AU25" s="27">
        <f t="shared" si="116"/>
        <v>30</v>
      </c>
      <c r="AV25" s="28" t="str">
        <f t="shared" si="82"/>
        <v>(750)</v>
      </c>
      <c r="AW25" s="19">
        <f t="shared" si="117"/>
        <v>11</v>
      </c>
      <c r="AX25" s="373">
        <f t="shared" si="83"/>
        <v>0.53176652690523429</v>
      </c>
      <c r="AY25" s="374" t="str">
        <f t="shared" si="84"/>
        <v>(0.05)</v>
      </c>
      <c r="AZ25" s="375">
        <v>2</v>
      </c>
      <c r="BA25" s="375">
        <f t="shared" si="17"/>
        <v>2</v>
      </c>
      <c r="BB25" s="375">
        <v>0</v>
      </c>
      <c r="BC25" s="375">
        <f t="shared" si="18"/>
        <v>0</v>
      </c>
      <c r="BD25" s="375">
        <v>0</v>
      </c>
      <c r="BE25" s="375">
        <f t="shared" si="19"/>
        <v>0</v>
      </c>
      <c r="BF25" s="375">
        <f t="shared" si="85"/>
        <v>2</v>
      </c>
      <c r="BG25" s="376">
        <f t="shared" si="21"/>
        <v>10</v>
      </c>
      <c r="BH25" s="373">
        <f t="shared" si="86"/>
        <v>0.85082644304837496</v>
      </c>
      <c r="BI25" s="374" t="str">
        <f t="shared" si="87"/>
        <v>(0.08)</v>
      </c>
      <c r="BJ25" s="375">
        <v>2</v>
      </c>
      <c r="BK25" s="375">
        <f t="shared" si="23"/>
        <v>2</v>
      </c>
      <c r="BL25" s="375">
        <v>0</v>
      </c>
      <c r="BM25" s="375">
        <f t="shared" si="24"/>
        <v>0</v>
      </c>
      <c r="BN25" s="375">
        <v>0</v>
      </c>
      <c r="BO25" s="375">
        <f t="shared" si="25"/>
        <v>0</v>
      </c>
      <c r="BP25" s="375">
        <f t="shared" si="88"/>
        <v>2</v>
      </c>
      <c r="BQ25" s="376">
        <f t="shared" si="27"/>
        <v>16</v>
      </c>
      <c r="BR25" s="373">
        <f t="shared" si="89"/>
        <v>1.1698863591915154</v>
      </c>
      <c r="BS25" s="374" t="str">
        <f t="shared" si="90"/>
        <v>(0.11)</v>
      </c>
      <c r="BT25" s="375">
        <v>2</v>
      </c>
      <c r="BU25" s="375">
        <f t="shared" si="29"/>
        <v>2</v>
      </c>
      <c r="BV25" s="375">
        <v>0</v>
      </c>
      <c r="BW25" s="375">
        <f t="shared" si="30"/>
        <v>0</v>
      </c>
      <c r="BX25" s="375">
        <v>0</v>
      </c>
      <c r="BY25" s="375">
        <f t="shared" si="31"/>
        <v>0</v>
      </c>
      <c r="BZ25" s="375">
        <f t="shared" si="91"/>
        <v>2</v>
      </c>
      <c r="CA25" s="376">
        <f t="shared" si="33"/>
        <v>22</v>
      </c>
      <c r="CB25" s="373">
        <f t="shared" si="92"/>
        <v>1.4889462753346561</v>
      </c>
      <c r="CC25" s="374" t="str">
        <f t="shared" si="93"/>
        <v>(0.14)</v>
      </c>
      <c r="CD25" s="375">
        <v>2</v>
      </c>
      <c r="CE25" s="375">
        <f t="shared" si="35"/>
        <v>2</v>
      </c>
      <c r="CF25" s="375">
        <v>0</v>
      </c>
      <c r="CG25" s="375">
        <f t="shared" si="36"/>
        <v>0</v>
      </c>
      <c r="CH25" s="375">
        <v>0</v>
      </c>
      <c r="CI25" s="375">
        <f t="shared" si="37"/>
        <v>0</v>
      </c>
      <c r="CJ25" s="375">
        <f t="shared" si="94"/>
        <v>2</v>
      </c>
      <c r="CK25" s="376">
        <f t="shared" si="39"/>
        <v>28</v>
      </c>
      <c r="CL25" s="373">
        <f t="shared" si="95"/>
        <v>1.8080061914777967</v>
      </c>
      <c r="CM25" s="374" t="str">
        <f t="shared" si="96"/>
        <v>(0.17)</v>
      </c>
      <c r="CN25" s="375">
        <v>2</v>
      </c>
      <c r="CO25" s="375">
        <f t="shared" si="41"/>
        <v>2</v>
      </c>
      <c r="CP25" s="375">
        <v>0</v>
      </c>
      <c r="CQ25" s="375">
        <f t="shared" si="42"/>
        <v>0</v>
      </c>
      <c r="CR25" s="375">
        <v>0</v>
      </c>
      <c r="CS25" s="375">
        <f t="shared" si="43"/>
        <v>0</v>
      </c>
      <c r="CT25" s="375">
        <f t="shared" si="97"/>
        <v>2</v>
      </c>
      <c r="CU25" s="376">
        <f t="shared" si="45"/>
        <v>34</v>
      </c>
      <c r="CV25" s="373">
        <f t="shared" si="98"/>
        <v>2.1270661076209372</v>
      </c>
      <c r="CW25" s="374" t="str">
        <f t="shared" si="99"/>
        <v>(0.2)</v>
      </c>
      <c r="CX25" s="375">
        <v>2</v>
      </c>
      <c r="CY25" s="375">
        <f t="shared" si="47"/>
        <v>2</v>
      </c>
      <c r="CZ25" s="375">
        <v>0</v>
      </c>
      <c r="DA25" s="375">
        <f t="shared" si="48"/>
        <v>0</v>
      </c>
      <c r="DB25" s="375">
        <v>0</v>
      </c>
      <c r="DC25" s="375">
        <f t="shared" si="49"/>
        <v>0</v>
      </c>
      <c r="DD25" s="375">
        <f t="shared" si="100"/>
        <v>2</v>
      </c>
      <c r="DE25" s="376">
        <f t="shared" si="51"/>
        <v>40</v>
      </c>
      <c r="DF25" s="373">
        <f t="shared" si="101"/>
        <v>2.4461260237640778</v>
      </c>
      <c r="DG25" s="374" t="str">
        <f t="shared" si="102"/>
        <v>(0.23)</v>
      </c>
      <c r="DH25" s="375">
        <v>2</v>
      </c>
      <c r="DI25" s="375">
        <f t="shared" si="53"/>
        <v>2</v>
      </c>
      <c r="DJ25" s="375">
        <v>0</v>
      </c>
      <c r="DK25" s="375">
        <f t="shared" si="54"/>
        <v>0</v>
      </c>
      <c r="DL25" s="375">
        <v>0</v>
      </c>
      <c r="DM25" s="375">
        <f t="shared" si="55"/>
        <v>0</v>
      </c>
      <c r="DN25" s="375">
        <f t="shared" si="103"/>
        <v>2</v>
      </c>
      <c r="DO25" s="376">
        <f t="shared" si="57"/>
        <v>46</v>
      </c>
      <c r="DP25" s="373">
        <f t="shared" si="104"/>
        <v>2.7651859399072185</v>
      </c>
      <c r="DQ25" s="374" t="str">
        <f t="shared" si="105"/>
        <v>(0.26)</v>
      </c>
      <c r="DR25" s="375">
        <v>2</v>
      </c>
      <c r="DS25" s="375">
        <f t="shared" si="59"/>
        <v>2</v>
      </c>
      <c r="DT25" s="375">
        <v>0</v>
      </c>
      <c r="DU25" s="375">
        <f t="shared" si="60"/>
        <v>0</v>
      </c>
      <c r="DV25" s="375">
        <v>0</v>
      </c>
      <c r="DW25" s="375">
        <f t="shared" si="61"/>
        <v>0</v>
      </c>
      <c r="DX25" s="375">
        <f t="shared" si="106"/>
        <v>2</v>
      </c>
      <c r="DY25" s="376">
        <f t="shared" si="63"/>
        <v>52</v>
      </c>
      <c r="DZ25" s="373">
        <f t="shared" si="107"/>
        <v>3.0842458560503592</v>
      </c>
      <c r="EA25" s="374" t="str">
        <f t="shared" si="108"/>
        <v>(0.29)</v>
      </c>
      <c r="EB25" s="375">
        <v>2</v>
      </c>
      <c r="EC25" s="375">
        <f t="shared" si="65"/>
        <v>2</v>
      </c>
      <c r="ED25" s="375">
        <v>0</v>
      </c>
      <c r="EE25" s="375">
        <f t="shared" si="66"/>
        <v>0</v>
      </c>
      <c r="EF25" s="375">
        <v>0</v>
      </c>
      <c r="EG25" s="375">
        <f t="shared" si="67"/>
        <v>0</v>
      </c>
      <c r="EH25" s="375">
        <f t="shared" si="109"/>
        <v>2</v>
      </c>
      <c r="EI25" s="376">
        <f t="shared" si="69"/>
        <v>58</v>
      </c>
      <c r="EJ25" s="373">
        <f t="shared" si="110"/>
        <v>3.4033057721934998</v>
      </c>
      <c r="EK25" s="374" t="str">
        <f t="shared" si="111"/>
        <v>(0.32)</v>
      </c>
      <c r="EL25" s="375">
        <v>2</v>
      </c>
      <c r="EM25" s="375">
        <f t="shared" si="71"/>
        <v>2</v>
      </c>
      <c r="EN25" s="375">
        <v>0</v>
      </c>
      <c r="EO25" s="375">
        <f t="shared" si="72"/>
        <v>0</v>
      </c>
      <c r="EP25" s="375">
        <v>0</v>
      </c>
      <c r="EQ25" s="375">
        <f t="shared" si="73"/>
        <v>0</v>
      </c>
      <c r="ER25" s="375">
        <f t="shared" si="112"/>
        <v>2</v>
      </c>
      <c r="ES25" s="376">
        <f t="shared" si="75"/>
        <v>64</v>
      </c>
      <c r="ET25" s="373">
        <f t="shared" si="113"/>
        <v>3.7223656883366405</v>
      </c>
      <c r="EU25" s="374" t="str">
        <f t="shared" si="114"/>
        <v>(0.35)</v>
      </c>
      <c r="EV25" s="22">
        <v>2</v>
      </c>
      <c r="EW25" s="22">
        <f t="shared" si="77"/>
        <v>2</v>
      </c>
      <c r="EX25" s="22">
        <v>0</v>
      </c>
      <c r="EY25" s="22">
        <f t="shared" si="78"/>
        <v>0</v>
      </c>
      <c r="EZ25" s="30">
        <v>0</v>
      </c>
      <c r="FA25" s="22">
        <f t="shared" si="79"/>
        <v>0</v>
      </c>
      <c r="FB25" s="22">
        <f t="shared" si="115"/>
        <v>2</v>
      </c>
      <c r="FC25" s="23">
        <f t="shared" si="81"/>
        <v>70</v>
      </c>
      <c r="FD25" s="202"/>
      <c r="FE25" s="203"/>
      <c r="FF25" s="204"/>
      <c r="FG25" s="204"/>
      <c r="FH25" s="204"/>
      <c r="FI25" s="204"/>
      <c r="FJ25" s="204"/>
      <c r="FK25" s="204"/>
      <c r="FL25" s="204"/>
      <c r="FM25" s="205"/>
      <c r="FN25" s="202"/>
      <c r="FO25" s="203"/>
      <c r="FP25" s="204"/>
      <c r="FQ25" s="204"/>
      <c r="FR25" s="204"/>
      <c r="FS25" s="204"/>
      <c r="FT25" s="204"/>
      <c r="FU25" s="204"/>
      <c r="FV25" s="204"/>
      <c r="FW25" s="205"/>
      <c r="FX25" s="202"/>
      <c r="FY25" s="203"/>
      <c r="FZ25" s="204"/>
      <c r="GA25" s="204"/>
      <c r="GB25" s="204"/>
      <c r="GC25" s="204"/>
      <c r="GD25" s="204"/>
      <c r="GE25" s="204"/>
      <c r="GF25" s="204"/>
      <c r="GG25" s="205"/>
      <c r="GH25" s="202"/>
      <c r="GI25" s="203"/>
      <c r="GJ25" s="204"/>
      <c r="GK25" s="204"/>
      <c r="GL25" s="204"/>
      <c r="GM25" s="204"/>
      <c r="GN25" s="204"/>
      <c r="GO25" s="204"/>
      <c r="GP25" s="204"/>
      <c r="GQ25" s="205"/>
      <c r="GR25" s="202"/>
      <c r="GS25" s="203"/>
      <c r="GT25" s="204"/>
      <c r="GU25" s="204"/>
      <c r="GV25" s="204"/>
      <c r="GW25" s="204"/>
      <c r="GX25" s="204"/>
      <c r="GY25" s="204"/>
      <c r="GZ25" s="204"/>
      <c r="HA25" s="205"/>
      <c r="HB25" s="202"/>
      <c r="HC25" s="203"/>
      <c r="HD25" s="204"/>
      <c r="HE25" s="204"/>
      <c r="HF25" s="204"/>
      <c r="HG25" s="204"/>
      <c r="HH25" s="204"/>
      <c r="HI25" s="204"/>
      <c r="HJ25" s="204"/>
      <c r="HK25" s="205"/>
      <c r="HL25" s="202"/>
      <c r="HM25" s="203"/>
      <c r="HN25" s="204"/>
      <c r="HO25" s="204"/>
      <c r="HP25" s="204"/>
      <c r="HQ25" s="204"/>
      <c r="HR25" s="204"/>
      <c r="HS25" s="204"/>
      <c r="HT25" s="204"/>
      <c r="HU25" s="205"/>
      <c r="HV25" s="202"/>
      <c r="HW25" s="203"/>
      <c r="HX25" s="204"/>
      <c r="HY25" s="204"/>
      <c r="HZ25" s="204"/>
      <c r="IA25" s="204"/>
      <c r="IB25" s="204"/>
      <c r="IC25" s="204"/>
      <c r="ID25" s="204"/>
      <c r="IE25" s="205"/>
      <c r="IF25" s="262"/>
      <c r="IG25" s="25">
        <v>3</v>
      </c>
      <c r="IH25" s="26">
        <v>2.0099999999999998</v>
      </c>
      <c r="II25" s="26">
        <v>2.0099999999999998</v>
      </c>
      <c r="IJ25" s="26">
        <v>1.6274379874353748</v>
      </c>
      <c r="IK25" s="26">
        <v>1</v>
      </c>
      <c r="IL25" s="26">
        <v>1</v>
      </c>
      <c r="IM25" s="26">
        <v>1.125</v>
      </c>
      <c r="IN25" s="8"/>
    </row>
    <row r="26" spans="2:248" ht="15.75" thickBot="1" x14ac:dyDescent="0.3">
      <c r="B26" s="103">
        <f t="shared" si="12"/>
        <v>54</v>
      </c>
      <c r="C26" s="102">
        <v>9</v>
      </c>
      <c r="D26" s="98">
        <f t="shared" si="1"/>
        <v>0.24224441338634836</v>
      </c>
      <c r="E26" s="96">
        <f t="shared" si="2"/>
        <v>0.25839404094543822</v>
      </c>
      <c r="F26" s="96">
        <f t="shared" si="3"/>
        <v>0.26646885472498316</v>
      </c>
      <c r="G26" s="96">
        <f t="shared" si="4"/>
        <v>0.27131374299271016</v>
      </c>
      <c r="H26" s="96">
        <f t="shared" si="5"/>
        <v>0.27454366850452816</v>
      </c>
      <c r="I26" s="96">
        <f t="shared" si="6"/>
        <v>0.27685075815582671</v>
      </c>
      <c r="J26" s="96">
        <f t="shared" si="7"/>
        <v>0.27858107539430066</v>
      </c>
      <c r="K26" s="96">
        <f t="shared" si="8"/>
        <v>0.27992687769089147</v>
      </c>
      <c r="L26" s="96">
        <f t="shared" si="9"/>
        <v>0.2810035195281641</v>
      </c>
      <c r="M26" s="96">
        <f t="shared" si="10"/>
        <v>0.28188440830411443</v>
      </c>
      <c r="N26" s="96">
        <f t="shared" si="11"/>
        <v>0.2826184822840731</v>
      </c>
      <c r="O26" s="259"/>
      <c r="P26" s="259"/>
      <c r="Q26" s="259"/>
      <c r="R26" s="259"/>
      <c r="S26" s="259"/>
      <c r="T26" s="259"/>
      <c r="U26" s="259"/>
      <c r="V26" s="259"/>
      <c r="W26" s="64"/>
      <c r="X26" s="65"/>
      <c r="Z26" s="83"/>
      <c r="AA26" s="83"/>
      <c r="AT26" s="4"/>
      <c r="AU26" s="14">
        <f t="shared" si="116"/>
        <v>36</v>
      </c>
      <c r="AV26" s="12" t="str">
        <f t="shared" si="82"/>
        <v>(900)</v>
      </c>
      <c r="AW26" s="19">
        <f t="shared" si="117"/>
        <v>12</v>
      </c>
      <c r="AX26" s="373">
        <f t="shared" si="83"/>
        <v>0.67134986023856769</v>
      </c>
      <c r="AY26" s="374" t="str">
        <f t="shared" si="84"/>
        <v>(0.06)</v>
      </c>
      <c r="AZ26" s="375">
        <v>2</v>
      </c>
      <c r="BA26" s="375">
        <f t="shared" si="17"/>
        <v>2</v>
      </c>
      <c r="BB26" s="375">
        <v>0</v>
      </c>
      <c r="BC26" s="375">
        <f t="shared" si="18"/>
        <v>0</v>
      </c>
      <c r="BD26" s="375">
        <v>0</v>
      </c>
      <c r="BE26" s="375">
        <f t="shared" si="19"/>
        <v>0</v>
      </c>
      <c r="BF26" s="375">
        <f t="shared" si="85"/>
        <v>2</v>
      </c>
      <c r="BG26" s="376">
        <f t="shared" si="21"/>
        <v>10</v>
      </c>
      <c r="BH26" s="373">
        <f t="shared" si="86"/>
        <v>1.0741597763817081</v>
      </c>
      <c r="BI26" s="374" t="str">
        <f t="shared" si="87"/>
        <v>(0.1)</v>
      </c>
      <c r="BJ26" s="375">
        <v>2</v>
      </c>
      <c r="BK26" s="375">
        <f t="shared" si="23"/>
        <v>2</v>
      </c>
      <c r="BL26" s="375">
        <v>0</v>
      </c>
      <c r="BM26" s="375">
        <f t="shared" si="24"/>
        <v>0</v>
      </c>
      <c r="BN26" s="375">
        <v>0</v>
      </c>
      <c r="BO26" s="375">
        <f t="shared" si="25"/>
        <v>0</v>
      </c>
      <c r="BP26" s="375">
        <f t="shared" si="88"/>
        <v>2</v>
      </c>
      <c r="BQ26" s="376">
        <f t="shared" si="27"/>
        <v>16</v>
      </c>
      <c r="BR26" s="373">
        <f t="shared" si="89"/>
        <v>1.4769696925248488</v>
      </c>
      <c r="BS26" s="374" t="str">
        <f t="shared" si="90"/>
        <v>(0.14)</v>
      </c>
      <c r="BT26" s="375">
        <v>2</v>
      </c>
      <c r="BU26" s="375">
        <f t="shared" si="29"/>
        <v>2</v>
      </c>
      <c r="BV26" s="375">
        <v>0</v>
      </c>
      <c r="BW26" s="375">
        <f t="shared" si="30"/>
        <v>0</v>
      </c>
      <c r="BX26" s="375">
        <v>0</v>
      </c>
      <c r="BY26" s="375">
        <f t="shared" si="31"/>
        <v>0</v>
      </c>
      <c r="BZ26" s="375">
        <f t="shared" si="91"/>
        <v>2</v>
      </c>
      <c r="CA26" s="376">
        <f t="shared" si="33"/>
        <v>22</v>
      </c>
      <c r="CB26" s="373">
        <f t="shared" si="92"/>
        <v>1.8797796086679892</v>
      </c>
      <c r="CC26" s="374" t="str">
        <f t="shared" si="93"/>
        <v>(0.17)</v>
      </c>
      <c r="CD26" s="375">
        <v>2</v>
      </c>
      <c r="CE26" s="375">
        <f t="shared" si="35"/>
        <v>2</v>
      </c>
      <c r="CF26" s="375">
        <v>0</v>
      </c>
      <c r="CG26" s="375">
        <f t="shared" si="36"/>
        <v>0</v>
      </c>
      <c r="CH26" s="375">
        <v>0</v>
      </c>
      <c r="CI26" s="375">
        <f t="shared" si="37"/>
        <v>0</v>
      </c>
      <c r="CJ26" s="375">
        <f t="shared" si="94"/>
        <v>2</v>
      </c>
      <c r="CK26" s="376">
        <f t="shared" si="39"/>
        <v>28</v>
      </c>
      <c r="CL26" s="373">
        <f t="shared" si="95"/>
        <v>2.2825895248111299</v>
      </c>
      <c r="CM26" s="374" t="str">
        <f t="shared" si="96"/>
        <v>(0.21)</v>
      </c>
      <c r="CN26" s="375">
        <v>2</v>
      </c>
      <c r="CO26" s="375">
        <f t="shared" si="41"/>
        <v>2</v>
      </c>
      <c r="CP26" s="375">
        <v>0</v>
      </c>
      <c r="CQ26" s="375">
        <f t="shared" si="42"/>
        <v>0</v>
      </c>
      <c r="CR26" s="375">
        <v>0</v>
      </c>
      <c r="CS26" s="375">
        <f t="shared" si="43"/>
        <v>0</v>
      </c>
      <c r="CT26" s="375">
        <f t="shared" si="97"/>
        <v>2</v>
      </c>
      <c r="CU26" s="376">
        <f t="shared" si="45"/>
        <v>34</v>
      </c>
      <c r="CV26" s="373">
        <f t="shared" si="98"/>
        <v>2.6853994409542707</v>
      </c>
      <c r="CW26" s="374" t="str">
        <f t="shared" si="99"/>
        <v>(0.25)</v>
      </c>
      <c r="CX26" s="375">
        <v>2</v>
      </c>
      <c r="CY26" s="375">
        <f t="shared" si="47"/>
        <v>2</v>
      </c>
      <c r="CZ26" s="375">
        <v>0</v>
      </c>
      <c r="DA26" s="375">
        <f t="shared" si="48"/>
        <v>0</v>
      </c>
      <c r="DB26" s="375">
        <v>0</v>
      </c>
      <c r="DC26" s="375">
        <f t="shared" si="49"/>
        <v>0</v>
      </c>
      <c r="DD26" s="375">
        <f t="shared" si="100"/>
        <v>2</v>
      </c>
      <c r="DE26" s="376">
        <f t="shared" si="51"/>
        <v>40</v>
      </c>
      <c r="DF26" s="373">
        <f t="shared" si="101"/>
        <v>3.0882093570974112</v>
      </c>
      <c r="DG26" s="374" t="str">
        <f t="shared" si="102"/>
        <v>(0.29)</v>
      </c>
      <c r="DH26" s="375">
        <v>2</v>
      </c>
      <c r="DI26" s="375">
        <f t="shared" si="53"/>
        <v>2</v>
      </c>
      <c r="DJ26" s="375">
        <v>0</v>
      </c>
      <c r="DK26" s="375">
        <f t="shared" si="54"/>
        <v>0</v>
      </c>
      <c r="DL26" s="375">
        <v>0</v>
      </c>
      <c r="DM26" s="375">
        <f t="shared" si="55"/>
        <v>0</v>
      </c>
      <c r="DN26" s="375">
        <f t="shared" si="103"/>
        <v>2</v>
      </c>
      <c r="DO26" s="376">
        <f t="shared" si="57"/>
        <v>46</v>
      </c>
      <c r="DP26" s="373">
        <f t="shared" si="104"/>
        <v>3.4910192732405516</v>
      </c>
      <c r="DQ26" s="374" t="str">
        <f t="shared" si="105"/>
        <v>(0.32)</v>
      </c>
      <c r="DR26" s="375">
        <v>2</v>
      </c>
      <c r="DS26" s="375">
        <f t="shared" si="59"/>
        <v>2</v>
      </c>
      <c r="DT26" s="375">
        <v>0</v>
      </c>
      <c r="DU26" s="375">
        <f t="shared" si="60"/>
        <v>0</v>
      </c>
      <c r="DV26" s="375">
        <v>0</v>
      </c>
      <c r="DW26" s="375">
        <f t="shared" si="61"/>
        <v>0</v>
      </c>
      <c r="DX26" s="375">
        <f t="shared" si="106"/>
        <v>2</v>
      </c>
      <c r="DY26" s="376">
        <f t="shared" si="63"/>
        <v>52</v>
      </c>
      <c r="DZ26" s="373">
        <f t="shared" si="107"/>
        <v>3.8938291893836925</v>
      </c>
      <c r="EA26" s="374" t="str">
        <f t="shared" si="108"/>
        <v>(0.36)</v>
      </c>
      <c r="EB26" s="375">
        <v>2</v>
      </c>
      <c r="EC26" s="375">
        <f t="shared" si="65"/>
        <v>2</v>
      </c>
      <c r="ED26" s="375">
        <v>0</v>
      </c>
      <c r="EE26" s="375">
        <f t="shared" si="66"/>
        <v>0</v>
      </c>
      <c r="EF26" s="375">
        <v>0</v>
      </c>
      <c r="EG26" s="375">
        <f t="shared" si="67"/>
        <v>0</v>
      </c>
      <c r="EH26" s="375">
        <f t="shared" si="109"/>
        <v>2</v>
      </c>
      <c r="EI26" s="376">
        <f t="shared" si="69"/>
        <v>58</v>
      </c>
      <c r="EJ26" s="373">
        <f t="shared" si="110"/>
        <v>4.2966391055268325</v>
      </c>
      <c r="EK26" s="374" t="str">
        <f t="shared" si="111"/>
        <v>(0.40)</v>
      </c>
      <c r="EL26" s="375">
        <v>2</v>
      </c>
      <c r="EM26" s="375">
        <f t="shared" si="71"/>
        <v>2</v>
      </c>
      <c r="EN26" s="375">
        <v>0</v>
      </c>
      <c r="EO26" s="375">
        <f t="shared" si="72"/>
        <v>0</v>
      </c>
      <c r="EP26" s="375">
        <v>0</v>
      </c>
      <c r="EQ26" s="375">
        <f t="shared" si="73"/>
        <v>0</v>
      </c>
      <c r="ER26" s="375">
        <f t="shared" si="112"/>
        <v>2</v>
      </c>
      <c r="ES26" s="376">
        <f t="shared" si="75"/>
        <v>64</v>
      </c>
      <c r="ET26" s="373">
        <f t="shared" si="113"/>
        <v>4.6994490216699738</v>
      </c>
      <c r="EU26" s="374" t="str">
        <f t="shared" si="114"/>
        <v>(0.44)</v>
      </c>
      <c r="EV26" s="22">
        <v>2</v>
      </c>
      <c r="EW26" s="22">
        <f t="shared" si="77"/>
        <v>2</v>
      </c>
      <c r="EX26" s="22">
        <v>0</v>
      </c>
      <c r="EY26" s="22">
        <f t="shared" si="78"/>
        <v>0</v>
      </c>
      <c r="EZ26" s="22">
        <v>0</v>
      </c>
      <c r="FA26" s="22">
        <f t="shared" si="79"/>
        <v>0</v>
      </c>
      <c r="FB26" s="22">
        <f t="shared" si="115"/>
        <v>2</v>
      </c>
      <c r="FC26" s="23">
        <f t="shared" si="81"/>
        <v>70</v>
      </c>
      <c r="FD26" s="202"/>
      <c r="FE26" s="203"/>
      <c r="FF26" s="204"/>
      <c r="FG26" s="204"/>
      <c r="FH26" s="204"/>
      <c r="FI26" s="204"/>
      <c r="FJ26" s="204"/>
      <c r="FK26" s="204"/>
      <c r="FL26" s="204"/>
      <c r="FM26" s="205"/>
      <c r="FN26" s="202"/>
      <c r="FO26" s="203"/>
      <c r="FP26" s="204"/>
      <c r="FQ26" s="204"/>
      <c r="FR26" s="204"/>
      <c r="FS26" s="204"/>
      <c r="FT26" s="204"/>
      <c r="FU26" s="204"/>
      <c r="FV26" s="204"/>
      <c r="FW26" s="205"/>
      <c r="FX26" s="202"/>
      <c r="FY26" s="203"/>
      <c r="FZ26" s="204"/>
      <c r="GA26" s="204"/>
      <c r="GB26" s="204"/>
      <c r="GC26" s="204"/>
      <c r="GD26" s="204"/>
      <c r="GE26" s="204"/>
      <c r="GF26" s="204"/>
      <c r="GG26" s="205"/>
      <c r="GH26" s="202"/>
      <c r="GI26" s="203"/>
      <c r="GJ26" s="204"/>
      <c r="GK26" s="204"/>
      <c r="GL26" s="204"/>
      <c r="GM26" s="204"/>
      <c r="GN26" s="204"/>
      <c r="GO26" s="204"/>
      <c r="GP26" s="204"/>
      <c r="GQ26" s="205"/>
      <c r="GR26" s="202"/>
      <c r="GS26" s="203"/>
      <c r="GT26" s="204"/>
      <c r="GU26" s="204"/>
      <c r="GV26" s="204"/>
      <c r="GW26" s="204"/>
      <c r="GX26" s="204"/>
      <c r="GY26" s="204"/>
      <c r="GZ26" s="204"/>
      <c r="HA26" s="205"/>
      <c r="HB26" s="202"/>
      <c r="HC26" s="203"/>
      <c r="HD26" s="204"/>
      <c r="HE26" s="204"/>
      <c r="HF26" s="204"/>
      <c r="HG26" s="204"/>
      <c r="HH26" s="204"/>
      <c r="HI26" s="204"/>
      <c r="HJ26" s="204"/>
      <c r="HK26" s="205"/>
      <c r="HL26" s="202"/>
      <c r="HM26" s="203"/>
      <c r="HN26" s="204"/>
      <c r="HO26" s="204"/>
      <c r="HP26" s="204"/>
      <c r="HQ26" s="204"/>
      <c r="HR26" s="204"/>
      <c r="HS26" s="204"/>
      <c r="HT26" s="204"/>
      <c r="HU26" s="205"/>
      <c r="HV26" s="202"/>
      <c r="HW26" s="203"/>
      <c r="HX26" s="204"/>
      <c r="HY26" s="204"/>
      <c r="HZ26" s="204"/>
      <c r="IA26" s="204"/>
      <c r="IB26" s="204"/>
      <c r="IC26" s="204"/>
      <c r="ID26" s="204"/>
      <c r="IE26" s="205"/>
      <c r="IF26" s="262"/>
      <c r="IG26" s="25">
        <v>4</v>
      </c>
      <c r="IH26" s="26">
        <v>2.0099999999999998</v>
      </c>
      <c r="II26" s="26">
        <v>2.0099999999999998</v>
      </c>
      <c r="IJ26" s="26">
        <v>1.6274379874353748</v>
      </c>
      <c r="IK26" s="26">
        <v>1</v>
      </c>
      <c r="IL26" s="26">
        <v>1</v>
      </c>
      <c r="IM26" s="26">
        <v>1.125</v>
      </c>
      <c r="IN26" s="8"/>
    </row>
    <row r="27" spans="2:248" ht="15.75" thickBot="1" x14ac:dyDescent="0.3">
      <c r="B27" s="103">
        <f t="shared" si="12"/>
        <v>60</v>
      </c>
      <c r="C27" s="102">
        <v>10</v>
      </c>
      <c r="D27" s="98">
        <f t="shared" si="1"/>
        <v>0.24593663871438015</v>
      </c>
      <c r="E27" s="96">
        <f t="shared" si="2"/>
        <v>0.26233241462867218</v>
      </c>
      <c r="F27" s="96">
        <f t="shared" si="3"/>
        <v>0.27053030258581823</v>
      </c>
      <c r="G27" s="96">
        <f t="shared" si="4"/>
        <v>0.27544903536010579</v>
      </c>
      <c r="H27" s="96">
        <f t="shared" si="5"/>
        <v>0.27872819054296422</v>
      </c>
      <c r="I27" s="96">
        <f t="shared" si="6"/>
        <v>0.28107044424500588</v>
      </c>
      <c r="J27" s="96">
        <f t="shared" si="7"/>
        <v>0.28282713452153718</v>
      </c>
      <c r="K27" s="96">
        <f t="shared" si="8"/>
        <v>0.28419344918106154</v>
      </c>
      <c r="L27" s="96">
        <f t="shared" si="9"/>
        <v>0.28528650090868107</v>
      </c>
      <c r="M27" s="96">
        <f t="shared" si="10"/>
        <v>0.28618081595855149</v>
      </c>
      <c r="N27" s="96">
        <f t="shared" si="11"/>
        <v>0.28692607850011015</v>
      </c>
      <c r="O27" s="259"/>
      <c r="P27" s="259"/>
      <c r="Q27" s="259"/>
      <c r="R27" s="259"/>
      <c r="S27" s="259"/>
      <c r="T27" s="259"/>
      <c r="U27" s="259"/>
      <c r="V27" s="259"/>
      <c r="W27" s="64"/>
      <c r="X27" s="65"/>
      <c r="Z27" s="83"/>
      <c r="AA27" s="83"/>
      <c r="AT27" s="4"/>
      <c r="AU27" s="14">
        <f t="shared" si="116"/>
        <v>42</v>
      </c>
      <c r="AV27" s="12" t="str">
        <f t="shared" si="82"/>
        <v>(1050)</v>
      </c>
      <c r="AW27" s="19">
        <f t="shared" si="117"/>
        <v>13</v>
      </c>
      <c r="AX27" s="373">
        <f t="shared" si="83"/>
        <v>0.81093319357190097</v>
      </c>
      <c r="AY27" s="374" t="str">
        <f t="shared" si="84"/>
        <v>(0.08)</v>
      </c>
      <c r="AZ27" s="375">
        <v>2</v>
      </c>
      <c r="BA27" s="375">
        <f t="shared" si="17"/>
        <v>2</v>
      </c>
      <c r="BB27" s="375">
        <v>0</v>
      </c>
      <c r="BC27" s="375">
        <f t="shared" si="18"/>
        <v>0</v>
      </c>
      <c r="BD27" s="375">
        <v>0</v>
      </c>
      <c r="BE27" s="375">
        <f t="shared" si="19"/>
        <v>0</v>
      </c>
      <c r="BF27" s="375">
        <f t="shared" si="85"/>
        <v>2</v>
      </c>
      <c r="BG27" s="376">
        <f t="shared" si="21"/>
        <v>10</v>
      </c>
      <c r="BH27" s="373">
        <f t="shared" si="86"/>
        <v>1.2974931097150415</v>
      </c>
      <c r="BI27" s="374" t="str">
        <f t="shared" si="87"/>
        <v>(0.12)</v>
      </c>
      <c r="BJ27" s="375">
        <v>2</v>
      </c>
      <c r="BK27" s="375">
        <f t="shared" si="23"/>
        <v>2</v>
      </c>
      <c r="BL27" s="375">
        <v>0</v>
      </c>
      <c r="BM27" s="375">
        <f t="shared" si="24"/>
        <v>0</v>
      </c>
      <c r="BN27" s="375">
        <v>0</v>
      </c>
      <c r="BO27" s="375">
        <f t="shared" si="25"/>
        <v>0</v>
      </c>
      <c r="BP27" s="375">
        <f t="shared" si="88"/>
        <v>2</v>
      </c>
      <c r="BQ27" s="376">
        <f t="shared" si="27"/>
        <v>16</v>
      </c>
      <c r="BR27" s="373">
        <f t="shared" si="89"/>
        <v>1.7840530258581824</v>
      </c>
      <c r="BS27" s="374" t="str">
        <f t="shared" si="90"/>
        <v>(0.17)</v>
      </c>
      <c r="BT27" s="375">
        <v>2</v>
      </c>
      <c r="BU27" s="375">
        <f t="shared" si="29"/>
        <v>2</v>
      </c>
      <c r="BV27" s="375">
        <v>0</v>
      </c>
      <c r="BW27" s="375">
        <f t="shared" si="30"/>
        <v>0</v>
      </c>
      <c r="BX27" s="375">
        <v>0</v>
      </c>
      <c r="BY27" s="375">
        <f t="shared" si="31"/>
        <v>0</v>
      </c>
      <c r="BZ27" s="375">
        <f t="shared" si="91"/>
        <v>2</v>
      </c>
      <c r="CA27" s="376">
        <f t="shared" si="33"/>
        <v>22</v>
      </c>
      <c r="CB27" s="373">
        <f t="shared" si="92"/>
        <v>2.270612942001323</v>
      </c>
      <c r="CC27" s="374" t="str">
        <f t="shared" si="93"/>
        <v>(0.21)</v>
      </c>
      <c r="CD27" s="375">
        <v>2</v>
      </c>
      <c r="CE27" s="375">
        <f t="shared" si="35"/>
        <v>2</v>
      </c>
      <c r="CF27" s="375">
        <v>0</v>
      </c>
      <c r="CG27" s="375">
        <f t="shared" si="36"/>
        <v>0</v>
      </c>
      <c r="CH27" s="375">
        <v>0</v>
      </c>
      <c r="CI27" s="375">
        <f t="shared" si="37"/>
        <v>0</v>
      </c>
      <c r="CJ27" s="375">
        <f t="shared" si="94"/>
        <v>2</v>
      </c>
      <c r="CK27" s="376">
        <f t="shared" si="39"/>
        <v>28</v>
      </c>
      <c r="CL27" s="373">
        <f t="shared" si="95"/>
        <v>2.7571728581444632</v>
      </c>
      <c r="CM27" s="374" t="str">
        <f t="shared" si="96"/>
        <v>(0.26)</v>
      </c>
      <c r="CN27" s="375">
        <v>2</v>
      </c>
      <c r="CO27" s="375">
        <f t="shared" si="41"/>
        <v>2</v>
      </c>
      <c r="CP27" s="375">
        <v>0</v>
      </c>
      <c r="CQ27" s="375">
        <f t="shared" si="42"/>
        <v>0</v>
      </c>
      <c r="CR27" s="375">
        <v>0</v>
      </c>
      <c r="CS27" s="375">
        <f t="shared" si="43"/>
        <v>0</v>
      </c>
      <c r="CT27" s="375">
        <f t="shared" si="97"/>
        <v>2</v>
      </c>
      <c r="CU27" s="376">
        <f t="shared" si="45"/>
        <v>34</v>
      </c>
      <c r="CV27" s="373">
        <f t="shared" si="98"/>
        <v>3.2437327742876039</v>
      </c>
      <c r="CW27" s="374" t="str">
        <f t="shared" si="99"/>
        <v>(0.3)</v>
      </c>
      <c r="CX27" s="375">
        <v>2</v>
      </c>
      <c r="CY27" s="375">
        <f t="shared" si="47"/>
        <v>2</v>
      </c>
      <c r="CZ27" s="375">
        <v>0</v>
      </c>
      <c r="DA27" s="375">
        <f t="shared" si="48"/>
        <v>0</v>
      </c>
      <c r="DB27" s="375">
        <v>0</v>
      </c>
      <c r="DC27" s="375">
        <f t="shared" si="49"/>
        <v>0</v>
      </c>
      <c r="DD27" s="375">
        <f t="shared" si="100"/>
        <v>2</v>
      </c>
      <c r="DE27" s="376">
        <f t="shared" si="51"/>
        <v>40</v>
      </c>
      <c r="DF27" s="373">
        <f t="shared" si="101"/>
        <v>3.7302926904307441</v>
      </c>
      <c r="DG27" s="374" t="str">
        <f t="shared" si="102"/>
        <v>(0.35)</v>
      </c>
      <c r="DH27" s="375">
        <v>2</v>
      </c>
      <c r="DI27" s="375">
        <f t="shared" si="53"/>
        <v>2</v>
      </c>
      <c r="DJ27" s="375">
        <v>0</v>
      </c>
      <c r="DK27" s="375">
        <f t="shared" si="54"/>
        <v>0</v>
      </c>
      <c r="DL27" s="375">
        <v>0</v>
      </c>
      <c r="DM27" s="375">
        <f t="shared" si="55"/>
        <v>0</v>
      </c>
      <c r="DN27" s="375">
        <f t="shared" si="103"/>
        <v>2</v>
      </c>
      <c r="DO27" s="376">
        <f t="shared" si="57"/>
        <v>46</v>
      </c>
      <c r="DP27" s="373">
        <f t="shared" si="104"/>
        <v>4.2168526065738847</v>
      </c>
      <c r="DQ27" s="374" t="str">
        <f t="shared" si="105"/>
        <v>(0.39)</v>
      </c>
      <c r="DR27" s="375">
        <v>2</v>
      </c>
      <c r="DS27" s="375">
        <f t="shared" si="59"/>
        <v>2</v>
      </c>
      <c r="DT27" s="375">
        <v>0</v>
      </c>
      <c r="DU27" s="375">
        <f t="shared" si="60"/>
        <v>0</v>
      </c>
      <c r="DV27" s="375">
        <v>0</v>
      </c>
      <c r="DW27" s="375">
        <f t="shared" si="61"/>
        <v>0</v>
      </c>
      <c r="DX27" s="375">
        <f t="shared" si="106"/>
        <v>2</v>
      </c>
      <c r="DY27" s="376">
        <f t="shared" si="63"/>
        <v>52</v>
      </c>
      <c r="DZ27" s="373">
        <f t="shared" si="107"/>
        <v>4.7034125227170254</v>
      </c>
      <c r="EA27" s="374" t="str">
        <f t="shared" si="108"/>
        <v>(0.44)</v>
      </c>
      <c r="EB27" s="375">
        <v>2</v>
      </c>
      <c r="EC27" s="375">
        <f t="shared" si="65"/>
        <v>2</v>
      </c>
      <c r="ED27" s="375">
        <v>0</v>
      </c>
      <c r="EE27" s="375">
        <f t="shared" si="66"/>
        <v>0</v>
      </c>
      <c r="EF27" s="375">
        <v>0</v>
      </c>
      <c r="EG27" s="375">
        <f t="shared" si="67"/>
        <v>0</v>
      </c>
      <c r="EH27" s="375">
        <f t="shared" si="109"/>
        <v>2</v>
      </c>
      <c r="EI27" s="376">
        <f t="shared" si="69"/>
        <v>58</v>
      </c>
      <c r="EJ27" s="373">
        <f t="shared" si="110"/>
        <v>5.189972438860166</v>
      </c>
      <c r="EK27" s="374" t="str">
        <f t="shared" si="111"/>
        <v>(0.48)</v>
      </c>
      <c r="EL27" s="375">
        <v>2</v>
      </c>
      <c r="EM27" s="375">
        <f t="shared" si="71"/>
        <v>2</v>
      </c>
      <c r="EN27" s="375">
        <v>0</v>
      </c>
      <c r="EO27" s="375">
        <f t="shared" si="72"/>
        <v>0</v>
      </c>
      <c r="EP27" s="375">
        <v>0</v>
      </c>
      <c r="EQ27" s="375">
        <f t="shared" si="73"/>
        <v>0</v>
      </c>
      <c r="ER27" s="375">
        <f t="shared" si="112"/>
        <v>2</v>
      </c>
      <c r="ES27" s="376">
        <f t="shared" si="75"/>
        <v>64</v>
      </c>
      <c r="ET27" s="373">
        <f t="shared" si="113"/>
        <v>5.6765323550033067</v>
      </c>
      <c r="EU27" s="374" t="str">
        <f t="shared" si="114"/>
        <v>(0.53)</v>
      </c>
      <c r="EV27" s="22">
        <v>2</v>
      </c>
      <c r="EW27" s="22">
        <f t="shared" si="77"/>
        <v>2</v>
      </c>
      <c r="EX27" s="22">
        <v>0</v>
      </c>
      <c r="EY27" s="22">
        <f t="shared" si="78"/>
        <v>0</v>
      </c>
      <c r="EZ27" s="22">
        <v>0</v>
      </c>
      <c r="FA27" s="22">
        <f t="shared" si="79"/>
        <v>0</v>
      </c>
      <c r="FB27" s="22">
        <f t="shared" si="115"/>
        <v>2</v>
      </c>
      <c r="FC27" s="23">
        <f t="shared" si="81"/>
        <v>70</v>
      </c>
      <c r="FD27" s="202"/>
      <c r="FE27" s="203"/>
      <c r="FF27" s="204"/>
      <c r="FG27" s="204"/>
      <c r="FH27" s="204"/>
      <c r="FI27" s="204"/>
      <c r="FJ27" s="204"/>
      <c r="FK27" s="204"/>
      <c r="FL27" s="204"/>
      <c r="FM27" s="205"/>
      <c r="FN27" s="202"/>
      <c r="FO27" s="203"/>
      <c r="FP27" s="204"/>
      <c r="FQ27" s="204"/>
      <c r="FR27" s="204"/>
      <c r="FS27" s="204"/>
      <c r="FT27" s="204"/>
      <c r="FU27" s="204"/>
      <c r="FV27" s="204"/>
      <c r="FW27" s="205"/>
      <c r="FX27" s="202"/>
      <c r="FY27" s="203"/>
      <c r="FZ27" s="204"/>
      <c r="GA27" s="204"/>
      <c r="GB27" s="204"/>
      <c r="GC27" s="204"/>
      <c r="GD27" s="204"/>
      <c r="GE27" s="204"/>
      <c r="GF27" s="204"/>
      <c r="GG27" s="205"/>
      <c r="GH27" s="202"/>
      <c r="GI27" s="203"/>
      <c r="GJ27" s="204"/>
      <c r="GK27" s="204"/>
      <c r="GL27" s="204"/>
      <c r="GM27" s="204"/>
      <c r="GN27" s="204"/>
      <c r="GO27" s="204"/>
      <c r="GP27" s="204"/>
      <c r="GQ27" s="205"/>
      <c r="GR27" s="202"/>
      <c r="GS27" s="203"/>
      <c r="GT27" s="204"/>
      <c r="GU27" s="204"/>
      <c r="GV27" s="204"/>
      <c r="GW27" s="204"/>
      <c r="GX27" s="204"/>
      <c r="GY27" s="204"/>
      <c r="GZ27" s="204"/>
      <c r="HA27" s="205"/>
      <c r="HB27" s="202"/>
      <c r="HC27" s="203"/>
      <c r="HD27" s="204"/>
      <c r="HE27" s="204"/>
      <c r="HF27" s="204"/>
      <c r="HG27" s="204"/>
      <c r="HH27" s="204"/>
      <c r="HI27" s="204"/>
      <c r="HJ27" s="204"/>
      <c r="HK27" s="205"/>
      <c r="HL27" s="202"/>
      <c r="HM27" s="203"/>
      <c r="HN27" s="204"/>
      <c r="HO27" s="204"/>
      <c r="HP27" s="204"/>
      <c r="HQ27" s="204"/>
      <c r="HR27" s="204"/>
      <c r="HS27" s="204"/>
      <c r="HT27" s="204"/>
      <c r="HU27" s="205"/>
      <c r="HV27" s="202"/>
      <c r="HW27" s="203"/>
      <c r="HX27" s="204"/>
      <c r="HY27" s="204"/>
      <c r="HZ27" s="204"/>
      <c r="IA27" s="204"/>
      <c r="IB27" s="204"/>
      <c r="IC27" s="204"/>
      <c r="ID27" s="204"/>
      <c r="IE27" s="205"/>
      <c r="IF27" s="262"/>
      <c r="IG27" s="25">
        <v>5</v>
      </c>
      <c r="IH27" s="26">
        <v>2.0099999999999998</v>
      </c>
      <c r="II27" s="26">
        <v>2.0099999999999998</v>
      </c>
      <c r="IJ27" s="26">
        <v>1.6274379874353748</v>
      </c>
      <c r="IK27" s="26">
        <v>1</v>
      </c>
      <c r="IL27" s="26">
        <v>1</v>
      </c>
      <c r="IM27" s="26">
        <v>1.125</v>
      </c>
      <c r="IN27" s="8"/>
    </row>
    <row r="28" spans="2:248" ht="15.75" thickBot="1" x14ac:dyDescent="0.3">
      <c r="B28" s="103">
        <f t="shared" si="12"/>
        <v>66</v>
      </c>
      <c r="C28" s="102">
        <v>11</v>
      </c>
      <c r="D28" s="98">
        <f t="shared" si="1"/>
        <v>0.24895755034640621</v>
      </c>
      <c r="E28" s="96">
        <f t="shared" si="2"/>
        <v>0.2655547203694999</v>
      </c>
      <c r="F28" s="96">
        <f t="shared" si="3"/>
        <v>0.2738533053810468</v>
      </c>
      <c r="G28" s="96">
        <f t="shared" si="4"/>
        <v>0.27883245638797494</v>
      </c>
      <c r="H28" s="96">
        <f t="shared" si="5"/>
        <v>0.28215189039259364</v>
      </c>
      <c r="I28" s="96">
        <f t="shared" si="6"/>
        <v>0.28452291468160712</v>
      </c>
      <c r="J28" s="96">
        <f t="shared" si="7"/>
        <v>0.28630118289836709</v>
      </c>
      <c r="K28" s="96">
        <f t="shared" si="8"/>
        <v>0.28768428040029165</v>
      </c>
      <c r="L28" s="96">
        <f t="shared" si="9"/>
        <v>0.28879075840183116</v>
      </c>
      <c r="M28" s="96">
        <f t="shared" si="10"/>
        <v>0.28969605858490899</v>
      </c>
      <c r="N28" s="96">
        <f t="shared" si="11"/>
        <v>0.2904504754041406</v>
      </c>
      <c r="O28" s="259"/>
      <c r="P28" s="259"/>
      <c r="Q28" s="259"/>
      <c r="R28" s="259"/>
      <c r="S28" s="259"/>
      <c r="T28" s="259"/>
      <c r="U28" s="259"/>
      <c r="V28" s="259"/>
      <c r="W28" s="64"/>
      <c r="X28" s="65"/>
      <c r="Z28" s="83"/>
      <c r="AA28" s="83"/>
      <c r="AT28" s="4"/>
      <c r="AU28" s="14">
        <f t="shared" si="116"/>
        <v>48</v>
      </c>
      <c r="AV28" s="12" t="str">
        <f t="shared" si="82"/>
        <v>(1200)</v>
      </c>
      <c r="AW28" s="19">
        <f t="shared" si="117"/>
        <v>14</v>
      </c>
      <c r="AX28" s="373">
        <f t="shared" si="83"/>
        <v>0.95051652690523425</v>
      </c>
      <c r="AY28" s="374" t="str">
        <f t="shared" si="84"/>
        <v>(0.09)</v>
      </c>
      <c r="AZ28" s="375">
        <v>2</v>
      </c>
      <c r="BA28" s="375">
        <f t="shared" si="17"/>
        <v>2</v>
      </c>
      <c r="BB28" s="375">
        <v>0</v>
      </c>
      <c r="BC28" s="375">
        <f t="shared" si="18"/>
        <v>0</v>
      </c>
      <c r="BD28" s="375">
        <v>0</v>
      </c>
      <c r="BE28" s="375">
        <f t="shared" si="19"/>
        <v>0</v>
      </c>
      <c r="BF28" s="375">
        <f t="shared" si="85"/>
        <v>2</v>
      </c>
      <c r="BG28" s="376">
        <f t="shared" si="21"/>
        <v>10</v>
      </c>
      <c r="BH28" s="373">
        <f t="shared" si="86"/>
        <v>1.5208264430483749</v>
      </c>
      <c r="BI28" s="374" t="str">
        <f t="shared" si="87"/>
        <v>(0.14)</v>
      </c>
      <c r="BJ28" s="375">
        <v>2</v>
      </c>
      <c r="BK28" s="375">
        <f t="shared" si="23"/>
        <v>2</v>
      </c>
      <c r="BL28" s="375">
        <v>0</v>
      </c>
      <c r="BM28" s="375">
        <f t="shared" si="24"/>
        <v>0</v>
      </c>
      <c r="BN28" s="375">
        <v>0</v>
      </c>
      <c r="BO28" s="375">
        <f t="shared" si="25"/>
        <v>0</v>
      </c>
      <c r="BP28" s="375">
        <f t="shared" si="88"/>
        <v>2</v>
      </c>
      <c r="BQ28" s="376">
        <f t="shared" si="27"/>
        <v>16</v>
      </c>
      <c r="BR28" s="373">
        <f t="shared" si="89"/>
        <v>2.0911363591915153</v>
      </c>
      <c r="BS28" s="374" t="str">
        <f t="shared" si="90"/>
        <v>(0.19)</v>
      </c>
      <c r="BT28" s="375">
        <v>2</v>
      </c>
      <c r="BU28" s="375">
        <f t="shared" si="29"/>
        <v>2</v>
      </c>
      <c r="BV28" s="375">
        <v>0</v>
      </c>
      <c r="BW28" s="375">
        <f t="shared" si="30"/>
        <v>0</v>
      </c>
      <c r="BX28" s="375">
        <v>0</v>
      </c>
      <c r="BY28" s="375">
        <f t="shared" si="31"/>
        <v>0</v>
      </c>
      <c r="BZ28" s="375">
        <f t="shared" si="91"/>
        <v>2</v>
      </c>
      <c r="CA28" s="376">
        <f t="shared" si="33"/>
        <v>22</v>
      </c>
      <c r="CB28" s="373">
        <f t="shared" si="92"/>
        <v>2.6614462753346562</v>
      </c>
      <c r="CC28" s="374" t="str">
        <f t="shared" si="93"/>
        <v>(0.25)</v>
      </c>
      <c r="CD28" s="375">
        <v>2</v>
      </c>
      <c r="CE28" s="375">
        <f t="shared" si="35"/>
        <v>2</v>
      </c>
      <c r="CF28" s="375">
        <v>0</v>
      </c>
      <c r="CG28" s="375">
        <f t="shared" si="36"/>
        <v>0</v>
      </c>
      <c r="CH28" s="375">
        <v>0</v>
      </c>
      <c r="CI28" s="375">
        <f t="shared" si="37"/>
        <v>0</v>
      </c>
      <c r="CJ28" s="375">
        <f t="shared" si="94"/>
        <v>2</v>
      </c>
      <c r="CK28" s="376">
        <f t="shared" si="39"/>
        <v>28</v>
      </c>
      <c r="CL28" s="373">
        <f t="shared" si="95"/>
        <v>3.2317561914777966</v>
      </c>
      <c r="CM28" s="374" t="str">
        <f t="shared" si="96"/>
        <v>(0.3)</v>
      </c>
      <c r="CN28" s="375">
        <v>2</v>
      </c>
      <c r="CO28" s="375">
        <f t="shared" si="41"/>
        <v>2</v>
      </c>
      <c r="CP28" s="375">
        <v>0</v>
      </c>
      <c r="CQ28" s="375">
        <f t="shared" si="42"/>
        <v>0</v>
      </c>
      <c r="CR28" s="375">
        <v>0</v>
      </c>
      <c r="CS28" s="375">
        <f t="shared" si="43"/>
        <v>0</v>
      </c>
      <c r="CT28" s="375">
        <f t="shared" si="97"/>
        <v>2</v>
      </c>
      <c r="CU28" s="376">
        <f t="shared" si="45"/>
        <v>34</v>
      </c>
      <c r="CV28" s="373">
        <f t="shared" si="98"/>
        <v>3.802066107620937</v>
      </c>
      <c r="CW28" s="374" t="str">
        <f t="shared" si="99"/>
        <v>(0.35)</v>
      </c>
      <c r="CX28" s="375">
        <v>2</v>
      </c>
      <c r="CY28" s="375">
        <f t="shared" si="47"/>
        <v>2</v>
      </c>
      <c r="CZ28" s="375">
        <v>0</v>
      </c>
      <c r="DA28" s="375">
        <f t="shared" si="48"/>
        <v>0</v>
      </c>
      <c r="DB28" s="375">
        <v>0</v>
      </c>
      <c r="DC28" s="375">
        <f t="shared" si="49"/>
        <v>0</v>
      </c>
      <c r="DD28" s="375">
        <f t="shared" si="100"/>
        <v>2</v>
      </c>
      <c r="DE28" s="376">
        <f t="shared" si="51"/>
        <v>40</v>
      </c>
      <c r="DF28" s="377">
        <f t="shared" si="101"/>
        <v>4.3723760237640779</v>
      </c>
      <c r="DG28" s="378" t="str">
        <f t="shared" si="102"/>
        <v>(0.41)</v>
      </c>
      <c r="DH28" s="375">
        <v>2</v>
      </c>
      <c r="DI28" s="375">
        <f t="shared" si="53"/>
        <v>2</v>
      </c>
      <c r="DJ28" s="375">
        <v>0</v>
      </c>
      <c r="DK28" s="375">
        <f t="shared" si="54"/>
        <v>0</v>
      </c>
      <c r="DL28" s="375">
        <v>0</v>
      </c>
      <c r="DM28" s="375">
        <f t="shared" si="55"/>
        <v>0</v>
      </c>
      <c r="DN28" s="375">
        <f t="shared" si="103"/>
        <v>2</v>
      </c>
      <c r="DO28" s="376">
        <f t="shared" si="57"/>
        <v>46</v>
      </c>
      <c r="DP28" s="373">
        <f t="shared" si="104"/>
        <v>4.9426859399072178</v>
      </c>
      <c r="DQ28" s="374" t="str">
        <f t="shared" si="105"/>
        <v>(0.46)</v>
      </c>
      <c r="DR28" s="375">
        <v>2</v>
      </c>
      <c r="DS28" s="375">
        <f t="shared" si="59"/>
        <v>2</v>
      </c>
      <c r="DT28" s="375">
        <v>0</v>
      </c>
      <c r="DU28" s="375">
        <f t="shared" si="60"/>
        <v>0</v>
      </c>
      <c r="DV28" s="375">
        <v>0</v>
      </c>
      <c r="DW28" s="375">
        <f t="shared" si="61"/>
        <v>0</v>
      </c>
      <c r="DX28" s="375">
        <f t="shared" si="106"/>
        <v>2</v>
      </c>
      <c r="DY28" s="376">
        <f t="shared" si="63"/>
        <v>52</v>
      </c>
      <c r="DZ28" s="373">
        <f t="shared" si="107"/>
        <v>5.5129958560503587</v>
      </c>
      <c r="EA28" s="374" t="str">
        <f t="shared" si="108"/>
        <v>(0.51)</v>
      </c>
      <c r="EB28" s="375">
        <v>2</v>
      </c>
      <c r="EC28" s="375">
        <f t="shared" si="65"/>
        <v>2</v>
      </c>
      <c r="ED28" s="375">
        <v>0</v>
      </c>
      <c r="EE28" s="375">
        <f t="shared" si="66"/>
        <v>0</v>
      </c>
      <c r="EF28" s="375">
        <v>0</v>
      </c>
      <c r="EG28" s="375">
        <f t="shared" si="67"/>
        <v>0</v>
      </c>
      <c r="EH28" s="375">
        <f t="shared" si="109"/>
        <v>2</v>
      </c>
      <c r="EI28" s="376">
        <f t="shared" si="69"/>
        <v>58</v>
      </c>
      <c r="EJ28" s="373">
        <f t="shared" si="110"/>
        <v>6.0833057721934995</v>
      </c>
      <c r="EK28" s="374" t="str">
        <f t="shared" si="111"/>
        <v>(0.57)</v>
      </c>
      <c r="EL28" s="375">
        <v>2</v>
      </c>
      <c r="EM28" s="375">
        <f t="shared" si="71"/>
        <v>2</v>
      </c>
      <c r="EN28" s="375">
        <v>0</v>
      </c>
      <c r="EO28" s="375">
        <f t="shared" si="72"/>
        <v>0</v>
      </c>
      <c r="EP28" s="375">
        <v>0</v>
      </c>
      <c r="EQ28" s="375">
        <f t="shared" si="73"/>
        <v>0</v>
      </c>
      <c r="ER28" s="375">
        <f t="shared" si="112"/>
        <v>2</v>
      </c>
      <c r="ES28" s="376">
        <f t="shared" si="75"/>
        <v>64</v>
      </c>
      <c r="ET28" s="373">
        <f t="shared" si="113"/>
        <v>6.6536156883366395</v>
      </c>
      <c r="EU28" s="374" t="str">
        <f t="shared" si="114"/>
        <v>(0.62)</v>
      </c>
      <c r="EV28" s="22">
        <v>2</v>
      </c>
      <c r="EW28" s="22">
        <f t="shared" si="77"/>
        <v>2</v>
      </c>
      <c r="EX28" s="22">
        <v>0</v>
      </c>
      <c r="EY28" s="22">
        <f t="shared" si="78"/>
        <v>0</v>
      </c>
      <c r="EZ28" s="22">
        <v>0</v>
      </c>
      <c r="FA28" s="22">
        <f t="shared" si="79"/>
        <v>0</v>
      </c>
      <c r="FB28" s="22">
        <f t="shared" si="115"/>
        <v>2</v>
      </c>
      <c r="FC28" s="23">
        <f t="shared" si="81"/>
        <v>70</v>
      </c>
      <c r="FD28" s="202"/>
      <c r="FE28" s="203"/>
      <c r="FF28" s="204"/>
      <c r="FG28" s="204"/>
      <c r="FH28" s="204"/>
      <c r="FI28" s="204"/>
      <c r="FJ28" s="204"/>
      <c r="FK28" s="204"/>
      <c r="FL28" s="204"/>
      <c r="FM28" s="205"/>
      <c r="FN28" s="202"/>
      <c r="FO28" s="203"/>
      <c r="FP28" s="204"/>
      <c r="FQ28" s="204"/>
      <c r="FR28" s="204"/>
      <c r="FS28" s="204"/>
      <c r="FT28" s="204"/>
      <c r="FU28" s="204"/>
      <c r="FV28" s="204"/>
      <c r="FW28" s="205"/>
      <c r="FX28" s="202"/>
      <c r="FY28" s="203"/>
      <c r="FZ28" s="204"/>
      <c r="GA28" s="204"/>
      <c r="GB28" s="204"/>
      <c r="GC28" s="204"/>
      <c r="GD28" s="204"/>
      <c r="GE28" s="204"/>
      <c r="GF28" s="204"/>
      <c r="GG28" s="205"/>
      <c r="GH28" s="202"/>
      <c r="GI28" s="203"/>
      <c r="GJ28" s="204"/>
      <c r="GK28" s="204"/>
      <c r="GL28" s="204"/>
      <c r="GM28" s="204"/>
      <c r="GN28" s="204"/>
      <c r="GO28" s="204"/>
      <c r="GP28" s="204"/>
      <c r="GQ28" s="205"/>
      <c r="GR28" s="202"/>
      <c r="GS28" s="203"/>
      <c r="GT28" s="204"/>
      <c r="GU28" s="204"/>
      <c r="GV28" s="204"/>
      <c r="GW28" s="204"/>
      <c r="GX28" s="204"/>
      <c r="GY28" s="204"/>
      <c r="GZ28" s="204"/>
      <c r="HA28" s="205"/>
      <c r="HB28" s="202"/>
      <c r="HC28" s="203"/>
      <c r="HD28" s="204"/>
      <c r="HE28" s="204"/>
      <c r="HF28" s="204"/>
      <c r="HG28" s="204"/>
      <c r="HH28" s="204"/>
      <c r="HI28" s="204"/>
      <c r="HJ28" s="204"/>
      <c r="HK28" s="205"/>
      <c r="HL28" s="202"/>
      <c r="HM28" s="203"/>
      <c r="HN28" s="204"/>
      <c r="HO28" s="204"/>
      <c r="HP28" s="204"/>
      <c r="HQ28" s="204"/>
      <c r="HR28" s="204"/>
      <c r="HS28" s="204"/>
      <c r="HT28" s="204"/>
      <c r="HU28" s="205"/>
      <c r="HV28" s="202"/>
      <c r="HW28" s="203"/>
      <c r="HX28" s="204"/>
      <c r="HY28" s="204"/>
      <c r="HZ28" s="204"/>
      <c r="IA28" s="204"/>
      <c r="IB28" s="204"/>
      <c r="IC28" s="204"/>
      <c r="ID28" s="204"/>
      <c r="IE28" s="205"/>
      <c r="IF28" s="262"/>
      <c r="IG28" s="25">
        <v>6</v>
      </c>
      <c r="IH28" s="26">
        <v>2.0099999999999998</v>
      </c>
      <c r="II28" s="26">
        <v>2.0099999999999998</v>
      </c>
      <c r="IJ28" s="26">
        <v>1.6274379874353748</v>
      </c>
      <c r="IK28" s="26">
        <v>1</v>
      </c>
      <c r="IL28" s="26">
        <v>1</v>
      </c>
      <c r="IM28" s="26">
        <v>1.125</v>
      </c>
      <c r="IN28" s="8"/>
    </row>
    <row r="29" spans="2:248" ht="15.75" thickBot="1" x14ac:dyDescent="0.3">
      <c r="B29" s="103">
        <f t="shared" si="12"/>
        <v>72</v>
      </c>
      <c r="C29" s="102">
        <v>12</v>
      </c>
      <c r="D29" s="98">
        <f t="shared" si="1"/>
        <v>0.25147497670642788</v>
      </c>
      <c r="E29" s="96">
        <f t="shared" si="2"/>
        <v>0.26823997515352305</v>
      </c>
      <c r="F29" s="96">
        <f t="shared" si="3"/>
        <v>0.27662247437707066</v>
      </c>
      <c r="G29" s="96">
        <f t="shared" si="4"/>
        <v>0.28165197391119923</v>
      </c>
      <c r="H29" s="96">
        <f t="shared" si="5"/>
        <v>0.28500497360061833</v>
      </c>
      <c r="I29" s="96">
        <f t="shared" si="6"/>
        <v>0.28739997337877471</v>
      </c>
      <c r="J29" s="96">
        <f t="shared" si="7"/>
        <v>0.28919622321239208</v>
      </c>
      <c r="K29" s="96">
        <f t="shared" si="8"/>
        <v>0.29059330641631664</v>
      </c>
      <c r="L29" s="96">
        <f t="shared" si="9"/>
        <v>0.29171097297945631</v>
      </c>
      <c r="M29" s="96">
        <f t="shared" si="10"/>
        <v>0.29262542744020698</v>
      </c>
      <c r="N29" s="96">
        <f t="shared" si="11"/>
        <v>0.29338747282416588</v>
      </c>
      <c r="O29" s="259"/>
      <c r="P29" s="259"/>
      <c r="Q29" s="259"/>
      <c r="R29" s="259"/>
      <c r="S29" s="259"/>
      <c r="T29" s="259"/>
      <c r="U29" s="259"/>
      <c r="V29" s="259"/>
      <c r="W29" s="64"/>
      <c r="X29" s="65"/>
      <c r="Z29" s="83"/>
      <c r="AA29" s="83"/>
      <c r="AT29" s="4"/>
      <c r="AU29" s="14">
        <f t="shared" si="116"/>
        <v>54</v>
      </c>
      <c r="AV29" s="12" t="str">
        <f t="shared" si="82"/>
        <v>(1350)</v>
      </c>
      <c r="AW29" s="19">
        <f t="shared" si="117"/>
        <v>15</v>
      </c>
      <c r="AX29" s="373">
        <f t="shared" si="83"/>
        <v>1.0900998602385676</v>
      </c>
      <c r="AY29" s="374" t="str">
        <f t="shared" si="84"/>
        <v>(0.10)</v>
      </c>
      <c r="AZ29" s="375">
        <v>2</v>
      </c>
      <c r="BA29" s="375">
        <f t="shared" si="17"/>
        <v>2</v>
      </c>
      <c r="BB29" s="375">
        <v>0</v>
      </c>
      <c r="BC29" s="375">
        <f t="shared" si="18"/>
        <v>0</v>
      </c>
      <c r="BD29" s="375">
        <v>0</v>
      </c>
      <c r="BE29" s="375">
        <f t="shared" si="19"/>
        <v>0</v>
      </c>
      <c r="BF29" s="375">
        <f t="shared" si="85"/>
        <v>2</v>
      </c>
      <c r="BG29" s="376">
        <f t="shared" si="21"/>
        <v>10</v>
      </c>
      <c r="BH29" s="373">
        <f t="shared" si="86"/>
        <v>1.744159776381708</v>
      </c>
      <c r="BI29" s="374" t="str">
        <f t="shared" si="87"/>
        <v>(0.16)</v>
      </c>
      <c r="BJ29" s="375">
        <v>2</v>
      </c>
      <c r="BK29" s="375">
        <f t="shared" si="23"/>
        <v>2</v>
      </c>
      <c r="BL29" s="375">
        <v>0</v>
      </c>
      <c r="BM29" s="375">
        <f t="shared" si="24"/>
        <v>0</v>
      </c>
      <c r="BN29" s="375">
        <v>0</v>
      </c>
      <c r="BO29" s="375">
        <f t="shared" si="25"/>
        <v>0</v>
      </c>
      <c r="BP29" s="375">
        <f t="shared" si="88"/>
        <v>2</v>
      </c>
      <c r="BQ29" s="376">
        <f t="shared" si="27"/>
        <v>16</v>
      </c>
      <c r="BR29" s="373">
        <f t="shared" si="89"/>
        <v>2.3982196925248487</v>
      </c>
      <c r="BS29" s="374" t="str">
        <f t="shared" si="90"/>
        <v>(0.22)</v>
      </c>
      <c r="BT29" s="375">
        <v>2</v>
      </c>
      <c r="BU29" s="375">
        <f t="shared" si="29"/>
        <v>2</v>
      </c>
      <c r="BV29" s="375">
        <v>0</v>
      </c>
      <c r="BW29" s="375">
        <f t="shared" si="30"/>
        <v>0</v>
      </c>
      <c r="BX29" s="375">
        <v>0</v>
      </c>
      <c r="BY29" s="375">
        <f t="shared" si="31"/>
        <v>0</v>
      </c>
      <c r="BZ29" s="375">
        <f t="shared" si="91"/>
        <v>2</v>
      </c>
      <c r="CA29" s="376">
        <f t="shared" si="33"/>
        <v>22</v>
      </c>
      <c r="CB29" s="373">
        <f t="shared" si="92"/>
        <v>3.0522796086679893</v>
      </c>
      <c r="CC29" s="374" t="str">
        <f t="shared" si="93"/>
        <v>(0.28)</v>
      </c>
      <c r="CD29" s="375">
        <v>2</v>
      </c>
      <c r="CE29" s="375">
        <f t="shared" si="35"/>
        <v>2</v>
      </c>
      <c r="CF29" s="375">
        <v>0</v>
      </c>
      <c r="CG29" s="375">
        <f t="shared" si="36"/>
        <v>0</v>
      </c>
      <c r="CH29" s="375">
        <v>0</v>
      </c>
      <c r="CI29" s="375">
        <f t="shared" si="37"/>
        <v>0</v>
      </c>
      <c r="CJ29" s="375">
        <f t="shared" si="94"/>
        <v>2</v>
      </c>
      <c r="CK29" s="376">
        <f t="shared" si="39"/>
        <v>28</v>
      </c>
      <c r="CL29" s="373">
        <f t="shared" si="95"/>
        <v>3.7063395248111299</v>
      </c>
      <c r="CM29" s="374" t="str">
        <f t="shared" si="96"/>
        <v>(0.34)</v>
      </c>
      <c r="CN29" s="375">
        <v>2</v>
      </c>
      <c r="CO29" s="375">
        <f t="shared" si="41"/>
        <v>2</v>
      </c>
      <c r="CP29" s="375">
        <v>0</v>
      </c>
      <c r="CQ29" s="375">
        <f t="shared" si="42"/>
        <v>0</v>
      </c>
      <c r="CR29" s="375">
        <v>0</v>
      </c>
      <c r="CS29" s="375">
        <f t="shared" si="43"/>
        <v>0</v>
      </c>
      <c r="CT29" s="375">
        <f t="shared" si="97"/>
        <v>2</v>
      </c>
      <c r="CU29" s="376">
        <f t="shared" si="45"/>
        <v>34</v>
      </c>
      <c r="CV29" s="373">
        <f t="shared" si="98"/>
        <v>4.3603994409542706</v>
      </c>
      <c r="CW29" s="374" t="str">
        <f t="shared" si="99"/>
        <v>(0.41)</v>
      </c>
      <c r="CX29" s="375">
        <v>2</v>
      </c>
      <c r="CY29" s="375">
        <f t="shared" si="47"/>
        <v>2</v>
      </c>
      <c r="CZ29" s="375">
        <v>0</v>
      </c>
      <c r="DA29" s="375">
        <f t="shared" si="48"/>
        <v>0</v>
      </c>
      <c r="DB29" s="375">
        <v>0</v>
      </c>
      <c r="DC29" s="375">
        <f t="shared" si="49"/>
        <v>0</v>
      </c>
      <c r="DD29" s="375">
        <f t="shared" si="100"/>
        <v>2</v>
      </c>
      <c r="DE29" s="376">
        <f t="shared" si="51"/>
        <v>40</v>
      </c>
      <c r="DF29" s="373">
        <f t="shared" si="101"/>
        <v>5.0144593570974116</v>
      </c>
      <c r="DG29" s="374" t="str">
        <f t="shared" si="102"/>
        <v>(0.47)</v>
      </c>
      <c r="DH29" s="375">
        <v>2</v>
      </c>
      <c r="DI29" s="375">
        <f t="shared" si="53"/>
        <v>2</v>
      </c>
      <c r="DJ29" s="375">
        <v>0</v>
      </c>
      <c r="DK29" s="375">
        <f t="shared" si="54"/>
        <v>0</v>
      </c>
      <c r="DL29" s="375">
        <v>0</v>
      </c>
      <c r="DM29" s="375">
        <f t="shared" si="55"/>
        <v>0</v>
      </c>
      <c r="DN29" s="375">
        <f t="shared" si="103"/>
        <v>2</v>
      </c>
      <c r="DO29" s="376">
        <f t="shared" si="57"/>
        <v>46</v>
      </c>
      <c r="DP29" s="373">
        <f t="shared" si="104"/>
        <v>5.6685192732405518</v>
      </c>
      <c r="DQ29" s="374" t="str">
        <f t="shared" si="105"/>
        <v>(0.53)</v>
      </c>
      <c r="DR29" s="375">
        <v>2</v>
      </c>
      <c r="DS29" s="375">
        <f t="shared" si="59"/>
        <v>2</v>
      </c>
      <c r="DT29" s="375">
        <v>0</v>
      </c>
      <c r="DU29" s="375">
        <f t="shared" si="60"/>
        <v>0</v>
      </c>
      <c r="DV29" s="375">
        <v>0</v>
      </c>
      <c r="DW29" s="375">
        <f t="shared" si="61"/>
        <v>0</v>
      </c>
      <c r="DX29" s="375">
        <f t="shared" si="106"/>
        <v>2</v>
      </c>
      <c r="DY29" s="376">
        <f t="shared" si="63"/>
        <v>52</v>
      </c>
      <c r="DZ29" s="373">
        <f t="shared" si="107"/>
        <v>6.322579189383692</v>
      </c>
      <c r="EA29" s="374" t="str">
        <f t="shared" si="108"/>
        <v>(0.59)</v>
      </c>
      <c r="EB29" s="375">
        <v>2</v>
      </c>
      <c r="EC29" s="375">
        <f t="shared" si="65"/>
        <v>2</v>
      </c>
      <c r="ED29" s="375">
        <v>0</v>
      </c>
      <c r="EE29" s="375">
        <f t="shared" si="66"/>
        <v>0</v>
      </c>
      <c r="EF29" s="375">
        <v>0</v>
      </c>
      <c r="EG29" s="375">
        <f t="shared" si="67"/>
        <v>0</v>
      </c>
      <c r="EH29" s="375">
        <f t="shared" si="109"/>
        <v>2</v>
      </c>
      <c r="EI29" s="376">
        <f t="shared" si="69"/>
        <v>58</v>
      </c>
      <c r="EJ29" s="373">
        <f t="shared" si="110"/>
        <v>6.9766391055268322</v>
      </c>
      <c r="EK29" s="374" t="str">
        <f t="shared" si="111"/>
        <v>(0.65)</v>
      </c>
      <c r="EL29" s="375">
        <v>2</v>
      </c>
      <c r="EM29" s="375">
        <f t="shared" si="71"/>
        <v>2</v>
      </c>
      <c r="EN29" s="375">
        <v>0</v>
      </c>
      <c r="EO29" s="375">
        <f t="shared" si="72"/>
        <v>0</v>
      </c>
      <c r="EP29" s="375">
        <v>0</v>
      </c>
      <c r="EQ29" s="375">
        <f t="shared" si="73"/>
        <v>0</v>
      </c>
      <c r="ER29" s="375">
        <f t="shared" si="112"/>
        <v>2</v>
      </c>
      <c r="ES29" s="376">
        <f t="shared" si="75"/>
        <v>64</v>
      </c>
      <c r="ET29" s="373">
        <f t="shared" si="113"/>
        <v>7.6306990216699733</v>
      </c>
      <c r="EU29" s="374" t="str">
        <f t="shared" si="114"/>
        <v>(0.71)</v>
      </c>
      <c r="EV29" s="22">
        <v>2</v>
      </c>
      <c r="EW29" s="22">
        <f t="shared" si="77"/>
        <v>2</v>
      </c>
      <c r="EX29" s="22">
        <v>0</v>
      </c>
      <c r="EY29" s="22">
        <f t="shared" si="78"/>
        <v>0</v>
      </c>
      <c r="EZ29" s="22">
        <v>0</v>
      </c>
      <c r="FA29" s="22">
        <f t="shared" si="79"/>
        <v>0</v>
      </c>
      <c r="FB29" s="22">
        <f t="shared" si="115"/>
        <v>2</v>
      </c>
      <c r="FC29" s="23">
        <f t="shared" si="81"/>
        <v>70</v>
      </c>
      <c r="FD29" s="202"/>
      <c r="FE29" s="203"/>
      <c r="FF29" s="204"/>
      <c r="FG29" s="204"/>
      <c r="FH29" s="204"/>
      <c r="FI29" s="204"/>
      <c r="FJ29" s="204"/>
      <c r="FK29" s="204"/>
      <c r="FL29" s="204"/>
      <c r="FM29" s="205"/>
      <c r="FN29" s="202"/>
      <c r="FO29" s="203"/>
      <c r="FP29" s="204"/>
      <c r="FQ29" s="204"/>
      <c r="FR29" s="204"/>
      <c r="FS29" s="204"/>
      <c r="FT29" s="204"/>
      <c r="FU29" s="204"/>
      <c r="FV29" s="204"/>
      <c r="FW29" s="205"/>
      <c r="FX29" s="202"/>
      <c r="FY29" s="203"/>
      <c r="FZ29" s="204"/>
      <c r="GA29" s="204"/>
      <c r="GB29" s="204"/>
      <c r="GC29" s="204"/>
      <c r="GD29" s="204"/>
      <c r="GE29" s="204"/>
      <c r="GF29" s="204"/>
      <c r="GG29" s="205"/>
      <c r="GH29" s="202"/>
      <c r="GI29" s="203"/>
      <c r="GJ29" s="204"/>
      <c r="GK29" s="204"/>
      <c r="GL29" s="204"/>
      <c r="GM29" s="204"/>
      <c r="GN29" s="204"/>
      <c r="GO29" s="204"/>
      <c r="GP29" s="204"/>
      <c r="GQ29" s="205"/>
      <c r="GR29" s="202"/>
      <c r="GS29" s="203"/>
      <c r="GT29" s="204"/>
      <c r="GU29" s="204"/>
      <c r="GV29" s="204"/>
      <c r="GW29" s="204"/>
      <c r="GX29" s="204"/>
      <c r="GY29" s="204"/>
      <c r="GZ29" s="204"/>
      <c r="HA29" s="205"/>
      <c r="HB29" s="202"/>
      <c r="HC29" s="203"/>
      <c r="HD29" s="204"/>
      <c r="HE29" s="204"/>
      <c r="HF29" s="204"/>
      <c r="HG29" s="204"/>
      <c r="HH29" s="204"/>
      <c r="HI29" s="204"/>
      <c r="HJ29" s="204"/>
      <c r="HK29" s="205"/>
      <c r="HL29" s="202"/>
      <c r="HM29" s="203"/>
      <c r="HN29" s="204"/>
      <c r="HO29" s="204"/>
      <c r="HP29" s="204"/>
      <c r="HQ29" s="204"/>
      <c r="HR29" s="204"/>
      <c r="HS29" s="204"/>
      <c r="HT29" s="204"/>
      <c r="HU29" s="205"/>
      <c r="HV29" s="202"/>
      <c r="HW29" s="203"/>
      <c r="HX29" s="204"/>
      <c r="HY29" s="204"/>
      <c r="HZ29" s="204"/>
      <c r="IA29" s="204"/>
      <c r="IB29" s="204"/>
      <c r="IC29" s="204"/>
      <c r="ID29" s="204"/>
      <c r="IE29" s="205"/>
      <c r="IF29" s="262"/>
      <c r="IG29" s="25">
        <v>7</v>
      </c>
      <c r="IH29" s="26">
        <v>2.0099999999999998</v>
      </c>
      <c r="II29" s="26">
        <v>2.0099999999999998</v>
      </c>
      <c r="IJ29" s="26">
        <v>1.6274379874353748</v>
      </c>
      <c r="IK29" s="26">
        <v>1</v>
      </c>
      <c r="IL29" s="26">
        <v>1</v>
      </c>
      <c r="IM29" s="26">
        <v>1.125</v>
      </c>
      <c r="IN29" s="8"/>
    </row>
    <row r="30" spans="2:248" ht="15.75" thickBot="1" x14ac:dyDescent="0.3">
      <c r="B30" s="103">
        <f t="shared" si="12"/>
        <v>78</v>
      </c>
      <c r="C30" s="102">
        <v>13</v>
      </c>
      <c r="D30" s="98">
        <f t="shared" si="1"/>
        <v>0.25360510670336939</v>
      </c>
      <c r="E30" s="96">
        <f t="shared" si="2"/>
        <v>0.27051211381692736</v>
      </c>
      <c r="F30" s="96">
        <f t="shared" si="3"/>
        <v>0.27896561737370634</v>
      </c>
      <c r="G30" s="96">
        <f t="shared" si="4"/>
        <v>0.28403771950777373</v>
      </c>
      <c r="H30" s="96">
        <f t="shared" si="5"/>
        <v>0.28741912093048533</v>
      </c>
      <c r="I30" s="96">
        <f t="shared" si="6"/>
        <v>0.28983440766099355</v>
      </c>
      <c r="J30" s="96">
        <f t="shared" si="7"/>
        <v>0.29164587270887476</v>
      </c>
      <c r="K30" s="96">
        <f t="shared" si="8"/>
        <v>0.293054789968338</v>
      </c>
      <c r="L30" s="96">
        <f t="shared" si="9"/>
        <v>0.29418192377590846</v>
      </c>
      <c r="M30" s="96">
        <f t="shared" si="10"/>
        <v>0.29510412416392073</v>
      </c>
      <c r="N30" s="96">
        <f t="shared" si="11"/>
        <v>0.29587262448726431</v>
      </c>
      <c r="O30" s="259"/>
      <c r="P30" s="259"/>
      <c r="Q30" s="259"/>
      <c r="R30" s="259"/>
      <c r="S30" s="259"/>
      <c r="T30" s="259"/>
      <c r="U30" s="259"/>
      <c r="V30" s="260"/>
      <c r="W30" s="64"/>
      <c r="X30" s="65"/>
      <c r="Z30" s="83"/>
      <c r="AA30" s="83"/>
      <c r="AT30" s="4"/>
      <c r="AU30" s="27">
        <f t="shared" si="116"/>
        <v>60</v>
      </c>
      <c r="AV30" s="28" t="str">
        <f t="shared" si="82"/>
        <v>(1500)</v>
      </c>
      <c r="AW30" s="19">
        <f t="shared" si="117"/>
        <v>16</v>
      </c>
      <c r="AX30" s="373">
        <f t="shared" si="83"/>
        <v>1.2296831935719008</v>
      </c>
      <c r="AY30" s="374" t="str">
        <f>"("&amp;FIXED(AX30*0.092903,2)&amp;")"</f>
        <v>(0.11)</v>
      </c>
      <c r="AZ30" s="375">
        <v>2</v>
      </c>
      <c r="BA30" s="375">
        <f t="shared" si="17"/>
        <v>2</v>
      </c>
      <c r="BB30" s="375">
        <v>0</v>
      </c>
      <c r="BC30" s="375">
        <f t="shared" si="18"/>
        <v>0</v>
      </c>
      <c r="BD30" s="375">
        <v>0</v>
      </c>
      <c r="BE30" s="375">
        <f t="shared" si="19"/>
        <v>0</v>
      </c>
      <c r="BF30" s="375">
        <f t="shared" si="85"/>
        <v>2</v>
      </c>
      <c r="BG30" s="376">
        <f t="shared" si="21"/>
        <v>10</v>
      </c>
      <c r="BH30" s="373">
        <f t="shared" si="86"/>
        <v>1.9674931097150414</v>
      </c>
      <c r="BI30" s="374" t="str">
        <f t="shared" si="87"/>
        <v>(0.18)</v>
      </c>
      <c r="BJ30" s="375">
        <v>2</v>
      </c>
      <c r="BK30" s="375">
        <f t="shared" si="23"/>
        <v>2</v>
      </c>
      <c r="BL30" s="375">
        <v>0</v>
      </c>
      <c r="BM30" s="375">
        <f t="shared" si="24"/>
        <v>0</v>
      </c>
      <c r="BN30" s="375">
        <v>0</v>
      </c>
      <c r="BO30" s="375">
        <f t="shared" si="25"/>
        <v>0</v>
      </c>
      <c r="BP30" s="375">
        <f t="shared" si="88"/>
        <v>2</v>
      </c>
      <c r="BQ30" s="376">
        <f t="shared" si="27"/>
        <v>16</v>
      </c>
      <c r="BR30" s="373">
        <f t="shared" si="89"/>
        <v>2.7053030258581821</v>
      </c>
      <c r="BS30" s="374" t="str">
        <f t="shared" si="90"/>
        <v>(0.25)</v>
      </c>
      <c r="BT30" s="375">
        <v>2</v>
      </c>
      <c r="BU30" s="375">
        <f t="shared" si="29"/>
        <v>2</v>
      </c>
      <c r="BV30" s="375">
        <v>0</v>
      </c>
      <c r="BW30" s="375">
        <f t="shared" si="30"/>
        <v>0</v>
      </c>
      <c r="BX30" s="375">
        <v>0</v>
      </c>
      <c r="BY30" s="375">
        <f t="shared" si="31"/>
        <v>0</v>
      </c>
      <c r="BZ30" s="375">
        <f t="shared" si="91"/>
        <v>2</v>
      </c>
      <c r="CA30" s="376">
        <f t="shared" si="33"/>
        <v>22</v>
      </c>
      <c r="CB30" s="373">
        <f t="shared" si="92"/>
        <v>3.4431129420013225</v>
      </c>
      <c r="CC30" s="374" t="str">
        <f t="shared" si="93"/>
        <v>(0.32)</v>
      </c>
      <c r="CD30" s="375">
        <v>2</v>
      </c>
      <c r="CE30" s="375">
        <f t="shared" si="35"/>
        <v>2</v>
      </c>
      <c r="CF30" s="375">
        <v>0</v>
      </c>
      <c r="CG30" s="375">
        <f t="shared" si="36"/>
        <v>0</v>
      </c>
      <c r="CH30" s="375">
        <v>0</v>
      </c>
      <c r="CI30" s="375">
        <f t="shared" si="37"/>
        <v>0</v>
      </c>
      <c r="CJ30" s="375">
        <f t="shared" si="94"/>
        <v>2</v>
      </c>
      <c r="CK30" s="376">
        <f t="shared" si="39"/>
        <v>28</v>
      </c>
      <c r="CL30" s="373">
        <f t="shared" si="95"/>
        <v>4.1809228581444629</v>
      </c>
      <c r="CM30" s="374" t="str">
        <f t="shared" si="96"/>
        <v>(0.39)</v>
      </c>
      <c r="CN30" s="375">
        <v>2</v>
      </c>
      <c r="CO30" s="375">
        <f t="shared" si="41"/>
        <v>2</v>
      </c>
      <c r="CP30" s="375">
        <v>0</v>
      </c>
      <c r="CQ30" s="375">
        <f t="shared" si="42"/>
        <v>0</v>
      </c>
      <c r="CR30" s="375">
        <v>0</v>
      </c>
      <c r="CS30" s="375">
        <f t="shared" si="43"/>
        <v>0</v>
      </c>
      <c r="CT30" s="375">
        <f t="shared" si="97"/>
        <v>2</v>
      </c>
      <c r="CU30" s="376">
        <f t="shared" si="45"/>
        <v>34</v>
      </c>
      <c r="CV30" s="373">
        <f t="shared" si="98"/>
        <v>4.9187327742876032</v>
      </c>
      <c r="CW30" s="374" t="str">
        <f t="shared" si="99"/>
        <v>(0.46)</v>
      </c>
      <c r="CX30" s="375">
        <v>2</v>
      </c>
      <c r="CY30" s="375">
        <f t="shared" si="47"/>
        <v>2</v>
      </c>
      <c r="CZ30" s="375">
        <v>0</v>
      </c>
      <c r="DA30" s="375">
        <f t="shared" si="48"/>
        <v>0</v>
      </c>
      <c r="DB30" s="375">
        <v>0</v>
      </c>
      <c r="DC30" s="375">
        <f t="shared" si="49"/>
        <v>0</v>
      </c>
      <c r="DD30" s="375">
        <f t="shared" si="100"/>
        <v>2</v>
      </c>
      <c r="DE30" s="376">
        <f t="shared" si="51"/>
        <v>40</v>
      </c>
      <c r="DF30" s="373">
        <f t="shared" si="101"/>
        <v>5.6565426904307436</v>
      </c>
      <c r="DG30" s="374" t="str">
        <f t="shared" si="102"/>
        <v>(0.53)</v>
      </c>
      <c r="DH30" s="375">
        <v>2</v>
      </c>
      <c r="DI30" s="375">
        <f t="shared" si="53"/>
        <v>2</v>
      </c>
      <c r="DJ30" s="375">
        <v>0</v>
      </c>
      <c r="DK30" s="375">
        <f t="shared" si="54"/>
        <v>0</v>
      </c>
      <c r="DL30" s="375">
        <v>0</v>
      </c>
      <c r="DM30" s="375">
        <f t="shared" si="55"/>
        <v>0</v>
      </c>
      <c r="DN30" s="375">
        <f t="shared" si="103"/>
        <v>2</v>
      </c>
      <c r="DO30" s="376">
        <f t="shared" si="57"/>
        <v>46</v>
      </c>
      <c r="DP30" s="373">
        <f t="shared" si="104"/>
        <v>6.3943526065738849</v>
      </c>
      <c r="DQ30" s="374" t="str">
        <f>"("&amp;FIXED(DP30*0.092903,2)&amp;")"</f>
        <v>(0.59)</v>
      </c>
      <c r="DR30" s="375">
        <v>2</v>
      </c>
      <c r="DS30" s="375">
        <f t="shared" si="59"/>
        <v>2</v>
      </c>
      <c r="DT30" s="375">
        <v>0</v>
      </c>
      <c r="DU30" s="375">
        <f t="shared" si="60"/>
        <v>0</v>
      </c>
      <c r="DV30" s="375">
        <v>0</v>
      </c>
      <c r="DW30" s="375">
        <f t="shared" si="61"/>
        <v>0</v>
      </c>
      <c r="DX30" s="375">
        <f t="shared" si="106"/>
        <v>2</v>
      </c>
      <c r="DY30" s="376">
        <f t="shared" si="63"/>
        <v>52</v>
      </c>
      <c r="DZ30" s="373">
        <f t="shared" si="107"/>
        <v>7.1321625227170262</v>
      </c>
      <c r="EA30" s="374" t="str">
        <f>"("&amp;FIXED(DZ30*0.092903,2)&amp;")"</f>
        <v>(0.66)</v>
      </c>
      <c r="EB30" s="375">
        <v>2</v>
      </c>
      <c r="EC30" s="375">
        <f t="shared" si="65"/>
        <v>2</v>
      </c>
      <c r="ED30" s="375">
        <v>0</v>
      </c>
      <c r="EE30" s="375">
        <f t="shared" si="66"/>
        <v>0</v>
      </c>
      <c r="EF30" s="375">
        <v>0</v>
      </c>
      <c r="EG30" s="375">
        <f t="shared" si="67"/>
        <v>0</v>
      </c>
      <c r="EH30" s="375">
        <f t="shared" si="109"/>
        <v>2</v>
      </c>
      <c r="EI30" s="376">
        <f t="shared" si="69"/>
        <v>58</v>
      </c>
      <c r="EJ30" s="373">
        <f t="shared" si="110"/>
        <v>7.8699724388601657</v>
      </c>
      <c r="EK30" s="374" t="str">
        <f>"("&amp;FIXED(EJ30*0.092903,2)&amp;")"</f>
        <v>(0.73)</v>
      </c>
      <c r="EL30" s="375">
        <v>2</v>
      </c>
      <c r="EM30" s="375">
        <f t="shared" si="71"/>
        <v>2</v>
      </c>
      <c r="EN30" s="375">
        <v>0</v>
      </c>
      <c r="EO30" s="375">
        <f t="shared" si="72"/>
        <v>0</v>
      </c>
      <c r="EP30" s="375">
        <v>0</v>
      </c>
      <c r="EQ30" s="375">
        <f t="shared" si="73"/>
        <v>0</v>
      </c>
      <c r="ER30" s="375">
        <f t="shared" si="112"/>
        <v>2</v>
      </c>
      <c r="ES30" s="376">
        <f t="shared" si="75"/>
        <v>64</v>
      </c>
      <c r="ET30" s="373">
        <f t="shared" si="113"/>
        <v>8.6077823550033052</v>
      </c>
      <c r="EU30" s="374" t="str">
        <f>"("&amp;FIXED(ET30*0.092903,2)&amp;")"</f>
        <v>(0.80)</v>
      </c>
      <c r="EV30" s="22">
        <v>2</v>
      </c>
      <c r="EW30" s="22">
        <f t="shared" si="77"/>
        <v>2</v>
      </c>
      <c r="EX30" s="22">
        <v>0</v>
      </c>
      <c r="EY30" s="22">
        <f t="shared" si="78"/>
        <v>0</v>
      </c>
      <c r="EZ30" s="30">
        <v>0</v>
      </c>
      <c r="FA30" s="22">
        <f t="shared" si="79"/>
        <v>0</v>
      </c>
      <c r="FB30" s="22">
        <f t="shared" si="115"/>
        <v>2</v>
      </c>
      <c r="FC30" s="23">
        <f t="shared" si="81"/>
        <v>70</v>
      </c>
      <c r="FD30" s="202"/>
      <c r="FE30" s="203"/>
      <c r="FF30" s="204"/>
      <c r="FG30" s="204"/>
      <c r="FH30" s="204"/>
      <c r="FI30" s="204"/>
      <c r="FJ30" s="204"/>
      <c r="FK30" s="204"/>
      <c r="FL30" s="204"/>
      <c r="FM30" s="205"/>
      <c r="FN30" s="202"/>
      <c r="FO30" s="203"/>
      <c r="FP30" s="204"/>
      <c r="FQ30" s="204"/>
      <c r="FR30" s="204"/>
      <c r="FS30" s="204"/>
      <c r="FT30" s="204"/>
      <c r="FU30" s="204"/>
      <c r="FV30" s="204"/>
      <c r="FW30" s="205"/>
      <c r="FX30" s="202"/>
      <c r="FY30" s="203"/>
      <c r="FZ30" s="204"/>
      <c r="GA30" s="204"/>
      <c r="GB30" s="204"/>
      <c r="GC30" s="204"/>
      <c r="GD30" s="204"/>
      <c r="GE30" s="204"/>
      <c r="GF30" s="204"/>
      <c r="GG30" s="205"/>
      <c r="GH30" s="202"/>
      <c r="GI30" s="203"/>
      <c r="GJ30" s="204"/>
      <c r="GK30" s="204"/>
      <c r="GL30" s="204"/>
      <c r="GM30" s="204"/>
      <c r="GN30" s="204"/>
      <c r="GO30" s="204"/>
      <c r="GP30" s="204"/>
      <c r="GQ30" s="205"/>
      <c r="GR30" s="202"/>
      <c r="GS30" s="203"/>
      <c r="GT30" s="204"/>
      <c r="GU30" s="204"/>
      <c r="GV30" s="204"/>
      <c r="GW30" s="204"/>
      <c r="GX30" s="204"/>
      <c r="GY30" s="204"/>
      <c r="GZ30" s="204"/>
      <c r="HA30" s="205"/>
      <c r="HB30" s="202"/>
      <c r="HC30" s="203"/>
      <c r="HD30" s="204"/>
      <c r="HE30" s="204"/>
      <c r="HF30" s="204"/>
      <c r="HG30" s="204"/>
      <c r="HH30" s="204"/>
      <c r="HI30" s="204"/>
      <c r="HJ30" s="204"/>
      <c r="HK30" s="205"/>
      <c r="HL30" s="202"/>
      <c r="HM30" s="203"/>
      <c r="HN30" s="204"/>
      <c r="HO30" s="204"/>
      <c r="HP30" s="204"/>
      <c r="HQ30" s="204"/>
      <c r="HR30" s="204"/>
      <c r="HS30" s="204"/>
      <c r="HT30" s="204"/>
      <c r="HU30" s="205"/>
      <c r="HV30" s="202"/>
      <c r="HW30" s="203"/>
      <c r="HX30" s="204"/>
      <c r="HY30" s="204"/>
      <c r="HZ30" s="204"/>
      <c r="IA30" s="204"/>
      <c r="IB30" s="204"/>
      <c r="IC30" s="204"/>
      <c r="ID30" s="204"/>
      <c r="IE30" s="205"/>
      <c r="IF30" s="262"/>
      <c r="IG30" s="25">
        <v>8</v>
      </c>
      <c r="IH30" s="26">
        <v>2.0099999999999998</v>
      </c>
      <c r="II30" s="26">
        <v>2.0099999999999998</v>
      </c>
      <c r="IJ30" s="26">
        <v>1.6274379874353748</v>
      </c>
      <c r="IK30" s="26">
        <v>1</v>
      </c>
      <c r="IL30" s="26">
        <v>1</v>
      </c>
      <c r="IM30" s="26">
        <v>1.125</v>
      </c>
      <c r="IN30" s="8"/>
    </row>
    <row r="31" spans="2:248" ht="15.75" thickBot="1" x14ac:dyDescent="0.3">
      <c r="B31" s="103">
        <f t="shared" si="12"/>
        <v>84</v>
      </c>
      <c r="C31" s="102">
        <v>14</v>
      </c>
      <c r="D31" s="98">
        <f t="shared" si="1"/>
        <v>0.2554309324150334</v>
      </c>
      <c r="E31" s="96">
        <f t="shared" si="2"/>
        <v>0.27245966124270238</v>
      </c>
      <c r="F31" s="96">
        <f t="shared" si="3"/>
        <v>0.28097402565653679</v>
      </c>
      <c r="G31" s="96">
        <f t="shared" si="4"/>
        <v>0.28608264430483749</v>
      </c>
      <c r="H31" s="96">
        <f t="shared" si="5"/>
        <v>0.28948839007037125</v>
      </c>
      <c r="I31" s="96">
        <f t="shared" si="6"/>
        <v>0.29192106561718106</v>
      </c>
      <c r="J31" s="96">
        <f t="shared" si="7"/>
        <v>0.29374557227728848</v>
      </c>
      <c r="K31" s="96">
        <f t="shared" si="8"/>
        <v>0.29516463301292756</v>
      </c>
      <c r="L31" s="96">
        <f t="shared" si="9"/>
        <v>0.29629988160143883</v>
      </c>
      <c r="M31" s="96">
        <f t="shared" si="10"/>
        <v>0.2972287213556753</v>
      </c>
      <c r="N31" s="96">
        <f t="shared" si="11"/>
        <v>0.29800275448420566</v>
      </c>
      <c r="O31" s="259"/>
      <c r="P31" s="260"/>
      <c r="Q31" s="260"/>
      <c r="R31" s="260"/>
      <c r="S31" s="260"/>
      <c r="T31" s="260"/>
      <c r="U31" s="260"/>
      <c r="V31" s="260"/>
      <c r="W31" s="64"/>
      <c r="X31" s="65"/>
      <c r="AT31" s="4"/>
      <c r="AU31" s="14">
        <f t="shared" si="116"/>
        <v>66</v>
      </c>
      <c r="AV31" s="12" t="str">
        <f t="shared" si="82"/>
        <v>(1700)</v>
      </c>
      <c r="AW31" s="19">
        <f t="shared" si="117"/>
        <v>17</v>
      </c>
      <c r="AX31" s="373">
        <f t="shared" si="83"/>
        <v>1.3692665269052342</v>
      </c>
      <c r="AY31" s="374" t="str">
        <f t="shared" si="84"/>
        <v>(0.13)</v>
      </c>
      <c r="AZ31" s="375">
        <v>2</v>
      </c>
      <c r="BA31" s="375">
        <f t="shared" si="17"/>
        <v>2</v>
      </c>
      <c r="BB31" s="375">
        <v>0</v>
      </c>
      <c r="BC31" s="375">
        <f t="shared" si="18"/>
        <v>0</v>
      </c>
      <c r="BD31" s="375">
        <v>0</v>
      </c>
      <c r="BE31" s="375">
        <f t="shared" si="19"/>
        <v>0</v>
      </c>
      <c r="BF31" s="375">
        <f t="shared" si="85"/>
        <v>2</v>
      </c>
      <c r="BG31" s="376">
        <f t="shared" si="21"/>
        <v>10</v>
      </c>
      <c r="BH31" s="373">
        <f t="shared" si="86"/>
        <v>2.1908264430483744</v>
      </c>
      <c r="BI31" s="374" t="str">
        <f t="shared" si="87"/>
        <v>(0.2)</v>
      </c>
      <c r="BJ31" s="375">
        <v>2</v>
      </c>
      <c r="BK31" s="375">
        <f t="shared" si="23"/>
        <v>2</v>
      </c>
      <c r="BL31" s="375">
        <v>0</v>
      </c>
      <c r="BM31" s="375">
        <f t="shared" si="24"/>
        <v>0</v>
      </c>
      <c r="BN31" s="375">
        <v>0</v>
      </c>
      <c r="BO31" s="375">
        <f t="shared" si="25"/>
        <v>0</v>
      </c>
      <c r="BP31" s="375">
        <f t="shared" si="88"/>
        <v>2</v>
      </c>
      <c r="BQ31" s="376">
        <f t="shared" si="27"/>
        <v>16</v>
      </c>
      <c r="BR31" s="373">
        <f t="shared" si="89"/>
        <v>3.012386359191515</v>
      </c>
      <c r="BS31" s="374" t="str">
        <f t="shared" si="90"/>
        <v>(0.28)</v>
      </c>
      <c r="BT31" s="375">
        <v>2</v>
      </c>
      <c r="BU31" s="375">
        <f t="shared" si="29"/>
        <v>2</v>
      </c>
      <c r="BV31" s="375">
        <v>0</v>
      </c>
      <c r="BW31" s="375">
        <f t="shared" si="30"/>
        <v>0</v>
      </c>
      <c r="BX31" s="375">
        <v>0</v>
      </c>
      <c r="BY31" s="375">
        <f t="shared" si="31"/>
        <v>0</v>
      </c>
      <c r="BZ31" s="375">
        <f t="shared" si="91"/>
        <v>2</v>
      </c>
      <c r="CA31" s="376">
        <f t="shared" si="33"/>
        <v>22</v>
      </c>
      <c r="CB31" s="373">
        <f t="shared" si="92"/>
        <v>3.8339462753346556</v>
      </c>
      <c r="CC31" s="374" t="str">
        <f t="shared" si="93"/>
        <v>(0.36)</v>
      </c>
      <c r="CD31" s="375">
        <v>2</v>
      </c>
      <c r="CE31" s="375">
        <f t="shared" si="35"/>
        <v>2</v>
      </c>
      <c r="CF31" s="375">
        <v>0</v>
      </c>
      <c r="CG31" s="375">
        <f t="shared" si="36"/>
        <v>0</v>
      </c>
      <c r="CH31" s="375">
        <v>0</v>
      </c>
      <c r="CI31" s="375">
        <f t="shared" si="37"/>
        <v>0</v>
      </c>
      <c r="CJ31" s="375">
        <f t="shared" si="94"/>
        <v>2</v>
      </c>
      <c r="CK31" s="376">
        <f t="shared" si="39"/>
        <v>28</v>
      </c>
      <c r="CL31" s="373">
        <f t="shared" si="95"/>
        <v>4.6555061914777953</v>
      </c>
      <c r="CM31" s="374" t="str">
        <f t="shared" si="96"/>
        <v>(0.43)</v>
      </c>
      <c r="CN31" s="375">
        <v>2</v>
      </c>
      <c r="CO31" s="375">
        <f t="shared" si="41"/>
        <v>2</v>
      </c>
      <c r="CP31" s="375">
        <v>0</v>
      </c>
      <c r="CQ31" s="375">
        <f t="shared" si="42"/>
        <v>0</v>
      </c>
      <c r="CR31" s="375">
        <v>0</v>
      </c>
      <c r="CS31" s="375">
        <f t="shared" si="43"/>
        <v>0</v>
      </c>
      <c r="CT31" s="375">
        <f t="shared" si="97"/>
        <v>2</v>
      </c>
      <c r="CU31" s="376">
        <f t="shared" si="45"/>
        <v>34</v>
      </c>
      <c r="CV31" s="373">
        <f t="shared" si="98"/>
        <v>5.4770661076209368</v>
      </c>
      <c r="CW31" s="374" t="str">
        <f t="shared" si="99"/>
        <v>(0.51)</v>
      </c>
      <c r="CX31" s="375">
        <v>2</v>
      </c>
      <c r="CY31" s="375">
        <f t="shared" si="47"/>
        <v>2</v>
      </c>
      <c r="CZ31" s="375">
        <v>0</v>
      </c>
      <c r="DA31" s="375">
        <f t="shared" si="48"/>
        <v>0</v>
      </c>
      <c r="DB31" s="375">
        <v>0</v>
      </c>
      <c r="DC31" s="375">
        <f t="shared" si="49"/>
        <v>0</v>
      </c>
      <c r="DD31" s="375">
        <f t="shared" si="100"/>
        <v>2</v>
      </c>
      <c r="DE31" s="376">
        <f t="shared" si="51"/>
        <v>40</v>
      </c>
      <c r="DF31" s="373">
        <f t="shared" si="101"/>
        <v>6.2986260237640765</v>
      </c>
      <c r="DG31" s="374" t="str">
        <f t="shared" si="102"/>
        <v>(0.59)</v>
      </c>
      <c r="DH31" s="375">
        <v>2</v>
      </c>
      <c r="DI31" s="375">
        <f t="shared" si="53"/>
        <v>2</v>
      </c>
      <c r="DJ31" s="375">
        <v>0</v>
      </c>
      <c r="DK31" s="375">
        <f t="shared" si="54"/>
        <v>0</v>
      </c>
      <c r="DL31" s="375">
        <v>0</v>
      </c>
      <c r="DM31" s="375">
        <f t="shared" si="55"/>
        <v>0</v>
      </c>
      <c r="DN31" s="375">
        <f t="shared" si="103"/>
        <v>2</v>
      </c>
      <c r="DO31" s="376">
        <f t="shared" si="57"/>
        <v>46</v>
      </c>
      <c r="DP31" s="373">
        <f t="shared" si="104"/>
        <v>7.120185939907218</v>
      </c>
      <c r="DQ31" s="374" t="str">
        <f t="shared" si="105"/>
        <v>(0.66)</v>
      </c>
      <c r="DR31" s="375">
        <v>2</v>
      </c>
      <c r="DS31" s="375">
        <f t="shared" si="59"/>
        <v>2</v>
      </c>
      <c r="DT31" s="375">
        <v>0</v>
      </c>
      <c r="DU31" s="375">
        <f t="shared" si="60"/>
        <v>0</v>
      </c>
      <c r="DV31" s="375">
        <v>0</v>
      </c>
      <c r="DW31" s="375">
        <f t="shared" si="61"/>
        <v>0</v>
      </c>
      <c r="DX31" s="375">
        <f t="shared" si="106"/>
        <v>2</v>
      </c>
      <c r="DY31" s="376">
        <f t="shared" si="63"/>
        <v>52</v>
      </c>
      <c r="DZ31" s="373">
        <f t="shared" si="107"/>
        <v>7.9417458560503569</v>
      </c>
      <c r="EA31" s="374" t="str">
        <f t="shared" ref="EA31:EA36" si="118">"("&amp;FIXED(DZ31*0.092903,2)&amp;")"</f>
        <v>(0.74)</v>
      </c>
      <c r="EB31" s="375">
        <v>2</v>
      </c>
      <c r="EC31" s="375">
        <f t="shared" si="65"/>
        <v>2</v>
      </c>
      <c r="ED31" s="375">
        <v>0</v>
      </c>
      <c r="EE31" s="375">
        <f t="shared" si="66"/>
        <v>0</v>
      </c>
      <c r="EF31" s="375">
        <v>0</v>
      </c>
      <c r="EG31" s="375">
        <f t="shared" si="67"/>
        <v>0</v>
      </c>
      <c r="EH31" s="375">
        <f t="shared" si="109"/>
        <v>2</v>
      </c>
      <c r="EI31" s="376">
        <f t="shared" si="69"/>
        <v>58</v>
      </c>
      <c r="EJ31" s="373">
        <f t="shared" si="110"/>
        <v>8.7633057721934975</v>
      </c>
      <c r="EK31" s="374" t="str">
        <f t="shared" ref="EK31:EK36" si="119">"("&amp;FIXED(EJ31*0.092903,2)&amp;")"</f>
        <v>(0.81)</v>
      </c>
      <c r="EL31" s="375">
        <v>2</v>
      </c>
      <c r="EM31" s="375">
        <f t="shared" si="71"/>
        <v>2</v>
      </c>
      <c r="EN31" s="375">
        <v>0</v>
      </c>
      <c r="EO31" s="375">
        <f t="shared" si="72"/>
        <v>0</v>
      </c>
      <c r="EP31" s="375">
        <v>0</v>
      </c>
      <c r="EQ31" s="375">
        <f t="shared" si="73"/>
        <v>0</v>
      </c>
      <c r="ER31" s="375">
        <f t="shared" si="112"/>
        <v>2</v>
      </c>
      <c r="ES31" s="376">
        <f t="shared" si="75"/>
        <v>64</v>
      </c>
      <c r="ET31" s="373">
        <f t="shared" si="113"/>
        <v>9.5848656883366399</v>
      </c>
      <c r="EU31" s="374" t="str">
        <f t="shared" si="114"/>
        <v>(0.89)</v>
      </c>
      <c r="EV31" s="22">
        <v>2</v>
      </c>
      <c r="EW31" s="22">
        <f t="shared" si="77"/>
        <v>2</v>
      </c>
      <c r="EX31" s="22">
        <v>0</v>
      </c>
      <c r="EY31" s="22">
        <f t="shared" si="78"/>
        <v>0</v>
      </c>
      <c r="EZ31" s="22">
        <v>0</v>
      </c>
      <c r="FA31" s="22">
        <f t="shared" si="79"/>
        <v>0</v>
      </c>
      <c r="FB31" s="22">
        <f t="shared" si="115"/>
        <v>2</v>
      </c>
      <c r="FC31" s="23">
        <f t="shared" si="81"/>
        <v>70</v>
      </c>
      <c r="FD31" s="202"/>
      <c r="FE31" s="203"/>
      <c r="FF31" s="204"/>
      <c r="FG31" s="204"/>
      <c r="FH31" s="204"/>
      <c r="FI31" s="204"/>
      <c r="FJ31" s="204"/>
      <c r="FK31" s="204"/>
      <c r="FL31" s="204"/>
      <c r="FM31" s="205"/>
      <c r="FN31" s="202"/>
      <c r="FO31" s="203"/>
      <c r="FP31" s="204"/>
      <c r="FQ31" s="204"/>
      <c r="FR31" s="204"/>
      <c r="FS31" s="204"/>
      <c r="FT31" s="204"/>
      <c r="FU31" s="204"/>
      <c r="FV31" s="204"/>
      <c r="FW31" s="205"/>
      <c r="FX31" s="202"/>
      <c r="FY31" s="203"/>
      <c r="FZ31" s="204"/>
      <c r="GA31" s="204"/>
      <c r="GB31" s="204"/>
      <c r="GC31" s="204"/>
      <c r="GD31" s="204"/>
      <c r="GE31" s="204"/>
      <c r="GF31" s="204"/>
      <c r="GG31" s="205"/>
      <c r="GH31" s="202"/>
      <c r="GI31" s="203"/>
      <c r="GJ31" s="204"/>
      <c r="GK31" s="204"/>
      <c r="GL31" s="204"/>
      <c r="GM31" s="204"/>
      <c r="GN31" s="204"/>
      <c r="GO31" s="204"/>
      <c r="GP31" s="204"/>
      <c r="GQ31" s="205"/>
      <c r="GR31" s="202"/>
      <c r="GS31" s="203"/>
      <c r="GT31" s="204"/>
      <c r="GU31" s="204"/>
      <c r="GV31" s="204"/>
      <c r="GW31" s="204"/>
      <c r="GX31" s="204"/>
      <c r="GY31" s="204"/>
      <c r="GZ31" s="204"/>
      <c r="HA31" s="205"/>
      <c r="HB31" s="202"/>
      <c r="HC31" s="203"/>
      <c r="HD31" s="204"/>
      <c r="HE31" s="204"/>
      <c r="HF31" s="204"/>
      <c r="HG31" s="204"/>
      <c r="HH31" s="204"/>
      <c r="HI31" s="204"/>
      <c r="HJ31" s="204"/>
      <c r="HK31" s="205"/>
      <c r="HL31" s="202"/>
      <c r="HM31" s="203"/>
      <c r="HN31" s="204"/>
      <c r="HO31" s="204"/>
      <c r="HP31" s="204"/>
      <c r="HQ31" s="204"/>
      <c r="HR31" s="204"/>
      <c r="HS31" s="204"/>
      <c r="HT31" s="204"/>
      <c r="HU31" s="205"/>
      <c r="HV31" s="202"/>
      <c r="HW31" s="203"/>
      <c r="HX31" s="204"/>
      <c r="HY31" s="204"/>
      <c r="HZ31" s="204"/>
      <c r="IA31" s="204"/>
      <c r="IB31" s="204"/>
      <c r="IC31" s="204"/>
      <c r="ID31" s="204"/>
      <c r="IE31" s="205"/>
      <c r="IF31" s="262"/>
      <c r="IG31" s="25">
        <v>9</v>
      </c>
      <c r="IH31" s="26">
        <v>2.0099999999999998</v>
      </c>
      <c r="II31" s="26">
        <v>2.0099999999999998</v>
      </c>
      <c r="IJ31" s="26">
        <v>1.6274379874353748</v>
      </c>
      <c r="IK31" s="26">
        <v>1</v>
      </c>
      <c r="IL31" s="26">
        <v>1</v>
      </c>
      <c r="IM31" s="26">
        <v>1.125</v>
      </c>
      <c r="IN31" s="8"/>
    </row>
    <row r="32" spans="2:248" ht="15.75" thickBot="1" x14ac:dyDescent="0.3">
      <c r="B32" s="103">
        <f t="shared" si="12"/>
        <v>90</v>
      </c>
      <c r="C32" s="102">
        <v>15</v>
      </c>
      <c r="D32" s="98">
        <f t="shared" si="1"/>
        <v>0.25701331469847566</v>
      </c>
      <c r="E32" s="96">
        <f t="shared" si="2"/>
        <v>0.27414753567837402</v>
      </c>
      <c r="F32" s="96">
        <f t="shared" si="3"/>
        <v>0.28271464616832326</v>
      </c>
      <c r="G32" s="96">
        <f t="shared" si="4"/>
        <v>0.28785491246229272</v>
      </c>
      <c r="H32" s="96">
        <f t="shared" si="5"/>
        <v>0.29128175665827238</v>
      </c>
      <c r="I32" s="96">
        <f t="shared" si="6"/>
        <v>0.29372950251254365</v>
      </c>
      <c r="J32" s="96">
        <f t="shared" si="7"/>
        <v>0.29556531190324697</v>
      </c>
      <c r="K32" s="96">
        <f t="shared" si="8"/>
        <v>0.29699316365157186</v>
      </c>
      <c r="L32" s="96">
        <f t="shared" si="9"/>
        <v>0.29813544505023176</v>
      </c>
      <c r="M32" s="96">
        <f t="shared" si="10"/>
        <v>0.29907003892186257</v>
      </c>
      <c r="N32" s="96">
        <f t="shared" si="11"/>
        <v>0.29984886714822162</v>
      </c>
      <c r="O32" s="259"/>
      <c r="P32" s="260"/>
      <c r="Q32" s="260"/>
      <c r="R32" s="260"/>
      <c r="S32" s="260"/>
      <c r="T32" s="260"/>
      <c r="U32" s="260"/>
      <c r="V32" s="260"/>
      <c r="W32" s="64"/>
      <c r="X32" s="65"/>
      <c r="AT32" s="4"/>
      <c r="AU32" s="14">
        <f t="shared" si="116"/>
        <v>72</v>
      </c>
      <c r="AV32" s="12" t="str">
        <f t="shared" si="82"/>
        <v>(1850)</v>
      </c>
      <c r="AW32" s="19">
        <f t="shared" si="117"/>
        <v>18</v>
      </c>
      <c r="AX32" s="373">
        <f t="shared" si="83"/>
        <v>1.5088498602385672</v>
      </c>
      <c r="AY32" s="374" t="str">
        <f t="shared" si="84"/>
        <v>(0.14)</v>
      </c>
      <c r="AZ32" s="375">
        <v>2</v>
      </c>
      <c r="BA32" s="375">
        <f t="shared" si="17"/>
        <v>2</v>
      </c>
      <c r="BB32" s="375">
        <v>0</v>
      </c>
      <c r="BC32" s="375">
        <f t="shared" si="18"/>
        <v>0</v>
      </c>
      <c r="BD32" s="375">
        <v>0</v>
      </c>
      <c r="BE32" s="375">
        <f t="shared" si="19"/>
        <v>0</v>
      </c>
      <c r="BF32" s="375">
        <f t="shared" si="85"/>
        <v>2</v>
      </c>
      <c r="BG32" s="376">
        <f t="shared" si="21"/>
        <v>10</v>
      </c>
      <c r="BH32" s="373">
        <f t="shared" si="86"/>
        <v>2.4141597763817075</v>
      </c>
      <c r="BI32" s="374" t="str">
        <f t="shared" si="87"/>
        <v>(0.22)</v>
      </c>
      <c r="BJ32" s="375">
        <v>2</v>
      </c>
      <c r="BK32" s="375">
        <f t="shared" si="23"/>
        <v>2</v>
      </c>
      <c r="BL32" s="375">
        <v>0</v>
      </c>
      <c r="BM32" s="375">
        <f t="shared" si="24"/>
        <v>0</v>
      </c>
      <c r="BN32" s="375">
        <v>0</v>
      </c>
      <c r="BO32" s="375">
        <f t="shared" si="25"/>
        <v>0</v>
      </c>
      <c r="BP32" s="375">
        <f t="shared" si="88"/>
        <v>2</v>
      </c>
      <c r="BQ32" s="376">
        <f t="shared" si="27"/>
        <v>16</v>
      </c>
      <c r="BR32" s="373">
        <f t="shared" si="89"/>
        <v>3.3194696925248479</v>
      </c>
      <c r="BS32" s="374" t="str">
        <f t="shared" si="90"/>
        <v>(0.31)</v>
      </c>
      <c r="BT32" s="375">
        <v>2</v>
      </c>
      <c r="BU32" s="375">
        <f t="shared" si="29"/>
        <v>2</v>
      </c>
      <c r="BV32" s="375">
        <v>0</v>
      </c>
      <c r="BW32" s="375">
        <f t="shared" si="30"/>
        <v>0</v>
      </c>
      <c r="BX32" s="375">
        <v>0</v>
      </c>
      <c r="BY32" s="375">
        <f t="shared" si="31"/>
        <v>0</v>
      </c>
      <c r="BZ32" s="375">
        <f t="shared" si="91"/>
        <v>2</v>
      </c>
      <c r="CA32" s="376">
        <f t="shared" si="33"/>
        <v>22</v>
      </c>
      <c r="CB32" s="373">
        <f t="shared" si="92"/>
        <v>4.2247796086679887</v>
      </c>
      <c r="CC32" s="374" t="str">
        <f t="shared" si="93"/>
        <v>(0.39)</v>
      </c>
      <c r="CD32" s="375">
        <v>2</v>
      </c>
      <c r="CE32" s="375">
        <f t="shared" si="35"/>
        <v>2</v>
      </c>
      <c r="CF32" s="375">
        <v>0</v>
      </c>
      <c r="CG32" s="375">
        <f t="shared" si="36"/>
        <v>0</v>
      </c>
      <c r="CH32" s="375">
        <v>0</v>
      </c>
      <c r="CI32" s="375">
        <f t="shared" si="37"/>
        <v>0</v>
      </c>
      <c r="CJ32" s="375">
        <f t="shared" si="94"/>
        <v>2</v>
      </c>
      <c r="CK32" s="376">
        <f t="shared" si="39"/>
        <v>28</v>
      </c>
      <c r="CL32" s="373">
        <f t="shared" si="95"/>
        <v>5.1300895248111296</v>
      </c>
      <c r="CM32" s="374" t="str">
        <f t="shared" si="96"/>
        <v>(0.48)</v>
      </c>
      <c r="CN32" s="375">
        <v>2</v>
      </c>
      <c r="CO32" s="375">
        <f t="shared" si="41"/>
        <v>2</v>
      </c>
      <c r="CP32" s="375">
        <v>0</v>
      </c>
      <c r="CQ32" s="375">
        <f t="shared" si="42"/>
        <v>0</v>
      </c>
      <c r="CR32" s="375">
        <v>0</v>
      </c>
      <c r="CS32" s="375">
        <f t="shared" si="43"/>
        <v>0</v>
      </c>
      <c r="CT32" s="375">
        <f t="shared" si="97"/>
        <v>2</v>
      </c>
      <c r="CU32" s="376">
        <f t="shared" si="45"/>
        <v>34</v>
      </c>
      <c r="CV32" s="373">
        <f t="shared" si="98"/>
        <v>6.0353994409542686</v>
      </c>
      <c r="CW32" s="374" t="str">
        <f t="shared" si="99"/>
        <v>(0.56)</v>
      </c>
      <c r="CX32" s="375">
        <v>2</v>
      </c>
      <c r="CY32" s="375">
        <f t="shared" si="47"/>
        <v>2</v>
      </c>
      <c r="CZ32" s="375">
        <v>0</v>
      </c>
      <c r="DA32" s="375">
        <f t="shared" si="48"/>
        <v>0</v>
      </c>
      <c r="DB32" s="375">
        <v>0</v>
      </c>
      <c r="DC32" s="375">
        <f t="shared" si="49"/>
        <v>0</v>
      </c>
      <c r="DD32" s="375">
        <f t="shared" si="100"/>
        <v>2</v>
      </c>
      <c r="DE32" s="376">
        <f t="shared" si="51"/>
        <v>40</v>
      </c>
      <c r="DF32" s="373">
        <f t="shared" si="101"/>
        <v>6.9407093570974094</v>
      </c>
      <c r="DG32" s="374" t="str">
        <f t="shared" si="102"/>
        <v>(0.64)</v>
      </c>
      <c r="DH32" s="375">
        <v>2</v>
      </c>
      <c r="DI32" s="375">
        <f t="shared" si="53"/>
        <v>2</v>
      </c>
      <c r="DJ32" s="375">
        <v>0</v>
      </c>
      <c r="DK32" s="375">
        <f t="shared" si="54"/>
        <v>0</v>
      </c>
      <c r="DL32" s="375">
        <v>0</v>
      </c>
      <c r="DM32" s="375">
        <f t="shared" si="55"/>
        <v>0</v>
      </c>
      <c r="DN32" s="375">
        <f t="shared" si="103"/>
        <v>2</v>
      </c>
      <c r="DO32" s="376">
        <f t="shared" si="57"/>
        <v>46</v>
      </c>
      <c r="DP32" s="373">
        <f t="shared" si="104"/>
        <v>7.8460192732405494</v>
      </c>
      <c r="DQ32" s="374" t="str">
        <f t="shared" si="105"/>
        <v>(0.73)</v>
      </c>
      <c r="DR32" s="375">
        <v>2</v>
      </c>
      <c r="DS32" s="375">
        <f t="shared" si="59"/>
        <v>2</v>
      </c>
      <c r="DT32" s="375">
        <v>0</v>
      </c>
      <c r="DU32" s="375">
        <f t="shared" si="60"/>
        <v>0</v>
      </c>
      <c r="DV32" s="375">
        <v>0</v>
      </c>
      <c r="DW32" s="375">
        <f t="shared" si="61"/>
        <v>0</v>
      </c>
      <c r="DX32" s="375">
        <f t="shared" si="106"/>
        <v>2</v>
      </c>
      <c r="DY32" s="376">
        <f t="shared" si="63"/>
        <v>52</v>
      </c>
      <c r="DZ32" s="373">
        <f t="shared" si="107"/>
        <v>8.7513291893836893</v>
      </c>
      <c r="EA32" s="374" t="str">
        <f t="shared" si="118"/>
        <v>(0.81)</v>
      </c>
      <c r="EB32" s="375">
        <v>2</v>
      </c>
      <c r="EC32" s="375">
        <f t="shared" si="65"/>
        <v>2</v>
      </c>
      <c r="ED32" s="375">
        <v>0</v>
      </c>
      <c r="EE32" s="375">
        <f t="shared" si="66"/>
        <v>0</v>
      </c>
      <c r="EF32" s="375">
        <v>0</v>
      </c>
      <c r="EG32" s="375">
        <f t="shared" si="67"/>
        <v>0</v>
      </c>
      <c r="EH32" s="375">
        <f t="shared" si="109"/>
        <v>2</v>
      </c>
      <c r="EI32" s="376">
        <f t="shared" si="69"/>
        <v>58</v>
      </c>
      <c r="EJ32" s="373">
        <f t="shared" si="110"/>
        <v>9.6566391055268301</v>
      </c>
      <c r="EK32" s="374" t="str">
        <f t="shared" si="119"/>
        <v>(0.90)</v>
      </c>
      <c r="EL32" s="375">
        <v>2</v>
      </c>
      <c r="EM32" s="375">
        <f t="shared" si="71"/>
        <v>2</v>
      </c>
      <c r="EN32" s="375">
        <v>0</v>
      </c>
      <c r="EO32" s="375">
        <f t="shared" si="72"/>
        <v>0</v>
      </c>
      <c r="EP32" s="375">
        <v>0</v>
      </c>
      <c r="EQ32" s="375">
        <f t="shared" si="73"/>
        <v>0</v>
      </c>
      <c r="ER32" s="375">
        <f t="shared" si="112"/>
        <v>2</v>
      </c>
      <c r="ES32" s="376">
        <f t="shared" si="75"/>
        <v>64</v>
      </c>
      <c r="ET32" s="373">
        <f t="shared" si="113"/>
        <v>10.561949021669971</v>
      </c>
      <c r="EU32" s="374" t="str">
        <f t="shared" si="114"/>
        <v>(0.98)</v>
      </c>
      <c r="EV32" s="22">
        <v>2</v>
      </c>
      <c r="EW32" s="22">
        <f t="shared" si="77"/>
        <v>2</v>
      </c>
      <c r="EX32" s="22">
        <v>0</v>
      </c>
      <c r="EY32" s="22">
        <f t="shared" si="78"/>
        <v>0</v>
      </c>
      <c r="EZ32" s="22">
        <v>0</v>
      </c>
      <c r="FA32" s="22">
        <f t="shared" si="79"/>
        <v>0</v>
      </c>
      <c r="FB32" s="22">
        <f t="shared" si="115"/>
        <v>2</v>
      </c>
      <c r="FC32" s="23">
        <f t="shared" si="81"/>
        <v>70</v>
      </c>
      <c r="FD32" s="202"/>
      <c r="FE32" s="203"/>
      <c r="FF32" s="204"/>
      <c r="FG32" s="204"/>
      <c r="FH32" s="204"/>
      <c r="FI32" s="204"/>
      <c r="FJ32" s="204"/>
      <c r="FK32" s="204"/>
      <c r="FL32" s="204"/>
      <c r="FM32" s="205"/>
      <c r="FN32" s="202"/>
      <c r="FO32" s="203"/>
      <c r="FP32" s="204"/>
      <c r="FQ32" s="204"/>
      <c r="FR32" s="204"/>
      <c r="FS32" s="204"/>
      <c r="FT32" s="204"/>
      <c r="FU32" s="204"/>
      <c r="FV32" s="204"/>
      <c r="FW32" s="205"/>
      <c r="FX32" s="202"/>
      <c r="FY32" s="203"/>
      <c r="FZ32" s="204"/>
      <c r="GA32" s="204"/>
      <c r="GB32" s="204"/>
      <c r="GC32" s="204"/>
      <c r="GD32" s="204"/>
      <c r="GE32" s="204"/>
      <c r="GF32" s="204"/>
      <c r="GG32" s="205"/>
      <c r="GH32" s="202"/>
      <c r="GI32" s="203"/>
      <c r="GJ32" s="204"/>
      <c r="GK32" s="204"/>
      <c r="GL32" s="204"/>
      <c r="GM32" s="204"/>
      <c r="GN32" s="204"/>
      <c r="GO32" s="204"/>
      <c r="GP32" s="204"/>
      <c r="GQ32" s="205"/>
      <c r="GR32" s="202"/>
      <c r="GS32" s="203"/>
      <c r="GT32" s="204"/>
      <c r="GU32" s="204"/>
      <c r="GV32" s="204"/>
      <c r="GW32" s="204"/>
      <c r="GX32" s="204"/>
      <c r="GY32" s="204"/>
      <c r="GZ32" s="204"/>
      <c r="HA32" s="205"/>
      <c r="HB32" s="202"/>
      <c r="HC32" s="203"/>
      <c r="HD32" s="204"/>
      <c r="HE32" s="204"/>
      <c r="HF32" s="204"/>
      <c r="HG32" s="204"/>
      <c r="HH32" s="204"/>
      <c r="HI32" s="204"/>
      <c r="HJ32" s="204"/>
      <c r="HK32" s="205"/>
      <c r="HL32" s="202"/>
      <c r="HM32" s="203"/>
      <c r="HN32" s="204"/>
      <c r="HO32" s="204"/>
      <c r="HP32" s="204"/>
      <c r="HQ32" s="204"/>
      <c r="HR32" s="204"/>
      <c r="HS32" s="204"/>
      <c r="HT32" s="204"/>
      <c r="HU32" s="205"/>
      <c r="HV32" s="202"/>
      <c r="HW32" s="203"/>
      <c r="HX32" s="204"/>
      <c r="HY32" s="204"/>
      <c r="HZ32" s="204"/>
      <c r="IA32" s="204"/>
      <c r="IB32" s="204"/>
      <c r="IC32" s="204"/>
      <c r="ID32" s="204"/>
      <c r="IE32" s="205"/>
      <c r="IF32" s="262"/>
      <c r="IG32" s="25">
        <v>10</v>
      </c>
      <c r="IH32" s="26">
        <v>2.0099999999999998</v>
      </c>
      <c r="II32" s="26">
        <v>2.0099999999999998</v>
      </c>
      <c r="IJ32" s="26">
        <v>1.6274379874353748</v>
      </c>
      <c r="IK32" s="26">
        <v>1</v>
      </c>
      <c r="IL32" s="26">
        <v>1</v>
      </c>
      <c r="IM32" s="26">
        <v>1.125</v>
      </c>
      <c r="IN32" s="8"/>
    </row>
    <row r="33" spans="1:248" ht="15.75" thickBot="1" x14ac:dyDescent="0.3">
      <c r="B33" s="103">
        <f t="shared" si="12"/>
        <v>96</v>
      </c>
      <c r="C33" s="102">
        <v>16</v>
      </c>
      <c r="D33" s="98">
        <f t="shared" si="1"/>
        <v>0.25839789919648759</v>
      </c>
      <c r="E33" s="96">
        <f t="shared" si="2"/>
        <v>0.27562442580958674</v>
      </c>
      <c r="F33" s="96">
        <f t="shared" si="3"/>
        <v>0.28423768911613634</v>
      </c>
      <c r="G33" s="96">
        <f t="shared" si="4"/>
        <v>0.28940564710006611</v>
      </c>
      <c r="H33" s="96">
        <f t="shared" si="5"/>
        <v>0.29285095242268594</v>
      </c>
      <c r="I33" s="96">
        <f t="shared" si="6"/>
        <v>0.2953118847959858</v>
      </c>
      <c r="J33" s="96">
        <f t="shared" si="7"/>
        <v>0.29715758407596071</v>
      </c>
      <c r="K33" s="96">
        <f t="shared" si="8"/>
        <v>0.29859312796038562</v>
      </c>
      <c r="L33" s="96">
        <f t="shared" si="9"/>
        <v>0.29974156306792554</v>
      </c>
      <c r="M33" s="96">
        <f t="shared" si="10"/>
        <v>0.30068119179227648</v>
      </c>
      <c r="N33" s="96">
        <f t="shared" si="11"/>
        <v>0.30146421572923549</v>
      </c>
      <c r="O33" s="259"/>
      <c r="P33" s="260"/>
      <c r="Q33" s="260"/>
      <c r="R33" s="259"/>
      <c r="S33" s="259"/>
      <c r="T33" s="260"/>
      <c r="U33" s="260"/>
      <c r="V33" s="260"/>
      <c r="W33" s="64"/>
      <c r="X33" s="65"/>
      <c r="AT33" s="4"/>
      <c r="AU33" s="14">
        <f t="shared" si="116"/>
        <v>78</v>
      </c>
      <c r="AV33" s="12" t="str">
        <f t="shared" si="82"/>
        <v>(2000)</v>
      </c>
      <c r="AW33" s="19">
        <f t="shared" si="117"/>
        <v>19</v>
      </c>
      <c r="AX33" s="373">
        <f t="shared" si="83"/>
        <v>1.648433193571901</v>
      </c>
      <c r="AY33" s="374" t="str">
        <f t="shared" si="84"/>
        <v>(0.15)</v>
      </c>
      <c r="AZ33" s="375">
        <v>2</v>
      </c>
      <c r="BA33" s="375">
        <f t="shared" si="17"/>
        <v>2</v>
      </c>
      <c r="BB33" s="375">
        <v>0</v>
      </c>
      <c r="BC33" s="375">
        <f t="shared" si="18"/>
        <v>0</v>
      </c>
      <c r="BD33" s="375">
        <v>0</v>
      </c>
      <c r="BE33" s="375">
        <f t="shared" si="19"/>
        <v>0</v>
      </c>
      <c r="BF33" s="375">
        <f t="shared" si="85"/>
        <v>2</v>
      </c>
      <c r="BG33" s="376">
        <f t="shared" si="21"/>
        <v>10</v>
      </c>
      <c r="BH33" s="373">
        <f t="shared" si="86"/>
        <v>2.6374931097150416</v>
      </c>
      <c r="BI33" s="374" t="str">
        <f t="shared" si="87"/>
        <v>(0.25)</v>
      </c>
      <c r="BJ33" s="375">
        <v>2</v>
      </c>
      <c r="BK33" s="375">
        <f t="shared" si="23"/>
        <v>2</v>
      </c>
      <c r="BL33" s="375">
        <v>0</v>
      </c>
      <c r="BM33" s="375">
        <f t="shared" si="24"/>
        <v>0</v>
      </c>
      <c r="BN33" s="375">
        <v>0</v>
      </c>
      <c r="BO33" s="375">
        <f t="shared" si="25"/>
        <v>0</v>
      </c>
      <c r="BP33" s="375">
        <f t="shared" si="88"/>
        <v>2</v>
      </c>
      <c r="BQ33" s="376">
        <f t="shared" si="27"/>
        <v>16</v>
      </c>
      <c r="BR33" s="373">
        <f t="shared" si="89"/>
        <v>3.6265530258581822</v>
      </c>
      <c r="BS33" s="374" t="str">
        <f t="shared" si="90"/>
        <v>(0.34)</v>
      </c>
      <c r="BT33" s="375">
        <v>2</v>
      </c>
      <c r="BU33" s="375">
        <f t="shared" si="29"/>
        <v>2</v>
      </c>
      <c r="BV33" s="375">
        <v>0</v>
      </c>
      <c r="BW33" s="375">
        <f t="shared" si="30"/>
        <v>0</v>
      </c>
      <c r="BX33" s="375">
        <v>0</v>
      </c>
      <c r="BY33" s="375">
        <f t="shared" si="31"/>
        <v>0</v>
      </c>
      <c r="BZ33" s="375">
        <f t="shared" si="91"/>
        <v>2</v>
      </c>
      <c r="CA33" s="376">
        <f t="shared" si="33"/>
        <v>22</v>
      </c>
      <c r="CB33" s="373">
        <f t="shared" si="92"/>
        <v>4.6156129420013228</v>
      </c>
      <c r="CC33" s="374" t="str">
        <f t="shared" si="93"/>
        <v>(0.43)</v>
      </c>
      <c r="CD33" s="375">
        <v>2</v>
      </c>
      <c r="CE33" s="375">
        <f t="shared" si="35"/>
        <v>2</v>
      </c>
      <c r="CF33" s="375">
        <v>0</v>
      </c>
      <c r="CG33" s="375">
        <f t="shared" si="36"/>
        <v>0</v>
      </c>
      <c r="CH33" s="375">
        <v>0</v>
      </c>
      <c r="CI33" s="375">
        <f t="shared" si="37"/>
        <v>0</v>
      </c>
      <c r="CJ33" s="375">
        <f t="shared" si="94"/>
        <v>2</v>
      </c>
      <c r="CK33" s="376">
        <f t="shared" si="39"/>
        <v>28</v>
      </c>
      <c r="CL33" s="373">
        <f t="shared" si="95"/>
        <v>5.6046728581444638</v>
      </c>
      <c r="CM33" s="374" t="str">
        <f t="shared" si="96"/>
        <v>(0.52)</v>
      </c>
      <c r="CN33" s="375">
        <v>2</v>
      </c>
      <c r="CO33" s="375">
        <f t="shared" si="41"/>
        <v>2</v>
      </c>
      <c r="CP33" s="375">
        <v>0</v>
      </c>
      <c r="CQ33" s="375">
        <f t="shared" si="42"/>
        <v>0</v>
      </c>
      <c r="CR33" s="375">
        <v>0</v>
      </c>
      <c r="CS33" s="375">
        <f t="shared" si="43"/>
        <v>0</v>
      </c>
      <c r="CT33" s="375">
        <f t="shared" si="97"/>
        <v>2</v>
      </c>
      <c r="CU33" s="376">
        <f t="shared" si="45"/>
        <v>34</v>
      </c>
      <c r="CV33" s="373">
        <f t="shared" si="98"/>
        <v>6.593732774287604</v>
      </c>
      <c r="CW33" s="374" t="str">
        <f t="shared" si="99"/>
        <v>(0.61)</v>
      </c>
      <c r="CX33" s="375">
        <v>2</v>
      </c>
      <c r="CY33" s="375">
        <f t="shared" si="47"/>
        <v>2</v>
      </c>
      <c r="CZ33" s="375">
        <v>0</v>
      </c>
      <c r="DA33" s="375">
        <f t="shared" si="48"/>
        <v>0</v>
      </c>
      <c r="DB33" s="375">
        <v>0</v>
      </c>
      <c r="DC33" s="375">
        <f t="shared" si="49"/>
        <v>0</v>
      </c>
      <c r="DD33" s="375">
        <f t="shared" si="100"/>
        <v>2</v>
      </c>
      <c r="DE33" s="376">
        <f t="shared" si="51"/>
        <v>40</v>
      </c>
      <c r="DF33" s="373">
        <f t="shared" si="101"/>
        <v>7.5827926904307441</v>
      </c>
      <c r="DG33" s="374" t="str">
        <f t="shared" si="102"/>
        <v>(0.7)</v>
      </c>
      <c r="DH33" s="375">
        <v>2</v>
      </c>
      <c r="DI33" s="375">
        <f t="shared" si="53"/>
        <v>2</v>
      </c>
      <c r="DJ33" s="375">
        <v>0</v>
      </c>
      <c r="DK33" s="375">
        <f t="shared" si="54"/>
        <v>0</v>
      </c>
      <c r="DL33" s="375">
        <v>0</v>
      </c>
      <c r="DM33" s="375">
        <f t="shared" si="55"/>
        <v>0</v>
      </c>
      <c r="DN33" s="375">
        <f t="shared" si="103"/>
        <v>2</v>
      </c>
      <c r="DO33" s="376">
        <f t="shared" si="57"/>
        <v>46</v>
      </c>
      <c r="DP33" s="373">
        <f t="shared" si="104"/>
        <v>8.571852606573886</v>
      </c>
      <c r="DQ33" s="374" t="str">
        <f t="shared" si="105"/>
        <v>(0.80)</v>
      </c>
      <c r="DR33" s="375">
        <v>2</v>
      </c>
      <c r="DS33" s="375">
        <f t="shared" si="59"/>
        <v>2</v>
      </c>
      <c r="DT33" s="375">
        <v>0</v>
      </c>
      <c r="DU33" s="375">
        <f t="shared" si="60"/>
        <v>0</v>
      </c>
      <c r="DV33" s="375">
        <v>0</v>
      </c>
      <c r="DW33" s="375">
        <f t="shared" si="61"/>
        <v>0</v>
      </c>
      <c r="DX33" s="375">
        <f t="shared" si="106"/>
        <v>2</v>
      </c>
      <c r="DY33" s="376">
        <f t="shared" si="63"/>
        <v>52</v>
      </c>
      <c r="DZ33" s="373">
        <f t="shared" si="107"/>
        <v>9.5609125227170253</v>
      </c>
      <c r="EA33" s="374" t="str">
        <f t="shared" si="118"/>
        <v>(0.89)</v>
      </c>
      <c r="EB33" s="375">
        <v>2</v>
      </c>
      <c r="EC33" s="375">
        <f t="shared" si="65"/>
        <v>2</v>
      </c>
      <c r="ED33" s="375">
        <v>0</v>
      </c>
      <c r="EE33" s="375">
        <f t="shared" si="66"/>
        <v>0</v>
      </c>
      <c r="EF33" s="375">
        <v>0</v>
      </c>
      <c r="EG33" s="375">
        <f t="shared" si="67"/>
        <v>0</v>
      </c>
      <c r="EH33" s="375">
        <f t="shared" si="109"/>
        <v>2</v>
      </c>
      <c r="EI33" s="376">
        <f t="shared" si="69"/>
        <v>58</v>
      </c>
      <c r="EJ33" s="373">
        <f t="shared" si="110"/>
        <v>10.549972438860166</v>
      </c>
      <c r="EK33" s="374" t="str">
        <f t="shared" si="119"/>
        <v>(0.98)</v>
      </c>
      <c r="EL33" s="375">
        <v>2</v>
      </c>
      <c r="EM33" s="375">
        <f t="shared" si="71"/>
        <v>2</v>
      </c>
      <c r="EN33" s="375">
        <v>0</v>
      </c>
      <c r="EO33" s="375">
        <f t="shared" si="72"/>
        <v>0</v>
      </c>
      <c r="EP33" s="375">
        <v>0</v>
      </c>
      <c r="EQ33" s="375">
        <f t="shared" si="73"/>
        <v>0</v>
      </c>
      <c r="ER33" s="375">
        <f t="shared" si="112"/>
        <v>2</v>
      </c>
      <c r="ES33" s="376">
        <f t="shared" si="75"/>
        <v>64</v>
      </c>
      <c r="ET33" s="373">
        <f t="shared" si="113"/>
        <v>11.539032355003307</v>
      </c>
      <c r="EU33" s="374" t="str">
        <f t="shared" si="114"/>
        <v>(1.07)</v>
      </c>
      <c r="EV33" s="22">
        <v>2</v>
      </c>
      <c r="EW33" s="22">
        <f t="shared" si="77"/>
        <v>2</v>
      </c>
      <c r="EX33" s="22">
        <v>0</v>
      </c>
      <c r="EY33" s="22">
        <f t="shared" si="78"/>
        <v>0</v>
      </c>
      <c r="EZ33" s="22">
        <v>0</v>
      </c>
      <c r="FA33" s="22">
        <f t="shared" si="79"/>
        <v>0</v>
      </c>
      <c r="FB33" s="22">
        <f t="shared" si="115"/>
        <v>2</v>
      </c>
      <c r="FC33" s="23">
        <f t="shared" si="81"/>
        <v>70</v>
      </c>
      <c r="FD33" s="31"/>
      <c r="FE33" s="31"/>
      <c r="FF33" s="32"/>
      <c r="FG33" s="32"/>
      <c r="FH33" s="32"/>
      <c r="FI33" s="32"/>
      <c r="FJ33" s="32"/>
      <c r="FK33" s="32"/>
      <c r="FL33" s="32"/>
      <c r="FM33" s="32"/>
      <c r="FN33" s="31"/>
      <c r="FO33" s="31"/>
      <c r="FP33" s="32"/>
      <c r="FQ33" s="32"/>
      <c r="FR33" s="32"/>
      <c r="FS33" s="32"/>
      <c r="FT33" s="32"/>
      <c r="FU33" s="32"/>
      <c r="FV33" s="32"/>
      <c r="FW33" s="32"/>
      <c r="FX33" s="31"/>
      <c r="FY33" s="31"/>
      <c r="FZ33" s="32"/>
      <c r="GA33" s="32"/>
      <c r="GB33" s="32"/>
      <c r="GC33" s="32"/>
      <c r="GD33" s="32"/>
      <c r="GE33" s="32"/>
      <c r="GF33" s="32"/>
      <c r="GG33" s="32"/>
      <c r="GH33" s="31"/>
      <c r="GI33" s="31"/>
      <c r="GJ33" s="32"/>
      <c r="GK33" s="32"/>
      <c r="GL33" s="32"/>
      <c r="GM33" s="32"/>
      <c r="GN33" s="32"/>
      <c r="GO33" s="32"/>
      <c r="GP33" s="32"/>
      <c r="GQ33" s="32"/>
      <c r="GR33" s="31"/>
      <c r="GS33" s="31"/>
      <c r="GT33" s="32"/>
      <c r="GU33" s="32"/>
      <c r="GV33" s="32"/>
      <c r="GW33" s="32"/>
      <c r="GX33" s="32"/>
      <c r="GY33" s="32"/>
      <c r="GZ33" s="32"/>
      <c r="HA33" s="32"/>
      <c r="HB33" s="31"/>
      <c r="HC33" s="31"/>
      <c r="HD33" s="32"/>
      <c r="HE33" s="32"/>
      <c r="HF33" s="32"/>
      <c r="HG33" s="32"/>
      <c r="HH33" s="32"/>
      <c r="HI33" s="32"/>
      <c r="HJ33" s="32"/>
      <c r="HK33" s="32"/>
      <c r="HL33" s="31"/>
      <c r="HM33" s="31"/>
      <c r="HN33" s="32"/>
      <c r="HO33" s="32"/>
      <c r="HP33" s="32"/>
      <c r="HQ33" s="32"/>
      <c r="HR33" s="32"/>
      <c r="HS33" s="32"/>
      <c r="HT33" s="32"/>
      <c r="HU33" s="32"/>
      <c r="HV33" s="31"/>
      <c r="HW33" s="31"/>
      <c r="HX33" s="32"/>
      <c r="HY33" s="32"/>
      <c r="HZ33" s="32"/>
      <c r="IA33" s="32"/>
      <c r="IB33" s="32"/>
      <c r="IC33" s="32"/>
      <c r="ID33" s="33"/>
      <c r="IE33" s="33"/>
      <c r="IF33" s="263"/>
      <c r="IG33" s="25">
        <v>11</v>
      </c>
      <c r="IH33" s="26">
        <v>2.0099999999999998</v>
      </c>
      <c r="II33" s="26">
        <v>2.0099999999999998</v>
      </c>
      <c r="IJ33" s="26">
        <v>1.6274379874353748</v>
      </c>
      <c r="IK33" s="26">
        <v>1</v>
      </c>
      <c r="IL33" s="26">
        <v>1</v>
      </c>
      <c r="IM33" s="26">
        <v>1.125</v>
      </c>
      <c r="IN33" s="8"/>
    </row>
    <row r="34" spans="1:248" ht="15.75" thickBot="1" x14ac:dyDescent="0.3">
      <c r="B34" s="103">
        <f t="shared" si="12"/>
        <v>102</v>
      </c>
      <c r="C34" s="102">
        <v>17</v>
      </c>
      <c r="D34" s="261"/>
      <c r="E34" s="259"/>
      <c r="F34" s="259"/>
      <c r="G34" s="259"/>
      <c r="H34" s="259"/>
      <c r="I34" s="259"/>
      <c r="J34" s="259"/>
      <c r="K34" s="259"/>
      <c r="L34" s="259"/>
      <c r="M34" s="259"/>
      <c r="N34" s="259"/>
      <c r="O34" s="259"/>
      <c r="P34" s="260"/>
      <c r="Q34" s="260"/>
      <c r="R34" s="259"/>
      <c r="S34" s="259"/>
      <c r="T34" s="260"/>
      <c r="U34" s="260"/>
      <c r="V34" s="260"/>
      <c r="W34" s="64"/>
      <c r="X34" s="65"/>
      <c r="AT34" s="4"/>
      <c r="AU34" s="14">
        <f t="shared" si="116"/>
        <v>84</v>
      </c>
      <c r="AV34" s="12" t="str">
        <f t="shared" si="82"/>
        <v>(2150)</v>
      </c>
      <c r="AW34" s="19">
        <f t="shared" si="117"/>
        <v>20</v>
      </c>
      <c r="AX34" s="373">
        <f t="shared" si="83"/>
        <v>1.7880165269052339</v>
      </c>
      <c r="AY34" s="374" t="str">
        <f t="shared" si="84"/>
        <v>(0.17)</v>
      </c>
      <c r="AZ34" s="375">
        <v>2</v>
      </c>
      <c r="BA34" s="375">
        <f t="shared" si="17"/>
        <v>2</v>
      </c>
      <c r="BB34" s="375">
        <v>0</v>
      </c>
      <c r="BC34" s="375">
        <f t="shared" si="18"/>
        <v>0</v>
      </c>
      <c r="BD34" s="375">
        <v>0</v>
      </c>
      <c r="BE34" s="375">
        <f t="shared" si="19"/>
        <v>0</v>
      </c>
      <c r="BF34" s="375">
        <f t="shared" si="85"/>
        <v>2</v>
      </c>
      <c r="BG34" s="376">
        <f t="shared" si="21"/>
        <v>10</v>
      </c>
      <c r="BH34" s="373">
        <f t="shared" si="86"/>
        <v>2.8608264430483747</v>
      </c>
      <c r="BI34" s="374" t="str">
        <f t="shared" si="87"/>
        <v>(0.27)</v>
      </c>
      <c r="BJ34" s="375">
        <v>2</v>
      </c>
      <c r="BK34" s="375">
        <f t="shared" si="23"/>
        <v>2</v>
      </c>
      <c r="BL34" s="375">
        <v>0</v>
      </c>
      <c r="BM34" s="375">
        <f t="shared" si="24"/>
        <v>0</v>
      </c>
      <c r="BN34" s="375">
        <v>0</v>
      </c>
      <c r="BO34" s="375">
        <f t="shared" si="25"/>
        <v>0</v>
      </c>
      <c r="BP34" s="375">
        <f t="shared" si="88"/>
        <v>2</v>
      </c>
      <c r="BQ34" s="376">
        <f t="shared" si="27"/>
        <v>16</v>
      </c>
      <c r="BR34" s="373">
        <f t="shared" si="89"/>
        <v>3.9336363591915151</v>
      </c>
      <c r="BS34" s="374" t="str">
        <f t="shared" si="90"/>
        <v>(0.37)</v>
      </c>
      <c r="BT34" s="375">
        <v>2</v>
      </c>
      <c r="BU34" s="375">
        <f t="shared" si="29"/>
        <v>2</v>
      </c>
      <c r="BV34" s="375">
        <v>0</v>
      </c>
      <c r="BW34" s="375">
        <f t="shared" si="30"/>
        <v>0</v>
      </c>
      <c r="BX34" s="375">
        <v>0</v>
      </c>
      <c r="BY34" s="375">
        <f t="shared" si="31"/>
        <v>0</v>
      </c>
      <c r="BZ34" s="375">
        <f t="shared" si="91"/>
        <v>2</v>
      </c>
      <c r="CA34" s="376">
        <f t="shared" si="33"/>
        <v>22</v>
      </c>
      <c r="CB34" s="373">
        <f t="shared" si="92"/>
        <v>5.0064462753346559</v>
      </c>
      <c r="CC34" s="374" t="str">
        <f t="shared" si="93"/>
        <v>(0.47)</v>
      </c>
      <c r="CD34" s="375">
        <v>2</v>
      </c>
      <c r="CE34" s="375">
        <f t="shared" si="35"/>
        <v>2</v>
      </c>
      <c r="CF34" s="375">
        <v>0</v>
      </c>
      <c r="CG34" s="375">
        <f t="shared" si="36"/>
        <v>0</v>
      </c>
      <c r="CH34" s="375">
        <v>0</v>
      </c>
      <c r="CI34" s="375">
        <f t="shared" si="37"/>
        <v>0</v>
      </c>
      <c r="CJ34" s="375">
        <f t="shared" si="94"/>
        <v>2</v>
      </c>
      <c r="CK34" s="376">
        <f t="shared" si="39"/>
        <v>28</v>
      </c>
      <c r="CL34" s="373">
        <f t="shared" si="95"/>
        <v>6.0792561914777963</v>
      </c>
      <c r="CM34" s="374" t="str">
        <f t="shared" si="96"/>
        <v>(0.56)</v>
      </c>
      <c r="CN34" s="375">
        <v>2</v>
      </c>
      <c r="CO34" s="375">
        <f t="shared" si="41"/>
        <v>2</v>
      </c>
      <c r="CP34" s="375">
        <v>0</v>
      </c>
      <c r="CQ34" s="375">
        <f t="shared" si="42"/>
        <v>0</v>
      </c>
      <c r="CR34" s="375">
        <v>0</v>
      </c>
      <c r="CS34" s="375">
        <f t="shared" si="43"/>
        <v>0</v>
      </c>
      <c r="CT34" s="375">
        <f t="shared" si="97"/>
        <v>2</v>
      </c>
      <c r="CU34" s="376">
        <f t="shared" si="45"/>
        <v>34</v>
      </c>
      <c r="CV34" s="373">
        <f t="shared" si="98"/>
        <v>7.1520661076209358</v>
      </c>
      <c r="CW34" s="374" t="str">
        <f t="shared" si="99"/>
        <v>(0.66)</v>
      </c>
      <c r="CX34" s="375">
        <v>2</v>
      </c>
      <c r="CY34" s="375">
        <f t="shared" si="47"/>
        <v>2</v>
      </c>
      <c r="CZ34" s="375">
        <v>0</v>
      </c>
      <c r="DA34" s="375">
        <f t="shared" si="48"/>
        <v>0</v>
      </c>
      <c r="DB34" s="375">
        <v>0</v>
      </c>
      <c r="DC34" s="375">
        <f t="shared" si="49"/>
        <v>0</v>
      </c>
      <c r="DD34" s="375">
        <f t="shared" si="100"/>
        <v>2</v>
      </c>
      <c r="DE34" s="376">
        <f t="shared" si="51"/>
        <v>40</v>
      </c>
      <c r="DF34" s="373">
        <f t="shared" si="101"/>
        <v>8.224876023764077</v>
      </c>
      <c r="DG34" s="374" t="str">
        <f t="shared" si="102"/>
        <v>(0.76)</v>
      </c>
      <c r="DH34" s="375">
        <v>2</v>
      </c>
      <c r="DI34" s="375">
        <f t="shared" si="53"/>
        <v>2</v>
      </c>
      <c r="DJ34" s="375">
        <v>0</v>
      </c>
      <c r="DK34" s="375">
        <f t="shared" si="54"/>
        <v>0</v>
      </c>
      <c r="DL34" s="375">
        <v>0</v>
      </c>
      <c r="DM34" s="375">
        <f t="shared" si="55"/>
        <v>0</v>
      </c>
      <c r="DN34" s="375">
        <f t="shared" si="103"/>
        <v>2</v>
      </c>
      <c r="DO34" s="376">
        <f t="shared" si="57"/>
        <v>46</v>
      </c>
      <c r="DP34" s="373">
        <f t="shared" si="104"/>
        <v>9.2976859399072183</v>
      </c>
      <c r="DQ34" s="374" t="str">
        <f t="shared" si="105"/>
        <v>(0.86)</v>
      </c>
      <c r="DR34" s="375">
        <v>2</v>
      </c>
      <c r="DS34" s="375">
        <f t="shared" si="59"/>
        <v>2</v>
      </c>
      <c r="DT34" s="375">
        <v>0</v>
      </c>
      <c r="DU34" s="375">
        <f t="shared" si="60"/>
        <v>0</v>
      </c>
      <c r="DV34" s="375">
        <v>0</v>
      </c>
      <c r="DW34" s="375">
        <f t="shared" si="61"/>
        <v>0</v>
      </c>
      <c r="DX34" s="375">
        <f t="shared" si="106"/>
        <v>2</v>
      </c>
      <c r="DY34" s="376">
        <f t="shared" si="63"/>
        <v>52</v>
      </c>
      <c r="DZ34" s="373">
        <f t="shared" si="107"/>
        <v>10.37049585605036</v>
      </c>
      <c r="EA34" s="374" t="str">
        <f t="shared" si="118"/>
        <v>(0.96)</v>
      </c>
      <c r="EB34" s="375">
        <v>2</v>
      </c>
      <c r="EC34" s="375">
        <f t="shared" si="65"/>
        <v>2</v>
      </c>
      <c r="ED34" s="375">
        <v>0</v>
      </c>
      <c r="EE34" s="375">
        <f t="shared" si="66"/>
        <v>0</v>
      </c>
      <c r="EF34" s="375">
        <v>0</v>
      </c>
      <c r="EG34" s="375">
        <f t="shared" si="67"/>
        <v>0</v>
      </c>
      <c r="EH34" s="375">
        <f t="shared" si="109"/>
        <v>2</v>
      </c>
      <c r="EI34" s="376">
        <f t="shared" si="69"/>
        <v>58</v>
      </c>
      <c r="EJ34" s="373">
        <f t="shared" si="110"/>
        <v>11.443305772193499</v>
      </c>
      <c r="EK34" s="374" t="str">
        <f t="shared" si="119"/>
        <v>(1.06)</v>
      </c>
      <c r="EL34" s="375">
        <v>2</v>
      </c>
      <c r="EM34" s="375">
        <f t="shared" si="71"/>
        <v>2</v>
      </c>
      <c r="EN34" s="375">
        <v>0</v>
      </c>
      <c r="EO34" s="375">
        <f t="shared" si="72"/>
        <v>0</v>
      </c>
      <c r="EP34" s="375">
        <v>0</v>
      </c>
      <c r="EQ34" s="375">
        <f t="shared" si="73"/>
        <v>0</v>
      </c>
      <c r="ER34" s="375">
        <f t="shared" si="112"/>
        <v>2</v>
      </c>
      <c r="ES34" s="376">
        <f t="shared" si="75"/>
        <v>64</v>
      </c>
      <c r="ET34" s="373">
        <f t="shared" si="113"/>
        <v>12.516115688336638</v>
      </c>
      <c r="EU34" s="374" t="str">
        <f t="shared" si="114"/>
        <v>(1.16)</v>
      </c>
      <c r="EV34" s="22">
        <v>2</v>
      </c>
      <c r="EW34" s="22">
        <f t="shared" si="77"/>
        <v>2</v>
      </c>
      <c r="EX34" s="22">
        <v>0</v>
      </c>
      <c r="EY34" s="22">
        <f t="shared" si="78"/>
        <v>0</v>
      </c>
      <c r="EZ34" s="22">
        <v>0</v>
      </c>
      <c r="FA34" s="22">
        <f t="shared" si="79"/>
        <v>0</v>
      </c>
      <c r="FB34" s="22">
        <f t="shared" si="115"/>
        <v>2</v>
      </c>
      <c r="FC34" s="23">
        <f t="shared" si="81"/>
        <v>70</v>
      </c>
      <c r="FD34" s="31"/>
      <c r="FE34" s="31"/>
      <c r="FF34" s="32"/>
      <c r="FG34" s="32"/>
      <c r="FH34" s="32"/>
      <c r="FI34" s="32"/>
      <c r="FJ34" s="32"/>
      <c r="FK34" s="32"/>
      <c r="FL34" s="32"/>
      <c r="FM34" s="32"/>
      <c r="FN34" s="31"/>
      <c r="FO34" s="31"/>
      <c r="FP34" s="32"/>
      <c r="FQ34" s="32"/>
      <c r="FR34" s="32"/>
      <c r="FS34" s="32"/>
      <c r="FT34" s="32"/>
      <c r="FU34" s="32"/>
      <c r="FV34" s="32"/>
      <c r="FW34" s="32"/>
      <c r="FX34" s="31"/>
      <c r="FY34" s="31"/>
      <c r="FZ34" s="32"/>
      <c r="GA34" s="32"/>
      <c r="GB34" s="32"/>
      <c r="GC34" s="32"/>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2"/>
      <c r="HE34" s="32"/>
      <c r="HF34" s="32"/>
      <c r="HG34" s="32"/>
      <c r="HH34" s="32"/>
      <c r="HI34" s="32"/>
      <c r="HJ34" s="32"/>
      <c r="HK34" s="32"/>
      <c r="HL34" s="32"/>
      <c r="HM34" s="32"/>
      <c r="HN34" s="32"/>
      <c r="HO34" s="32"/>
      <c r="HP34" s="32"/>
      <c r="HQ34" s="32"/>
      <c r="HR34" s="32"/>
      <c r="HS34" s="32"/>
      <c r="HT34" s="32"/>
      <c r="HU34" s="32"/>
      <c r="HV34" s="31"/>
      <c r="HW34" s="31"/>
      <c r="HX34" s="32"/>
      <c r="HY34" s="32"/>
      <c r="HZ34" s="32"/>
      <c r="IA34" s="32"/>
      <c r="IB34" s="32"/>
      <c r="IC34" s="32"/>
      <c r="ID34" s="33"/>
      <c r="IE34" s="33"/>
      <c r="IF34" s="263"/>
      <c r="IG34" s="25">
        <v>12</v>
      </c>
      <c r="IH34" s="26">
        <v>2.0099999999999998</v>
      </c>
      <c r="II34" s="26">
        <v>2.0099999999999998</v>
      </c>
      <c r="IJ34" s="26">
        <v>1.6274379874353748</v>
      </c>
      <c r="IK34" s="26">
        <v>1</v>
      </c>
      <c r="IL34" s="26">
        <v>1</v>
      </c>
      <c r="IM34" s="26">
        <v>1.125</v>
      </c>
      <c r="IN34" s="8"/>
    </row>
    <row r="35" spans="1:248" ht="15.75" thickBot="1" x14ac:dyDescent="0.3">
      <c r="B35" s="103">
        <f t="shared" si="12"/>
        <v>108</v>
      </c>
      <c r="C35" s="102">
        <v>18</v>
      </c>
      <c r="D35" s="261"/>
      <c r="E35" s="259"/>
      <c r="F35" s="259"/>
      <c r="G35" s="259"/>
      <c r="H35" s="259"/>
      <c r="I35" s="259"/>
      <c r="J35" s="259"/>
      <c r="K35" s="259"/>
      <c r="L35" s="259"/>
      <c r="M35" s="259"/>
      <c r="N35" s="259"/>
      <c r="O35" s="259"/>
      <c r="P35" s="260"/>
      <c r="Q35" s="260"/>
      <c r="R35" s="259"/>
      <c r="S35" s="259"/>
      <c r="T35" s="259"/>
      <c r="U35" s="259"/>
      <c r="V35" s="259"/>
      <c r="W35" s="64"/>
      <c r="X35" s="65"/>
      <c r="AT35" s="4"/>
      <c r="AU35" s="27">
        <f t="shared" si="116"/>
        <v>90</v>
      </c>
      <c r="AV35" s="28" t="str">
        <f t="shared" si="82"/>
        <v>(2300)</v>
      </c>
      <c r="AW35" s="19">
        <f t="shared" si="117"/>
        <v>21</v>
      </c>
      <c r="AX35" s="373">
        <f t="shared" si="83"/>
        <v>1.9275998602385676</v>
      </c>
      <c r="AY35" s="374" t="str">
        <f t="shared" si="84"/>
        <v>(0.18)</v>
      </c>
      <c r="AZ35" s="375">
        <v>2</v>
      </c>
      <c r="BA35" s="375">
        <f t="shared" si="17"/>
        <v>2</v>
      </c>
      <c r="BB35" s="375">
        <v>0</v>
      </c>
      <c r="BC35" s="375">
        <f t="shared" si="18"/>
        <v>0</v>
      </c>
      <c r="BD35" s="375">
        <v>0</v>
      </c>
      <c r="BE35" s="375">
        <f t="shared" si="19"/>
        <v>0</v>
      </c>
      <c r="BF35" s="375">
        <f t="shared" si="85"/>
        <v>2</v>
      </c>
      <c r="BG35" s="376">
        <f t="shared" si="21"/>
        <v>10</v>
      </c>
      <c r="BH35" s="373">
        <f t="shared" si="86"/>
        <v>3.0841597763817079</v>
      </c>
      <c r="BI35" s="374" t="str">
        <f t="shared" si="87"/>
        <v>(0.29)</v>
      </c>
      <c r="BJ35" s="375">
        <v>2</v>
      </c>
      <c r="BK35" s="375">
        <f t="shared" si="23"/>
        <v>2</v>
      </c>
      <c r="BL35" s="375">
        <v>0</v>
      </c>
      <c r="BM35" s="375">
        <f t="shared" si="24"/>
        <v>0</v>
      </c>
      <c r="BN35" s="375">
        <v>0</v>
      </c>
      <c r="BO35" s="375">
        <f t="shared" si="25"/>
        <v>0</v>
      </c>
      <c r="BP35" s="375">
        <f t="shared" si="88"/>
        <v>2</v>
      </c>
      <c r="BQ35" s="376">
        <f t="shared" si="27"/>
        <v>16</v>
      </c>
      <c r="BR35" s="373">
        <f t="shared" si="89"/>
        <v>4.2407196925248485</v>
      </c>
      <c r="BS35" s="374" t="str">
        <f t="shared" si="90"/>
        <v>(0.39)</v>
      </c>
      <c r="BT35" s="375">
        <v>2</v>
      </c>
      <c r="BU35" s="375">
        <f t="shared" si="29"/>
        <v>2</v>
      </c>
      <c r="BV35" s="375">
        <v>0</v>
      </c>
      <c r="BW35" s="375">
        <f t="shared" si="30"/>
        <v>0</v>
      </c>
      <c r="BX35" s="375">
        <v>0</v>
      </c>
      <c r="BY35" s="375">
        <f t="shared" si="31"/>
        <v>0</v>
      </c>
      <c r="BZ35" s="375">
        <f t="shared" si="91"/>
        <v>2</v>
      </c>
      <c r="CA35" s="376">
        <f t="shared" si="33"/>
        <v>22</v>
      </c>
      <c r="CB35" s="373">
        <f t="shared" si="92"/>
        <v>5.3972796086679891</v>
      </c>
      <c r="CC35" s="374" t="str">
        <f t="shared" si="93"/>
        <v>(0.5)</v>
      </c>
      <c r="CD35" s="375">
        <v>2</v>
      </c>
      <c r="CE35" s="375">
        <f t="shared" si="35"/>
        <v>2</v>
      </c>
      <c r="CF35" s="375">
        <v>0</v>
      </c>
      <c r="CG35" s="375">
        <f t="shared" si="36"/>
        <v>0</v>
      </c>
      <c r="CH35" s="375">
        <v>0</v>
      </c>
      <c r="CI35" s="375">
        <f t="shared" si="37"/>
        <v>0</v>
      </c>
      <c r="CJ35" s="375">
        <f t="shared" si="94"/>
        <v>2</v>
      </c>
      <c r="CK35" s="376">
        <f t="shared" si="39"/>
        <v>28</v>
      </c>
      <c r="CL35" s="373">
        <f t="shared" si="95"/>
        <v>6.5538395248111287</v>
      </c>
      <c r="CM35" s="374" t="str">
        <f t="shared" si="96"/>
        <v>(0.61)</v>
      </c>
      <c r="CN35" s="375">
        <v>2</v>
      </c>
      <c r="CO35" s="375">
        <f t="shared" si="41"/>
        <v>2</v>
      </c>
      <c r="CP35" s="375">
        <v>0</v>
      </c>
      <c r="CQ35" s="375">
        <f t="shared" si="42"/>
        <v>0</v>
      </c>
      <c r="CR35" s="375">
        <v>0</v>
      </c>
      <c r="CS35" s="375">
        <f t="shared" si="43"/>
        <v>0</v>
      </c>
      <c r="CT35" s="375">
        <f t="shared" si="97"/>
        <v>2</v>
      </c>
      <c r="CU35" s="376">
        <f t="shared" si="45"/>
        <v>34</v>
      </c>
      <c r="CV35" s="373">
        <f t="shared" si="98"/>
        <v>7.7103994409542702</v>
      </c>
      <c r="CW35" s="374" t="str">
        <f t="shared" si="99"/>
        <v>(0.72)</v>
      </c>
      <c r="CX35" s="375">
        <v>2</v>
      </c>
      <c r="CY35" s="375">
        <f t="shared" si="47"/>
        <v>2</v>
      </c>
      <c r="CZ35" s="375">
        <v>0</v>
      </c>
      <c r="DA35" s="375">
        <f t="shared" si="48"/>
        <v>0</v>
      </c>
      <c r="DB35" s="375">
        <v>0</v>
      </c>
      <c r="DC35" s="375">
        <f t="shared" si="49"/>
        <v>0</v>
      </c>
      <c r="DD35" s="375">
        <f t="shared" si="100"/>
        <v>2</v>
      </c>
      <c r="DE35" s="376">
        <f t="shared" si="51"/>
        <v>40</v>
      </c>
      <c r="DF35" s="373">
        <f t="shared" si="101"/>
        <v>8.866959357097409</v>
      </c>
      <c r="DG35" s="374" t="str">
        <f t="shared" si="102"/>
        <v>(0.82)</v>
      </c>
      <c r="DH35" s="375">
        <v>2</v>
      </c>
      <c r="DI35" s="375">
        <f t="shared" si="53"/>
        <v>2</v>
      </c>
      <c r="DJ35" s="375">
        <v>0</v>
      </c>
      <c r="DK35" s="375">
        <f t="shared" si="54"/>
        <v>0</v>
      </c>
      <c r="DL35" s="375">
        <v>0</v>
      </c>
      <c r="DM35" s="375">
        <f t="shared" si="55"/>
        <v>0</v>
      </c>
      <c r="DN35" s="375">
        <f t="shared" si="103"/>
        <v>2</v>
      </c>
      <c r="DO35" s="376">
        <f t="shared" si="57"/>
        <v>46</v>
      </c>
      <c r="DP35" s="373">
        <f t="shared" si="104"/>
        <v>10.02351927324055</v>
      </c>
      <c r="DQ35" s="374" t="str">
        <f t="shared" si="105"/>
        <v>(0.93)</v>
      </c>
      <c r="DR35" s="375">
        <v>2</v>
      </c>
      <c r="DS35" s="375">
        <f t="shared" si="59"/>
        <v>2</v>
      </c>
      <c r="DT35" s="375">
        <v>0</v>
      </c>
      <c r="DU35" s="375">
        <f t="shared" si="60"/>
        <v>0</v>
      </c>
      <c r="DV35" s="375">
        <v>0</v>
      </c>
      <c r="DW35" s="375">
        <f t="shared" si="61"/>
        <v>0</v>
      </c>
      <c r="DX35" s="375">
        <f t="shared" si="106"/>
        <v>2</v>
      </c>
      <c r="DY35" s="376">
        <f t="shared" si="63"/>
        <v>52</v>
      </c>
      <c r="DZ35" s="373">
        <f t="shared" si="107"/>
        <v>11.18007918938369</v>
      </c>
      <c r="EA35" s="374" t="str">
        <f t="shared" si="118"/>
        <v>(1.04)</v>
      </c>
      <c r="EB35" s="375">
        <v>2</v>
      </c>
      <c r="EC35" s="375">
        <f t="shared" si="65"/>
        <v>2</v>
      </c>
      <c r="ED35" s="375">
        <v>0</v>
      </c>
      <c r="EE35" s="375">
        <f t="shared" si="66"/>
        <v>0</v>
      </c>
      <c r="EF35" s="375">
        <v>0</v>
      </c>
      <c r="EG35" s="375">
        <f t="shared" si="67"/>
        <v>0</v>
      </c>
      <c r="EH35" s="375">
        <f t="shared" si="109"/>
        <v>2</v>
      </c>
      <c r="EI35" s="376">
        <f t="shared" si="69"/>
        <v>58</v>
      </c>
      <c r="EJ35" s="373">
        <f t="shared" si="110"/>
        <v>12.336639105526832</v>
      </c>
      <c r="EK35" s="374" t="str">
        <f t="shared" si="119"/>
        <v>(1.15)</v>
      </c>
      <c r="EL35" s="375">
        <v>2</v>
      </c>
      <c r="EM35" s="375">
        <f t="shared" si="71"/>
        <v>2</v>
      </c>
      <c r="EN35" s="375">
        <v>0</v>
      </c>
      <c r="EO35" s="375">
        <f t="shared" si="72"/>
        <v>0</v>
      </c>
      <c r="EP35" s="375">
        <v>0</v>
      </c>
      <c r="EQ35" s="375">
        <f t="shared" si="73"/>
        <v>0</v>
      </c>
      <c r="ER35" s="375">
        <f t="shared" si="112"/>
        <v>2</v>
      </c>
      <c r="ES35" s="376">
        <f t="shared" si="75"/>
        <v>64</v>
      </c>
      <c r="ET35" s="373">
        <f t="shared" si="113"/>
        <v>13.493199021669973</v>
      </c>
      <c r="EU35" s="374" t="str">
        <f t="shared" si="114"/>
        <v>(1.25)</v>
      </c>
      <c r="EV35" s="22">
        <v>2</v>
      </c>
      <c r="EW35" s="22">
        <f t="shared" si="77"/>
        <v>2</v>
      </c>
      <c r="EX35" s="22">
        <v>0</v>
      </c>
      <c r="EY35" s="22">
        <f t="shared" si="78"/>
        <v>0</v>
      </c>
      <c r="EZ35" s="30">
        <v>0</v>
      </c>
      <c r="FA35" s="22">
        <f t="shared" si="79"/>
        <v>0</v>
      </c>
      <c r="FB35" s="22">
        <f t="shared" si="115"/>
        <v>2</v>
      </c>
      <c r="FC35" s="23">
        <f t="shared" si="81"/>
        <v>70</v>
      </c>
      <c r="FD35" s="31"/>
      <c r="FE35" s="31"/>
      <c r="FF35" s="32"/>
      <c r="FG35" s="32"/>
      <c r="FH35" s="34"/>
      <c r="FI35" s="32"/>
      <c r="FJ35" s="34"/>
      <c r="FK35" s="32"/>
      <c r="FL35" s="31"/>
      <c r="FM35" s="31"/>
      <c r="FN35" s="31"/>
      <c r="FO35" s="31"/>
      <c r="FP35" s="31"/>
      <c r="FQ35" s="31"/>
      <c r="FR35" s="31"/>
      <c r="FS35" s="31"/>
      <c r="FT35" s="31"/>
      <c r="FU35" s="31"/>
      <c r="FV35" s="31"/>
      <c r="FW35" s="31"/>
      <c r="FX35" s="31"/>
      <c r="FY35" s="31"/>
      <c r="FZ35" s="32"/>
      <c r="GA35" s="32"/>
      <c r="GB35" s="34"/>
      <c r="GC35" s="32"/>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2"/>
      <c r="HE35" s="32"/>
      <c r="HF35" s="34"/>
      <c r="HG35" s="32"/>
      <c r="HH35" s="32"/>
      <c r="HI35" s="32"/>
      <c r="HJ35" s="32"/>
      <c r="HK35" s="32"/>
      <c r="HL35" s="32"/>
      <c r="HM35" s="32"/>
      <c r="HN35" s="32"/>
      <c r="HO35" s="32"/>
      <c r="HP35" s="32"/>
      <c r="HQ35" s="32"/>
      <c r="HR35" s="32"/>
      <c r="HS35" s="32"/>
      <c r="HT35" s="32"/>
      <c r="HU35" s="32"/>
      <c r="HV35" s="31"/>
      <c r="HW35" s="31"/>
      <c r="HX35" s="32"/>
      <c r="HY35" s="32"/>
      <c r="HZ35" s="34"/>
      <c r="IA35" s="32"/>
      <c r="IB35" s="32"/>
      <c r="IC35" s="32"/>
      <c r="ID35" s="33"/>
      <c r="IE35" s="33"/>
      <c r="IF35" s="263"/>
      <c r="IG35" s="25">
        <v>13</v>
      </c>
      <c r="IH35" s="26">
        <v>2.0099999999999998</v>
      </c>
      <c r="II35" s="26">
        <v>2.0099999999999998</v>
      </c>
      <c r="IJ35" s="26">
        <v>1.6274379874353748</v>
      </c>
      <c r="IK35" s="26">
        <v>1</v>
      </c>
      <c r="IL35" s="26">
        <v>1</v>
      </c>
      <c r="IM35" s="26">
        <v>1.125</v>
      </c>
      <c r="IN35" s="8"/>
    </row>
    <row r="36" spans="1:248" ht="15.75" thickBot="1" x14ac:dyDescent="0.3">
      <c r="B36" s="103">
        <f>B35+6</f>
        <v>114</v>
      </c>
      <c r="C36" s="102">
        <v>19</v>
      </c>
      <c r="D36" s="261"/>
      <c r="E36" s="259"/>
      <c r="F36" s="259"/>
      <c r="G36" s="259"/>
      <c r="H36" s="259"/>
      <c r="I36" s="259"/>
      <c r="J36" s="259"/>
      <c r="K36" s="259"/>
      <c r="L36" s="259"/>
      <c r="M36" s="259"/>
      <c r="N36" s="259"/>
      <c r="O36" s="259"/>
      <c r="P36" s="260"/>
      <c r="Q36" s="260"/>
      <c r="R36" s="259"/>
      <c r="S36" s="259"/>
      <c r="T36" s="259"/>
      <c r="U36" s="259"/>
      <c r="V36" s="259"/>
      <c r="W36" s="64"/>
      <c r="X36" s="65"/>
      <c r="AT36" s="4"/>
      <c r="AU36" s="27">
        <f t="shared" si="116"/>
        <v>96</v>
      </c>
      <c r="AV36" s="28" t="str">
        <f t="shared" si="82"/>
        <v>(2450)</v>
      </c>
      <c r="AW36" s="19">
        <f t="shared" si="117"/>
        <v>22</v>
      </c>
      <c r="AX36" s="373">
        <f t="shared" si="83"/>
        <v>2.0671831935719007</v>
      </c>
      <c r="AY36" s="374" t="str">
        <f t="shared" si="84"/>
        <v>(0.19)</v>
      </c>
      <c r="AZ36" s="375">
        <v>2</v>
      </c>
      <c r="BA36" s="375">
        <f t="shared" si="17"/>
        <v>2</v>
      </c>
      <c r="BB36" s="375">
        <v>0</v>
      </c>
      <c r="BC36" s="375">
        <f t="shared" si="18"/>
        <v>0</v>
      </c>
      <c r="BD36" s="375">
        <v>0</v>
      </c>
      <c r="BE36" s="375">
        <f t="shared" si="19"/>
        <v>0</v>
      </c>
      <c r="BF36" s="375">
        <f t="shared" si="85"/>
        <v>2</v>
      </c>
      <c r="BG36" s="376">
        <f t="shared" si="21"/>
        <v>10</v>
      </c>
      <c r="BH36" s="373">
        <f t="shared" si="86"/>
        <v>3.3074931097150411</v>
      </c>
      <c r="BI36" s="374" t="str">
        <f t="shared" si="87"/>
        <v>(0.31)</v>
      </c>
      <c r="BJ36" s="375">
        <v>2</v>
      </c>
      <c r="BK36" s="375">
        <f t="shared" si="23"/>
        <v>2</v>
      </c>
      <c r="BL36" s="375">
        <v>0</v>
      </c>
      <c r="BM36" s="375">
        <f t="shared" si="24"/>
        <v>0</v>
      </c>
      <c r="BN36" s="375">
        <v>0</v>
      </c>
      <c r="BO36" s="375">
        <f t="shared" si="25"/>
        <v>0</v>
      </c>
      <c r="BP36" s="375">
        <f t="shared" si="88"/>
        <v>2</v>
      </c>
      <c r="BQ36" s="376">
        <f t="shared" si="27"/>
        <v>16</v>
      </c>
      <c r="BR36" s="373">
        <f t="shared" si="89"/>
        <v>4.5478030258581814</v>
      </c>
      <c r="BS36" s="374" t="str">
        <f t="shared" si="90"/>
        <v>(0.42)</v>
      </c>
      <c r="BT36" s="375">
        <v>2</v>
      </c>
      <c r="BU36" s="375">
        <f t="shared" si="29"/>
        <v>2</v>
      </c>
      <c r="BV36" s="375">
        <v>0</v>
      </c>
      <c r="BW36" s="375">
        <f t="shared" si="30"/>
        <v>0</v>
      </c>
      <c r="BX36" s="375">
        <v>0</v>
      </c>
      <c r="BY36" s="375">
        <f t="shared" si="31"/>
        <v>0</v>
      </c>
      <c r="BZ36" s="375">
        <f t="shared" si="91"/>
        <v>2</v>
      </c>
      <c r="CA36" s="376">
        <f t="shared" si="33"/>
        <v>22</v>
      </c>
      <c r="CB36" s="373">
        <f t="shared" si="92"/>
        <v>5.7881129420013222</v>
      </c>
      <c r="CC36" s="374" t="str">
        <f t="shared" si="93"/>
        <v>(0.54)</v>
      </c>
      <c r="CD36" s="375">
        <v>2</v>
      </c>
      <c r="CE36" s="375">
        <f t="shared" si="35"/>
        <v>2</v>
      </c>
      <c r="CF36" s="375">
        <v>0</v>
      </c>
      <c r="CG36" s="375">
        <f t="shared" si="36"/>
        <v>0</v>
      </c>
      <c r="CH36" s="375">
        <v>0</v>
      </c>
      <c r="CI36" s="375">
        <f t="shared" si="37"/>
        <v>0</v>
      </c>
      <c r="CJ36" s="375">
        <f t="shared" si="94"/>
        <v>2</v>
      </c>
      <c r="CK36" s="376">
        <f t="shared" si="39"/>
        <v>28</v>
      </c>
      <c r="CL36" s="373">
        <f t="shared" si="95"/>
        <v>7.0284228581444621</v>
      </c>
      <c r="CM36" s="374" t="str">
        <f t="shared" si="96"/>
        <v>(0.65)</v>
      </c>
      <c r="CN36" s="375">
        <v>2</v>
      </c>
      <c r="CO36" s="375">
        <f t="shared" si="41"/>
        <v>2</v>
      </c>
      <c r="CP36" s="375">
        <v>0</v>
      </c>
      <c r="CQ36" s="375">
        <f t="shared" si="42"/>
        <v>0</v>
      </c>
      <c r="CR36" s="375">
        <v>0</v>
      </c>
      <c r="CS36" s="375">
        <f t="shared" si="43"/>
        <v>0</v>
      </c>
      <c r="CT36" s="375">
        <f t="shared" si="97"/>
        <v>2</v>
      </c>
      <c r="CU36" s="376">
        <f t="shared" si="45"/>
        <v>34</v>
      </c>
      <c r="CV36" s="373">
        <f t="shared" si="98"/>
        <v>8.2687327742876029</v>
      </c>
      <c r="CW36" s="374" t="str">
        <f t="shared" si="99"/>
        <v>(0.77)</v>
      </c>
      <c r="CX36" s="375">
        <v>2</v>
      </c>
      <c r="CY36" s="375">
        <f t="shared" si="47"/>
        <v>2</v>
      </c>
      <c r="CZ36" s="375">
        <v>0</v>
      </c>
      <c r="DA36" s="375">
        <f t="shared" si="48"/>
        <v>0</v>
      </c>
      <c r="DB36" s="375">
        <v>0</v>
      </c>
      <c r="DC36" s="375">
        <f t="shared" si="49"/>
        <v>0</v>
      </c>
      <c r="DD36" s="375">
        <f t="shared" si="100"/>
        <v>2</v>
      </c>
      <c r="DE36" s="376">
        <f t="shared" si="51"/>
        <v>40</v>
      </c>
      <c r="DF36" s="373">
        <f t="shared" si="101"/>
        <v>9.5090426904307428</v>
      </c>
      <c r="DG36" s="374" t="str">
        <f t="shared" si="102"/>
        <v>(0.88)</v>
      </c>
      <c r="DH36" s="375">
        <v>2</v>
      </c>
      <c r="DI36" s="375">
        <f t="shared" si="53"/>
        <v>2</v>
      </c>
      <c r="DJ36" s="375">
        <v>0</v>
      </c>
      <c r="DK36" s="375">
        <f t="shared" si="54"/>
        <v>0</v>
      </c>
      <c r="DL36" s="375">
        <v>0</v>
      </c>
      <c r="DM36" s="375">
        <f t="shared" si="55"/>
        <v>0</v>
      </c>
      <c r="DN36" s="375">
        <f t="shared" si="103"/>
        <v>2</v>
      </c>
      <c r="DO36" s="376">
        <f t="shared" si="57"/>
        <v>46</v>
      </c>
      <c r="DP36" s="373">
        <f t="shared" si="104"/>
        <v>10.749352606573883</v>
      </c>
      <c r="DQ36" s="374" t="str">
        <f t="shared" si="105"/>
        <v>(1.00)</v>
      </c>
      <c r="DR36" s="375">
        <v>2</v>
      </c>
      <c r="DS36" s="375">
        <f t="shared" si="59"/>
        <v>2</v>
      </c>
      <c r="DT36" s="375">
        <v>0</v>
      </c>
      <c r="DU36" s="375">
        <f t="shared" si="60"/>
        <v>0</v>
      </c>
      <c r="DV36" s="375">
        <v>0</v>
      </c>
      <c r="DW36" s="375">
        <f t="shared" si="61"/>
        <v>0</v>
      </c>
      <c r="DX36" s="375">
        <f t="shared" si="106"/>
        <v>2</v>
      </c>
      <c r="DY36" s="376">
        <f t="shared" si="63"/>
        <v>52</v>
      </c>
      <c r="DZ36" s="373">
        <f t="shared" si="107"/>
        <v>11.989662522717023</v>
      </c>
      <c r="EA36" s="374" t="str">
        <f t="shared" si="118"/>
        <v>(1.11)</v>
      </c>
      <c r="EB36" s="375">
        <v>2</v>
      </c>
      <c r="EC36" s="375">
        <f t="shared" si="65"/>
        <v>2</v>
      </c>
      <c r="ED36" s="375">
        <v>0</v>
      </c>
      <c r="EE36" s="375">
        <f t="shared" si="66"/>
        <v>0</v>
      </c>
      <c r="EF36" s="375">
        <v>0</v>
      </c>
      <c r="EG36" s="375">
        <f t="shared" si="67"/>
        <v>0</v>
      </c>
      <c r="EH36" s="375">
        <f t="shared" si="109"/>
        <v>2</v>
      </c>
      <c r="EI36" s="376">
        <f t="shared" si="69"/>
        <v>58</v>
      </c>
      <c r="EJ36" s="373">
        <f t="shared" si="110"/>
        <v>13.229972438860164</v>
      </c>
      <c r="EK36" s="374" t="str">
        <f t="shared" si="119"/>
        <v>(1.23)</v>
      </c>
      <c r="EL36" s="375">
        <v>2</v>
      </c>
      <c r="EM36" s="375">
        <f t="shared" si="71"/>
        <v>2</v>
      </c>
      <c r="EN36" s="375">
        <v>0</v>
      </c>
      <c r="EO36" s="375">
        <f t="shared" si="72"/>
        <v>0</v>
      </c>
      <c r="EP36" s="375">
        <v>0</v>
      </c>
      <c r="EQ36" s="375">
        <f t="shared" si="73"/>
        <v>0</v>
      </c>
      <c r="ER36" s="375">
        <f t="shared" si="112"/>
        <v>2</v>
      </c>
      <c r="ES36" s="376">
        <f t="shared" si="75"/>
        <v>64</v>
      </c>
      <c r="ET36" s="373">
        <f t="shared" si="113"/>
        <v>14.470282355003304</v>
      </c>
      <c r="EU36" s="374" t="str">
        <f t="shared" si="114"/>
        <v>(1.34)</v>
      </c>
      <c r="EV36" s="22">
        <v>2</v>
      </c>
      <c r="EW36" s="22">
        <f t="shared" si="77"/>
        <v>2</v>
      </c>
      <c r="EX36" s="22">
        <v>0</v>
      </c>
      <c r="EY36" s="22">
        <f t="shared" si="78"/>
        <v>0</v>
      </c>
      <c r="EZ36" s="22">
        <v>0</v>
      </c>
      <c r="FA36" s="22">
        <f t="shared" si="79"/>
        <v>0</v>
      </c>
      <c r="FB36" s="22">
        <f t="shared" si="115"/>
        <v>2</v>
      </c>
      <c r="FC36" s="23">
        <f t="shared" si="81"/>
        <v>70</v>
      </c>
      <c r="FD36" s="31"/>
      <c r="FE36" s="31"/>
      <c r="FF36" s="32"/>
      <c r="FG36" s="32"/>
      <c r="FH36" s="32"/>
      <c r="FI36" s="32"/>
      <c r="FJ36" s="32"/>
      <c r="FK36" s="32"/>
      <c r="FL36" s="31"/>
      <c r="FM36" s="31"/>
      <c r="FN36" s="31"/>
      <c r="FO36" s="31"/>
      <c r="FP36" s="31"/>
      <c r="FQ36" s="31"/>
      <c r="FR36" s="31"/>
      <c r="FS36" s="31"/>
      <c r="FT36" s="31"/>
      <c r="FU36" s="31"/>
      <c r="FV36" s="31"/>
      <c r="FW36" s="31"/>
      <c r="FX36" s="31"/>
      <c r="FY36" s="31"/>
      <c r="FZ36" s="32"/>
      <c r="GA36" s="32"/>
      <c r="GB36" s="32"/>
      <c r="GC36" s="32"/>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2"/>
      <c r="HE36" s="32"/>
      <c r="HF36" s="32"/>
      <c r="HG36" s="32"/>
      <c r="HH36" s="32"/>
      <c r="HI36" s="32"/>
      <c r="HJ36" s="32"/>
      <c r="HK36" s="32"/>
      <c r="HL36" s="32"/>
      <c r="HM36" s="32"/>
      <c r="HN36" s="32"/>
      <c r="HO36" s="32"/>
      <c r="HP36" s="32"/>
      <c r="HQ36" s="32"/>
      <c r="HR36" s="32"/>
      <c r="HS36" s="32"/>
      <c r="HT36" s="32"/>
      <c r="HU36" s="32"/>
      <c r="HV36" s="31"/>
      <c r="HW36" s="31"/>
      <c r="HX36" s="32"/>
      <c r="HY36" s="32"/>
      <c r="HZ36" s="32"/>
      <c r="IA36" s="32"/>
      <c r="IB36" s="32"/>
      <c r="IC36" s="32"/>
      <c r="ID36" s="33"/>
      <c r="IE36" s="33"/>
      <c r="IF36" s="263"/>
      <c r="IG36" s="25">
        <v>14</v>
      </c>
      <c r="IH36" s="26">
        <v>2.0099999999999998</v>
      </c>
      <c r="II36" s="26">
        <v>2.0099999999999998</v>
      </c>
      <c r="IJ36" s="26">
        <v>1.6274379874353748</v>
      </c>
      <c r="IK36" s="26">
        <v>1</v>
      </c>
      <c r="IL36" s="26">
        <v>1</v>
      </c>
      <c r="IM36" s="26">
        <v>1.125</v>
      </c>
      <c r="IN36" s="8"/>
    </row>
    <row r="37" spans="1:248" ht="15.75" thickBot="1" x14ac:dyDescent="0.3">
      <c r="B37" s="103">
        <f t="shared" si="12"/>
        <v>120</v>
      </c>
      <c r="C37" s="102">
        <v>20</v>
      </c>
      <c r="D37" s="261"/>
      <c r="E37" s="259"/>
      <c r="F37" s="259"/>
      <c r="G37" s="259"/>
      <c r="H37" s="259"/>
      <c r="I37" s="259"/>
      <c r="J37" s="259"/>
      <c r="K37" s="259"/>
      <c r="L37" s="259"/>
      <c r="M37" s="259"/>
      <c r="N37" s="259"/>
      <c r="O37" s="259"/>
      <c r="P37" s="260"/>
      <c r="Q37" s="260"/>
      <c r="R37" s="259"/>
      <c r="S37" s="259"/>
      <c r="T37" s="259"/>
      <c r="U37" s="259"/>
      <c r="V37" s="259"/>
      <c r="W37" s="64"/>
      <c r="X37" s="65"/>
      <c r="AT37" s="4"/>
      <c r="AU37" s="27">
        <f t="shared" si="116"/>
        <v>102</v>
      </c>
      <c r="AV37" s="28" t="str">
        <f t="shared" si="82"/>
        <v>(2600)</v>
      </c>
      <c r="AW37" s="19">
        <f t="shared" si="117"/>
        <v>23</v>
      </c>
      <c r="AX37" s="202"/>
      <c r="AY37" s="203"/>
      <c r="AZ37" s="204"/>
      <c r="BA37" s="204"/>
      <c r="BB37" s="204"/>
      <c r="BC37" s="204"/>
      <c r="BD37" s="204"/>
      <c r="BE37" s="204"/>
      <c r="BF37" s="204"/>
      <c r="BG37" s="205"/>
      <c r="BH37" s="202"/>
      <c r="BI37" s="203"/>
      <c r="BJ37" s="204"/>
      <c r="BK37" s="204"/>
      <c r="BL37" s="204"/>
      <c r="BM37" s="204"/>
      <c r="BN37" s="204"/>
      <c r="BO37" s="204"/>
      <c r="BP37" s="204"/>
      <c r="BQ37" s="205"/>
      <c r="BR37" s="202"/>
      <c r="BS37" s="203"/>
      <c r="BT37" s="204"/>
      <c r="BU37" s="204"/>
      <c r="BV37" s="204"/>
      <c r="BW37" s="204"/>
      <c r="BX37" s="204"/>
      <c r="BY37" s="204"/>
      <c r="BZ37" s="204"/>
      <c r="CA37" s="205"/>
      <c r="CB37" s="202"/>
      <c r="CC37" s="203"/>
      <c r="CD37" s="204"/>
      <c r="CE37" s="204"/>
      <c r="CF37" s="204"/>
      <c r="CG37" s="204"/>
      <c r="CH37" s="204"/>
      <c r="CI37" s="204"/>
      <c r="CJ37" s="204"/>
      <c r="CK37" s="205"/>
      <c r="CL37" s="202"/>
      <c r="CM37" s="203"/>
      <c r="CN37" s="204"/>
      <c r="CO37" s="204"/>
      <c r="CP37" s="204"/>
      <c r="CQ37" s="204"/>
      <c r="CR37" s="204"/>
      <c r="CS37" s="204"/>
      <c r="CT37" s="204"/>
      <c r="CU37" s="205"/>
      <c r="CV37" s="202"/>
      <c r="CW37" s="203"/>
      <c r="CX37" s="204"/>
      <c r="CY37" s="204"/>
      <c r="CZ37" s="204"/>
      <c r="DA37" s="204"/>
      <c r="DB37" s="204"/>
      <c r="DC37" s="204"/>
      <c r="DD37" s="204"/>
      <c r="DE37" s="205"/>
      <c r="DF37" s="202"/>
      <c r="DG37" s="203"/>
      <c r="DH37" s="204"/>
      <c r="DI37" s="204"/>
      <c r="DJ37" s="204"/>
      <c r="DK37" s="204"/>
      <c r="DL37" s="204"/>
      <c r="DM37" s="204"/>
      <c r="DN37" s="204"/>
      <c r="DO37" s="205"/>
      <c r="DP37" s="202"/>
      <c r="DQ37" s="203"/>
      <c r="DR37" s="204"/>
      <c r="DS37" s="204"/>
      <c r="DT37" s="204"/>
      <c r="DU37" s="204"/>
      <c r="DV37" s="204"/>
      <c r="DW37" s="204"/>
      <c r="DX37" s="204"/>
      <c r="DY37" s="205"/>
      <c r="DZ37" s="202"/>
      <c r="EA37" s="203"/>
      <c r="EB37" s="204"/>
      <c r="EC37" s="204"/>
      <c r="ED37" s="204"/>
      <c r="EE37" s="204"/>
      <c r="EF37" s="204"/>
      <c r="EG37" s="204"/>
      <c r="EH37" s="204"/>
      <c r="EI37" s="205"/>
      <c r="EJ37" s="202"/>
      <c r="EK37" s="203"/>
      <c r="EL37" s="204"/>
      <c r="EM37" s="204"/>
      <c r="EN37" s="204"/>
      <c r="EO37" s="204"/>
      <c r="EP37" s="204"/>
      <c r="EQ37" s="204"/>
      <c r="ER37" s="204"/>
      <c r="ES37" s="205"/>
      <c r="ET37" s="202"/>
      <c r="EU37" s="203"/>
      <c r="EV37" s="204"/>
      <c r="EW37" s="204"/>
      <c r="EX37" s="204"/>
      <c r="EY37" s="204"/>
      <c r="EZ37" s="204"/>
      <c r="FA37" s="204"/>
      <c r="FB37" s="204"/>
      <c r="FC37" s="205"/>
      <c r="FD37" s="31"/>
      <c r="FE37" s="31"/>
      <c r="FF37" s="32"/>
      <c r="FG37" s="32"/>
      <c r="FH37" s="32"/>
      <c r="FI37" s="32"/>
      <c r="FJ37" s="32"/>
      <c r="FK37" s="32"/>
      <c r="FL37" s="31"/>
      <c r="FM37" s="31"/>
      <c r="FN37" s="31"/>
      <c r="FO37" s="31"/>
      <c r="FP37" s="31"/>
      <c r="FQ37" s="31"/>
      <c r="FR37" s="31"/>
      <c r="FS37" s="31"/>
      <c r="FT37" s="31"/>
      <c r="FU37" s="31"/>
      <c r="FV37" s="31"/>
      <c r="FW37" s="31"/>
      <c r="FX37" s="31"/>
      <c r="FY37" s="31"/>
      <c r="FZ37" s="32"/>
      <c r="GA37" s="32"/>
      <c r="GB37" s="32"/>
      <c r="GC37" s="32"/>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2"/>
      <c r="HE37" s="32"/>
      <c r="HF37" s="32"/>
      <c r="HG37" s="32"/>
      <c r="HH37" s="32"/>
      <c r="HI37" s="32"/>
      <c r="HJ37" s="32"/>
      <c r="HK37" s="32"/>
      <c r="HL37" s="32"/>
      <c r="HM37" s="32"/>
      <c r="HN37" s="32"/>
      <c r="HO37" s="32"/>
      <c r="HP37" s="32"/>
      <c r="HQ37" s="32"/>
      <c r="HR37" s="32"/>
      <c r="HS37" s="32"/>
      <c r="HT37" s="32"/>
      <c r="HU37" s="32"/>
      <c r="HV37" s="31"/>
      <c r="HW37" s="31"/>
      <c r="HX37" s="32"/>
      <c r="HY37" s="32"/>
      <c r="HZ37" s="32"/>
      <c r="IA37" s="32"/>
      <c r="IB37" s="32"/>
      <c r="IC37" s="32"/>
      <c r="ID37" s="33"/>
      <c r="IE37" s="33"/>
      <c r="IF37" s="263"/>
      <c r="IG37" s="25">
        <v>15</v>
      </c>
      <c r="IH37" s="26">
        <v>2.0099999999999998</v>
      </c>
      <c r="II37" s="26">
        <v>2.0099999999999998</v>
      </c>
      <c r="IJ37" s="26">
        <v>1.6274379874353748</v>
      </c>
      <c r="IK37" s="26">
        <v>1</v>
      </c>
      <c r="IL37" s="26">
        <v>1</v>
      </c>
      <c r="IM37" s="26">
        <v>1.125</v>
      </c>
      <c r="IN37" s="8"/>
    </row>
    <row r="38" spans="1:248" ht="15.75" thickBot="1" x14ac:dyDescent="0.3">
      <c r="B38" s="66"/>
      <c r="C38" s="64"/>
      <c r="D38" s="64"/>
      <c r="E38" s="64"/>
      <c r="F38" s="64"/>
      <c r="G38" s="64"/>
      <c r="H38" s="64"/>
      <c r="I38" s="64"/>
      <c r="J38" s="64"/>
      <c r="K38" s="64"/>
      <c r="L38" s="64"/>
      <c r="M38" s="64"/>
      <c r="N38" s="64"/>
      <c r="O38" s="64"/>
      <c r="P38" s="64"/>
      <c r="Q38" s="64"/>
      <c r="R38" s="64"/>
      <c r="S38" s="64"/>
      <c r="T38" s="64"/>
      <c r="U38" s="64"/>
      <c r="V38" s="64"/>
      <c r="W38" s="64"/>
      <c r="X38" s="65"/>
      <c r="AA38" s="83"/>
      <c r="AT38" s="4"/>
      <c r="AU38" s="27">
        <f t="shared" si="116"/>
        <v>108</v>
      </c>
      <c r="AV38" s="28" t="str">
        <f t="shared" si="82"/>
        <v>(2750)</v>
      </c>
      <c r="AW38" s="19">
        <f t="shared" si="117"/>
        <v>24</v>
      </c>
      <c r="AX38" s="202"/>
      <c r="AY38" s="203"/>
      <c r="AZ38" s="204"/>
      <c r="BA38" s="204"/>
      <c r="BB38" s="204"/>
      <c r="BC38" s="204"/>
      <c r="BD38" s="204"/>
      <c r="BE38" s="204"/>
      <c r="BF38" s="204"/>
      <c r="BG38" s="205"/>
      <c r="BH38" s="202"/>
      <c r="BI38" s="203"/>
      <c r="BJ38" s="204"/>
      <c r="BK38" s="204"/>
      <c r="BL38" s="204"/>
      <c r="BM38" s="204"/>
      <c r="BN38" s="204"/>
      <c r="BO38" s="204"/>
      <c r="BP38" s="204"/>
      <c r="BQ38" s="205"/>
      <c r="BR38" s="202"/>
      <c r="BS38" s="203"/>
      <c r="BT38" s="204"/>
      <c r="BU38" s="204"/>
      <c r="BV38" s="204"/>
      <c r="BW38" s="204"/>
      <c r="BX38" s="204"/>
      <c r="BY38" s="204"/>
      <c r="BZ38" s="204"/>
      <c r="CA38" s="205"/>
      <c r="CB38" s="202"/>
      <c r="CC38" s="203"/>
      <c r="CD38" s="204"/>
      <c r="CE38" s="204"/>
      <c r="CF38" s="204"/>
      <c r="CG38" s="204"/>
      <c r="CH38" s="204"/>
      <c r="CI38" s="204"/>
      <c r="CJ38" s="204"/>
      <c r="CK38" s="205"/>
      <c r="CL38" s="202"/>
      <c r="CM38" s="203"/>
      <c r="CN38" s="204"/>
      <c r="CO38" s="204"/>
      <c r="CP38" s="204"/>
      <c r="CQ38" s="204"/>
      <c r="CR38" s="204"/>
      <c r="CS38" s="204"/>
      <c r="CT38" s="204"/>
      <c r="CU38" s="205"/>
      <c r="CV38" s="202"/>
      <c r="CW38" s="203"/>
      <c r="CX38" s="204"/>
      <c r="CY38" s="204"/>
      <c r="CZ38" s="204"/>
      <c r="DA38" s="204"/>
      <c r="DB38" s="204"/>
      <c r="DC38" s="204"/>
      <c r="DD38" s="204"/>
      <c r="DE38" s="205"/>
      <c r="DF38" s="202"/>
      <c r="DG38" s="203"/>
      <c r="DH38" s="204"/>
      <c r="DI38" s="204"/>
      <c r="DJ38" s="204"/>
      <c r="DK38" s="204"/>
      <c r="DL38" s="204"/>
      <c r="DM38" s="204"/>
      <c r="DN38" s="204"/>
      <c r="DO38" s="205"/>
      <c r="DP38" s="202"/>
      <c r="DQ38" s="203"/>
      <c r="DR38" s="204"/>
      <c r="DS38" s="204"/>
      <c r="DT38" s="204"/>
      <c r="DU38" s="204"/>
      <c r="DV38" s="204"/>
      <c r="DW38" s="204"/>
      <c r="DX38" s="204"/>
      <c r="DY38" s="205"/>
      <c r="DZ38" s="202"/>
      <c r="EA38" s="203"/>
      <c r="EB38" s="204"/>
      <c r="EC38" s="204"/>
      <c r="ED38" s="204"/>
      <c r="EE38" s="204"/>
      <c r="EF38" s="204"/>
      <c r="EG38" s="204"/>
      <c r="EH38" s="204"/>
      <c r="EI38" s="205"/>
      <c r="EJ38" s="202"/>
      <c r="EK38" s="203"/>
      <c r="EL38" s="204"/>
      <c r="EM38" s="204"/>
      <c r="EN38" s="204"/>
      <c r="EO38" s="204"/>
      <c r="EP38" s="204"/>
      <c r="EQ38" s="204"/>
      <c r="ER38" s="204"/>
      <c r="ES38" s="205"/>
      <c r="ET38" s="202"/>
      <c r="EU38" s="203"/>
      <c r="EV38" s="204"/>
      <c r="EW38" s="204"/>
      <c r="EX38" s="204"/>
      <c r="EY38" s="204"/>
      <c r="EZ38" s="204"/>
      <c r="FA38" s="204"/>
      <c r="FB38" s="204"/>
      <c r="FC38" s="205"/>
      <c r="FD38" s="31"/>
      <c r="FE38" s="31"/>
      <c r="FF38" s="32"/>
      <c r="FG38" s="32"/>
      <c r="FH38" s="32"/>
      <c r="FI38" s="32"/>
      <c r="FJ38" s="32"/>
      <c r="FK38" s="32"/>
      <c r="FL38" s="31"/>
      <c r="FM38" s="31"/>
      <c r="FN38" s="31"/>
      <c r="FO38" s="31"/>
      <c r="FP38" s="31"/>
      <c r="FQ38" s="31"/>
      <c r="FR38" s="31"/>
      <c r="FS38" s="31"/>
      <c r="FT38" s="31"/>
      <c r="FU38" s="31"/>
      <c r="FV38" s="31"/>
      <c r="FW38" s="31"/>
      <c r="FX38" s="31"/>
      <c r="FY38" s="31"/>
      <c r="FZ38" s="32"/>
      <c r="GA38" s="32"/>
      <c r="GB38" s="32"/>
      <c r="GC38" s="32"/>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2"/>
      <c r="HE38" s="32"/>
      <c r="HF38" s="32"/>
      <c r="HG38" s="32"/>
      <c r="HH38" s="32"/>
      <c r="HI38" s="32"/>
      <c r="HJ38" s="32"/>
      <c r="HK38" s="32"/>
      <c r="HL38" s="32"/>
      <c r="HM38" s="32"/>
      <c r="HN38" s="32"/>
      <c r="HO38" s="32"/>
      <c r="HP38" s="32"/>
      <c r="HQ38" s="32"/>
      <c r="HR38" s="32"/>
      <c r="HS38" s="32"/>
      <c r="HT38" s="32"/>
      <c r="HU38" s="32"/>
      <c r="HV38" s="31"/>
      <c r="HW38" s="31"/>
      <c r="HX38" s="32"/>
      <c r="HY38" s="32"/>
      <c r="HZ38" s="32"/>
      <c r="IA38" s="32"/>
      <c r="IB38" s="32"/>
      <c r="IC38" s="32"/>
      <c r="ID38" s="33"/>
      <c r="IE38" s="33"/>
      <c r="IF38" s="263"/>
      <c r="IG38" s="25">
        <v>16</v>
      </c>
      <c r="IH38" s="26">
        <v>2.0099999999999998</v>
      </c>
      <c r="II38" s="26">
        <v>2.0099999999999998</v>
      </c>
      <c r="IJ38" s="26">
        <v>1.6274379874353748</v>
      </c>
      <c r="IK38" s="26">
        <v>1</v>
      </c>
      <c r="IL38" s="26">
        <v>1</v>
      </c>
      <c r="IM38" s="26">
        <v>1.125</v>
      </c>
      <c r="IN38" s="8"/>
    </row>
    <row r="39" spans="1:248" ht="15.75" thickBot="1" x14ac:dyDescent="0.3">
      <c r="B39" s="66"/>
      <c r="C39" s="64"/>
      <c r="D39" s="64"/>
      <c r="E39" s="64"/>
      <c r="F39" s="64"/>
      <c r="G39" s="64"/>
      <c r="H39" s="64"/>
      <c r="I39" s="64"/>
      <c r="J39" s="64"/>
      <c r="K39" s="64"/>
      <c r="L39" s="64"/>
      <c r="M39" s="64"/>
      <c r="N39" s="64"/>
      <c r="O39" s="64"/>
      <c r="P39" s="64"/>
      <c r="Q39" s="64"/>
      <c r="R39" s="64"/>
      <c r="S39" s="64"/>
      <c r="T39" s="64"/>
      <c r="U39" s="64"/>
      <c r="V39" s="64"/>
      <c r="W39" s="64"/>
      <c r="X39" s="65"/>
      <c r="AT39" s="4"/>
      <c r="AU39" s="27">
        <f t="shared" si="116"/>
        <v>114</v>
      </c>
      <c r="AV39" s="28" t="str">
        <f t="shared" si="82"/>
        <v>(2900)</v>
      </c>
      <c r="AW39" s="19">
        <f t="shared" si="117"/>
        <v>25</v>
      </c>
      <c r="AX39" s="202"/>
      <c r="AY39" s="203"/>
      <c r="AZ39" s="204"/>
      <c r="BA39" s="204"/>
      <c r="BB39" s="204"/>
      <c r="BC39" s="204"/>
      <c r="BD39" s="204"/>
      <c r="BE39" s="204"/>
      <c r="BF39" s="204"/>
      <c r="BG39" s="205"/>
      <c r="BH39" s="202"/>
      <c r="BI39" s="203"/>
      <c r="BJ39" s="204"/>
      <c r="BK39" s="204"/>
      <c r="BL39" s="204"/>
      <c r="BM39" s="204"/>
      <c r="BN39" s="204"/>
      <c r="BO39" s="204"/>
      <c r="BP39" s="204"/>
      <c r="BQ39" s="205"/>
      <c r="BR39" s="202"/>
      <c r="BS39" s="203"/>
      <c r="BT39" s="204"/>
      <c r="BU39" s="204"/>
      <c r="BV39" s="204"/>
      <c r="BW39" s="204"/>
      <c r="BX39" s="204"/>
      <c r="BY39" s="204"/>
      <c r="BZ39" s="204"/>
      <c r="CA39" s="205"/>
      <c r="CB39" s="202"/>
      <c r="CC39" s="203"/>
      <c r="CD39" s="204"/>
      <c r="CE39" s="204"/>
      <c r="CF39" s="204"/>
      <c r="CG39" s="204"/>
      <c r="CH39" s="204"/>
      <c r="CI39" s="204"/>
      <c r="CJ39" s="204"/>
      <c r="CK39" s="205"/>
      <c r="CL39" s="202"/>
      <c r="CM39" s="203"/>
      <c r="CN39" s="204"/>
      <c r="CO39" s="204"/>
      <c r="CP39" s="204"/>
      <c r="CQ39" s="204"/>
      <c r="CR39" s="204"/>
      <c r="CS39" s="204"/>
      <c r="CT39" s="204"/>
      <c r="CU39" s="205"/>
      <c r="CV39" s="202"/>
      <c r="CW39" s="203"/>
      <c r="CX39" s="204"/>
      <c r="CY39" s="204"/>
      <c r="CZ39" s="204"/>
      <c r="DA39" s="204"/>
      <c r="DB39" s="204"/>
      <c r="DC39" s="204"/>
      <c r="DD39" s="204"/>
      <c r="DE39" s="205"/>
      <c r="DF39" s="202"/>
      <c r="DG39" s="203"/>
      <c r="DH39" s="204"/>
      <c r="DI39" s="204"/>
      <c r="DJ39" s="204"/>
      <c r="DK39" s="204"/>
      <c r="DL39" s="204"/>
      <c r="DM39" s="204"/>
      <c r="DN39" s="204"/>
      <c r="DO39" s="205"/>
      <c r="DP39" s="202"/>
      <c r="DQ39" s="203"/>
      <c r="DR39" s="204"/>
      <c r="DS39" s="204"/>
      <c r="DT39" s="204"/>
      <c r="DU39" s="204"/>
      <c r="DV39" s="204"/>
      <c r="DW39" s="204"/>
      <c r="DX39" s="204"/>
      <c r="DY39" s="205"/>
      <c r="DZ39" s="202"/>
      <c r="EA39" s="203"/>
      <c r="EB39" s="204"/>
      <c r="EC39" s="204"/>
      <c r="ED39" s="204"/>
      <c r="EE39" s="204"/>
      <c r="EF39" s="204"/>
      <c r="EG39" s="204"/>
      <c r="EH39" s="204"/>
      <c r="EI39" s="205"/>
      <c r="EJ39" s="202"/>
      <c r="EK39" s="203"/>
      <c r="EL39" s="204"/>
      <c r="EM39" s="204"/>
      <c r="EN39" s="204"/>
      <c r="EO39" s="204"/>
      <c r="EP39" s="204"/>
      <c r="EQ39" s="204"/>
      <c r="ER39" s="204"/>
      <c r="ES39" s="205"/>
      <c r="ET39" s="202"/>
      <c r="EU39" s="203"/>
      <c r="EV39" s="204"/>
      <c r="EW39" s="204"/>
      <c r="EX39" s="204"/>
      <c r="EY39" s="204"/>
      <c r="EZ39" s="204"/>
      <c r="FA39" s="204"/>
      <c r="FB39" s="204"/>
      <c r="FC39" s="205"/>
      <c r="FD39" s="31"/>
      <c r="FE39" s="31"/>
      <c r="FF39" s="32"/>
      <c r="FG39" s="32"/>
      <c r="FH39" s="32"/>
      <c r="FI39" s="32"/>
      <c r="FJ39" s="32"/>
      <c r="FK39" s="32"/>
      <c r="FL39" s="6"/>
      <c r="FM39" s="6"/>
      <c r="FN39" s="6"/>
      <c r="FO39" s="6"/>
      <c r="FP39" s="6"/>
      <c r="FQ39" s="6"/>
      <c r="FR39" s="6"/>
      <c r="FS39" s="6"/>
      <c r="FT39" s="6"/>
      <c r="FU39" s="6"/>
      <c r="FV39" s="6"/>
      <c r="FW39" s="6"/>
      <c r="FX39" s="31"/>
      <c r="FY39" s="31"/>
      <c r="FZ39" s="32"/>
      <c r="GA39" s="32"/>
      <c r="GB39" s="32"/>
      <c r="GC39" s="32"/>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2"/>
      <c r="HE39" s="32"/>
      <c r="HF39" s="32"/>
      <c r="HG39" s="32"/>
      <c r="HH39" s="32"/>
      <c r="HI39" s="32"/>
      <c r="HJ39" s="32"/>
      <c r="HK39" s="32"/>
      <c r="HL39" s="32"/>
      <c r="HM39" s="32"/>
      <c r="HN39" s="32"/>
      <c r="HO39" s="32"/>
      <c r="HP39" s="32"/>
      <c r="HQ39" s="32"/>
      <c r="HR39" s="32"/>
      <c r="HS39" s="32"/>
      <c r="HT39" s="32"/>
      <c r="HU39" s="32"/>
      <c r="HV39" s="31"/>
      <c r="HW39" s="31"/>
      <c r="HX39" s="32"/>
      <c r="HY39" s="32"/>
      <c r="HZ39" s="32"/>
      <c r="IA39" s="32"/>
      <c r="IB39" s="32"/>
      <c r="IC39" s="32"/>
      <c r="ID39" s="33"/>
      <c r="IE39" s="33"/>
      <c r="IF39" s="263"/>
      <c r="IG39" s="25">
        <v>17</v>
      </c>
      <c r="IH39" s="26">
        <v>2.0099999999999998</v>
      </c>
      <c r="II39" s="26">
        <v>2.0099999999999998</v>
      </c>
      <c r="IJ39" s="26">
        <v>1.6274379874353748</v>
      </c>
      <c r="IK39" s="26">
        <v>1</v>
      </c>
      <c r="IL39" s="26">
        <v>1</v>
      </c>
      <c r="IM39" s="26">
        <v>1.125</v>
      </c>
      <c r="IN39" s="8"/>
    </row>
    <row r="40" spans="1:248" ht="15.75" thickBot="1" x14ac:dyDescent="0.3">
      <c r="B40" s="67"/>
      <c r="C40" s="68"/>
      <c r="D40" s="68"/>
      <c r="E40" s="68"/>
      <c r="F40" s="68"/>
      <c r="G40" s="68"/>
      <c r="H40" s="68"/>
      <c r="I40" s="68"/>
      <c r="J40" s="68"/>
      <c r="K40" s="68"/>
      <c r="L40" s="68"/>
      <c r="M40" s="68"/>
      <c r="N40" s="68"/>
      <c r="O40" s="68"/>
      <c r="P40" s="68"/>
      <c r="Q40" s="68"/>
      <c r="R40" s="68"/>
      <c r="S40" s="68"/>
      <c r="T40" s="68"/>
      <c r="U40" s="68"/>
      <c r="V40" s="68"/>
      <c r="W40" s="68"/>
      <c r="X40" s="69"/>
      <c r="AT40" s="4"/>
      <c r="AU40" s="27">
        <f t="shared" si="116"/>
        <v>120</v>
      </c>
      <c r="AV40" s="28" t="str">
        <f t="shared" si="82"/>
        <v>(3050)</v>
      </c>
      <c r="AW40" s="19">
        <f t="shared" si="117"/>
        <v>26</v>
      </c>
      <c r="AX40" s="202"/>
      <c r="AY40" s="203"/>
      <c r="AZ40" s="204"/>
      <c r="BA40" s="204"/>
      <c r="BB40" s="204"/>
      <c r="BC40" s="204"/>
      <c r="BD40" s="204"/>
      <c r="BE40" s="204"/>
      <c r="BF40" s="204"/>
      <c r="BG40" s="205"/>
      <c r="BH40" s="202"/>
      <c r="BI40" s="203"/>
      <c r="BJ40" s="204"/>
      <c r="BK40" s="204"/>
      <c r="BL40" s="204"/>
      <c r="BM40" s="204"/>
      <c r="BN40" s="204"/>
      <c r="BO40" s="204"/>
      <c r="BP40" s="204"/>
      <c r="BQ40" s="205"/>
      <c r="BR40" s="202"/>
      <c r="BS40" s="203"/>
      <c r="BT40" s="204"/>
      <c r="BU40" s="204"/>
      <c r="BV40" s="204"/>
      <c r="BW40" s="204"/>
      <c r="BX40" s="204"/>
      <c r="BY40" s="204"/>
      <c r="BZ40" s="204"/>
      <c r="CA40" s="205"/>
      <c r="CB40" s="202"/>
      <c r="CC40" s="203"/>
      <c r="CD40" s="204"/>
      <c r="CE40" s="204"/>
      <c r="CF40" s="204"/>
      <c r="CG40" s="204"/>
      <c r="CH40" s="204"/>
      <c r="CI40" s="204"/>
      <c r="CJ40" s="204"/>
      <c r="CK40" s="205"/>
      <c r="CL40" s="202"/>
      <c r="CM40" s="203"/>
      <c r="CN40" s="204"/>
      <c r="CO40" s="204"/>
      <c r="CP40" s="204"/>
      <c r="CQ40" s="204"/>
      <c r="CR40" s="204"/>
      <c r="CS40" s="204"/>
      <c r="CT40" s="204"/>
      <c r="CU40" s="205"/>
      <c r="CV40" s="202"/>
      <c r="CW40" s="203"/>
      <c r="CX40" s="204"/>
      <c r="CY40" s="204"/>
      <c r="CZ40" s="204"/>
      <c r="DA40" s="204"/>
      <c r="DB40" s="204"/>
      <c r="DC40" s="204"/>
      <c r="DD40" s="204"/>
      <c r="DE40" s="205"/>
      <c r="DF40" s="202"/>
      <c r="DG40" s="203"/>
      <c r="DH40" s="204"/>
      <c r="DI40" s="204"/>
      <c r="DJ40" s="204"/>
      <c r="DK40" s="204"/>
      <c r="DL40" s="204"/>
      <c r="DM40" s="204"/>
      <c r="DN40" s="204"/>
      <c r="DO40" s="205"/>
      <c r="DP40" s="202"/>
      <c r="DQ40" s="203"/>
      <c r="DR40" s="204"/>
      <c r="DS40" s="204"/>
      <c r="DT40" s="204"/>
      <c r="DU40" s="204"/>
      <c r="DV40" s="204"/>
      <c r="DW40" s="204"/>
      <c r="DX40" s="204"/>
      <c r="DY40" s="205"/>
      <c r="DZ40" s="202"/>
      <c r="EA40" s="203"/>
      <c r="EB40" s="204"/>
      <c r="EC40" s="204"/>
      <c r="ED40" s="204"/>
      <c r="EE40" s="204"/>
      <c r="EF40" s="204"/>
      <c r="EG40" s="204"/>
      <c r="EH40" s="204"/>
      <c r="EI40" s="205"/>
      <c r="EJ40" s="202"/>
      <c r="EK40" s="203"/>
      <c r="EL40" s="204"/>
      <c r="EM40" s="204"/>
      <c r="EN40" s="204"/>
      <c r="EO40" s="204"/>
      <c r="EP40" s="204"/>
      <c r="EQ40" s="204"/>
      <c r="ER40" s="204"/>
      <c r="ES40" s="205"/>
      <c r="ET40" s="202"/>
      <c r="EU40" s="203"/>
      <c r="EV40" s="204"/>
      <c r="EW40" s="204"/>
      <c r="EX40" s="204"/>
      <c r="EY40" s="204"/>
      <c r="EZ40" s="204"/>
      <c r="FA40" s="204"/>
      <c r="FB40" s="204"/>
      <c r="FC40" s="205"/>
      <c r="FD40" s="31"/>
      <c r="FE40" s="31"/>
      <c r="FF40" s="32"/>
      <c r="FG40" s="32"/>
      <c r="FH40" s="34"/>
      <c r="FI40" s="32"/>
      <c r="FJ40" s="34"/>
      <c r="FK40" s="32"/>
      <c r="FL40" s="31"/>
      <c r="FM40" s="31"/>
      <c r="FN40" s="31"/>
      <c r="FO40" s="31"/>
      <c r="FP40" s="31"/>
      <c r="FQ40" s="31"/>
      <c r="FR40" s="31"/>
      <c r="FS40" s="31"/>
      <c r="FT40" s="31"/>
      <c r="FU40" s="31"/>
      <c r="FV40" s="31"/>
      <c r="FW40" s="31"/>
      <c r="FX40" s="31"/>
      <c r="FY40" s="31"/>
      <c r="FZ40" s="32"/>
      <c r="GA40" s="32"/>
      <c r="GB40" s="34"/>
      <c r="GC40" s="32"/>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2"/>
      <c r="HE40" s="32"/>
      <c r="HF40" s="34"/>
      <c r="HG40" s="32"/>
      <c r="HH40" s="32"/>
      <c r="HI40" s="32"/>
      <c r="HJ40" s="32"/>
      <c r="HK40" s="32"/>
      <c r="HL40" s="32"/>
      <c r="HM40" s="32"/>
      <c r="HN40" s="32"/>
      <c r="HO40" s="32"/>
      <c r="HP40" s="32"/>
      <c r="HQ40" s="32"/>
      <c r="HR40" s="32"/>
      <c r="HS40" s="32"/>
      <c r="HT40" s="32"/>
      <c r="HU40" s="32"/>
      <c r="HV40" s="31"/>
      <c r="HW40" s="31"/>
      <c r="HX40" s="32"/>
      <c r="HY40" s="32"/>
      <c r="HZ40" s="34"/>
      <c r="IA40" s="32"/>
      <c r="IB40" s="32"/>
      <c r="IC40" s="32"/>
      <c r="ID40" s="33"/>
      <c r="IE40" s="33"/>
      <c r="IF40" s="263"/>
      <c r="IG40" s="25">
        <v>18</v>
      </c>
      <c r="IH40" s="26">
        <v>2.0099999999999998</v>
      </c>
      <c r="II40" s="26">
        <v>2.0099999999999998</v>
      </c>
      <c r="IJ40" s="26">
        <v>1.6274379874353748</v>
      </c>
      <c r="IK40" s="26">
        <v>1</v>
      </c>
      <c r="IL40" s="26">
        <v>1</v>
      </c>
      <c r="IM40" s="26">
        <v>1.125</v>
      </c>
      <c r="IN40" s="8"/>
    </row>
    <row r="41" spans="1:248" ht="15.75" thickBot="1" x14ac:dyDescent="0.3">
      <c r="AT41" s="35"/>
      <c r="AU41" s="36"/>
      <c r="AV41" s="36"/>
      <c r="AW41" s="36"/>
      <c r="AX41" s="37"/>
      <c r="AY41" s="38"/>
      <c r="AZ41" s="38"/>
      <c r="BA41" s="38"/>
      <c r="BB41" s="38"/>
      <c r="BC41" s="340"/>
      <c r="BD41" s="340"/>
      <c r="BE41" s="340"/>
      <c r="BF41" s="340"/>
      <c r="BG41" s="340"/>
      <c r="BH41" s="350"/>
      <c r="BI41" s="340"/>
      <c r="BJ41" s="340"/>
      <c r="BK41" s="340"/>
      <c r="BL41" s="340"/>
      <c r="BM41" s="340"/>
      <c r="BN41" s="340"/>
      <c r="BO41" s="340"/>
      <c r="BP41" s="340"/>
      <c r="BQ41" s="340"/>
      <c r="BR41" s="350"/>
      <c r="BS41" s="340"/>
      <c r="BT41" s="340"/>
      <c r="BU41" s="340"/>
      <c r="BV41" s="340"/>
      <c r="BW41" s="340"/>
      <c r="BX41" s="340"/>
      <c r="BY41" s="340"/>
      <c r="BZ41" s="340"/>
      <c r="CA41" s="340"/>
      <c r="CB41" s="350"/>
      <c r="CC41" s="340"/>
      <c r="CD41" s="340"/>
      <c r="CE41" s="340"/>
      <c r="CF41" s="340"/>
      <c r="CG41" s="340"/>
      <c r="CH41" s="340"/>
      <c r="CI41" s="340"/>
      <c r="CJ41" s="340"/>
      <c r="CK41" s="340"/>
      <c r="CL41" s="350"/>
      <c r="CM41" s="340"/>
      <c r="CN41" s="340"/>
      <c r="CO41" s="340"/>
      <c r="CP41" s="340"/>
      <c r="CQ41" s="340"/>
      <c r="CR41" s="340"/>
      <c r="CS41" s="340"/>
      <c r="CT41" s="340"/>
      <c r="CU41" s="340"/>
      <c r="CV41" s="350"/>
      <c r="CW41" s="340"/>
      <c r="CX41" s="340"/>
      <c r="CY41" s="340"/>
      <c r="CZ41" s="340"/>
      <c r="DA41" s="340"/>
      <c r="DB41" s="340"/>
      <c r="DC41" s="340"/>
      <c r="DD41" s="340"/>
      <c r="DE41" s="340"/>
      <c r="DF41" s="37"/>
      <c r="DG41" s="38"/>
      <c r="DH41" s="38"/>
      <c r="DI41" s="38"/>
      <c r="DJ41" s="38"/>
      <c r="DK41" s="38"/>
      <c r="DL41" s="38"/>
      <c r="DM41" s="38"/>
      <c r="DN41" s="38"/>
      <c r="DO41" s="38"/>
      <c r="DP41" s="37"/>
      <c r="DQ41" s="38"/>
      <c r="DR41" s="38"/>
      <c r="DS41" s="38"/>
      <c r="DT41" s="38"/>
      <c r="DU41" s="38"/>
      <c r="DV41" s="38"/>
      <c r="DW41" s="38"/>
      <c r="DX41" s="38"/>
      <c r="DY41" s="38"/>
      <c r="DZ41" s="37"/>
      <c r="EA41" s="38"/>
      <c r="EB41" s="38"/>
      <c r="EC41" s="38"/>
      <c r="ED41" s="38"/>
      <c r="EE41" s="38"/>
      <c r="EF41" s="38"/>
      <c r="EG41" s="38"/>
      <c r="EH41" s="38"/>
      <c r="EI41" s="38"/>
      <c r="EJ41" s="37"/>
      <c r="EK41" s="38"/>
      <c r="EL41" s="38"/>
      <c r="EM41" s="38"/>
      <c r="EN41" s="38"/>
      <c r="EO41" s="38"/>
      <c r="EP41" s="38"/>
      <c r="EQ41" s="38"/>
      <c r="ER41" s="38"/>
      <c r="ES41" s="38"/>
      <c r="ET41" s="37"/>
      <c r="EU41" s="38"/>
      <c r="EV41" s="38"/>
      <c r="EW41" s="38"/>
      <c r="EX41" s="38"/>
      <c r="EY41" s="38"/>
      <c r="EZ41" s="38"/>
      <c r="FA41" s="38"/>
      <c r="FB41" s="38"/>
      <c r="FC41" s="38"/>
      <c r="FD41" s="37"/>
      <c r="FE41" s="38"/>
      <c r="FF41" s="38"/>
      <c r="FG41" s="38"/>
      <c r="FH41" s="38"/>
      <c r="FI41" s="38"/>
      <c r="FJ41" s="38"/>
      <c r="FK41" s="38"/>
      <c r="FL41" s="268"/>
      <c r="FM41" s="268"/>
      <c r="FN41" s="268"/>
      <c r="FO41" s="268"/>
      <c r="FP41" s="268"/>
      <c r="FQ41" s="268"/>
      <c r="FR41" s="268"/>
      <c r="FS41" s="268"/>
      <c r="FT41" s="268"/>
      <c r="FU41" s="268"/>
      <c r="FV41" s="268"/>
      <c r="FW41" s="268"/>
      <c r="FX41" s="37"/>
      <c r="FY41" s="38"/>
      <c r="FZ41" s="38"/>
      <c r="GA41" s="38"/>
      <c r="GB41" s="38"/>
      <c r="GC41" s="3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37"/>
      <c r="HC41" s="38"/>
      <c r="HD41" s="38"/>
      <c r="HE41" s="38"/>
      <c r="HF41" s="38"/>
      <c r="HG41" s="38"/>
      <c r="HH41" s="38"/>
      <c r="HI41" s="38"/>
      <c r="HJ41" s="269"/>
      <c r="HK41" s="269"/>
      <c r="HL41" s="269"/>
      <c r="HM41" s="269"/>
      <c r="HN41" s="269"/>
      <c r="HO41" s="269"/>
      <c r="HP41" s="269"/>
      <c r="HQ41" s="269"/>
      <c r="HR41" s="269"/>
      <c r="HS41" s="269"/>
      <c r="HT41" s="269"/>
      <c r="HU41" s="269"/>
      <c r="HV41" s="37"/>
      <c r="HW41" s="38"/>
      <c r="HX41" s="38"/>
      <c r="HY41" s="38"/>
      <c r="HZ41" s="38"/>
      <c r="IA41" s="38"/>
      <c r="IB41" s="38"/>
      <c r="IC41" s="38"/>
      <c r="ID41" s="36"/>
      <c r="IE41" s="36"/>
      <c r="IF41" s="36"/>
      <c r="IG41" s="36"/>
      <c r="IH41" s="36"/>
      <c r="II41" s="36"/>
      <c r="IJ41" s="36"/>
      <c r="IK41" s="36"/>
      <c r="IL41" s="36"/>
      <c r="IM41" s="36"/>
      <c r="IN41" s="39"/>
    </row>
    <row r="42" spans="1:248" ht="15.75" thickTop="1" x14ac:dyDescent="0.25">
      <c r="AG42" s="178"/>
    </row>
    <row r="43" spans="1:248" ht="15.75" thickBot="1" x14ac:dyDescent="0.3"/>
    <row r="44" spans="1:24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1"/>
      <c r="CR44" s="74"/>
    </row>
    <row r="45" spans="1:248" ht="19.5" thickBot="1" x14ac:dyDescent="0.35">
      <c r="A45" s="3"/>
      <c r="B45" s="320" t="s">
        <v>41</v>
      </c>
      <c r="C45" s="147" t="e">
        <f>C9</f>
        <v>#VALUE!</v>
      </c>
      <c r="D45" s="73"/>
      <c r="E45" s="73"/>
      <c r="F45" s="73"/>
      <c r="G45" s="73"/>
      <c r="H45" s="73"/>
      <c r="I45" s="73"/>
      <c r="J45" s="73"/>
      <c r="K45" s="73"/>
      <c r="L45" s="273"/>
      <c r="N45" s="879" t="s">
        <v>191</v>
      </c>
      <c r="O45" s="151"/>
      <c r="P45" s="95"/>
      <c r="Q45" s="251">
        <v>12</v>
      </c>
      <c r="R45" s="157">
        <f t="shared" ref="R45:AI45" si="120">Q45+6</f>
        <v>18</v>
      </c>
      <c r="S45" s="157">
        <f t="shared" si="120"/>
        <v>24</v>
      </c>
      <c r="T45" s="157">
        <f t="shared" si="120"/>
        <v>30</v>
      </c>
      <c r="U45" s="157">
        <f t="shared" si="120"/>
        <v>36</v>
      </c>
      <c r="V45" s="157">
        <f t="shared" si="120"/>
        <v>42</v>
      </c>
      <c r="W45" s="157">
        <f t="shared" si="120"/>
        <v>48</v>
      </c>
      <c r="X45" s="157">
        <f t="shared" si="120"/>
        <v>54</v>
      </c>
      <c r="Y45" s="157">
        <f t="shared" si="120"/>
        <v>60</v>
      </c>
      <c r="Z45" s="157">
        <f t="shared" si="120"/>
        <v>66</v>
      </c>
      <c r="AA45" s="157">
        <f t="shared" si="120"/>
        <v>72</v>
      </c>
      <c r="AB45" s="157">
        <f t="shared" si="120"/>
        <v>78</v>
      </c>
      <c r="AC45" s="157">
        <f t="shared" si="120"/>
        <v>84</v>
      </c>
      <c r="AD45" s="157">
        <f t="shared" si="120"/>
        <v>90</v>
      </c>
      <c r="AE45" s="157">
        <f t="shared" si="120"/>
        <v>96</v>
      </c>
      <c r="AF45" s="157">
        <f t="shared" si="120"/>
        <v>102</v>
      </c>
      <c r="AG45" s="157">
        <f t="shared" si="120"/>
        <v>108</v>
      </c>
      <c r="AH45" s="157">
        <f t="shared" si="120"/>
        <v>114</v>
      </c>
      <c r="AI45" s="157">
        <f t="shared" si="120"/>
        <v>120</v>
      </c>
      <c r="AJ45" s="150"/>
      <c r="AK45" s="150"/>
      <c r="AL45" s="150"/>
      <c r="AM45" s="150"/>
      <c r="AN45" s="150"/>
      <c r="AO45" s="150"/>
      <c r="AP45" s="158"/>
    </row>
    <row r="46" spans="1:248" ht="18.75" customHeight="1" thickBot="1" x14ac:dyDescent="0.35">
      <c r="A46" s="3"/>
      <c r="B46" s="110" t="s">
        <v>42</v>
      </c>
      <c r="C46" s="148" t="e">
        <f>F9</f>
        <v>#VALUE!</v>
      </c>
      <c r="E46" s="71"/>
      <c r="F46" s="71"/>
      <c r="G46" s="71"/>
      <c r="H46" s="71"/>
      <c r="I46" s="71"/>
      <c r="J46" s="71"/>
      <c r="K46" s="71"/>
      <c r="L46" s="75"/>
      <c r="N46" s="880"/>
      <c r="O46" s="67"/>
      <c r="P46" s="69">
        <v>1</v>
      </c>
      <c r="Q46" s="357">
        <v>2</v>
      </c>
      <c r="R46" s="358">
        <v>3</v>
      </c>
      <c r="S46" s="358">
        <v>4</v>
      </c>
      <c r="T46" s="358">
        <v>5</v>
      </c>
      <c r="U46" s="358">
        <v>6</v>
      </c>
      <c r="V46" s="358">
        <v>7</v>
      </c>
      <c r="W46" s="358">
        <v>8</v>
      </c>
      <c r="X46" s="358">
        <v>9</v>
      </c>
      <c r="Y46" s="358">
        <v>10</v>
      </c>
      <c r="Z46" s="358">
        <v>11</v>
      </c>
      <c r="AA46" s="358">
        <v>12</v>
      </c>
      <c r="AB46" s="358">
        <v>13</v>
      </c>
      <c r="AC46" s="358">
        <v>14</v>
      </c>
      <c r="AD46" s="358">
        <v>15</v>
      </c>
      <c r="AE46" s="358">
        <v>16</v>
      </c>
      <c r="AF46" s="358">
        <v>17</v>
      </c>
      <c r="AG46" s="358">
        <v>18</v>
      </c>
      <c r="AH46" s="358">
        <v>19</v>
      </c>
      <c r="AI46" s="358">
        <v>20</v>
      </c>
      <c r="AJ46" s="68"/>
      <c r="AK46" s="68"/>
      <c r="AL46" s="68"/>
      <c r="AM46" s="68"/>
      <c r="AN46" s="68"/>
      <c r="AO46" s="68"/>
      <c r="AP46" s="69"/>
    </row>
    <row r="47" spans="1:248" ht="21.75" thickBot="1" x14ac:dyDescent="0.4">
      <c r="A47" s="3"/>
      <c r="B47" s="905" t="s">
        <v>77</v>
      </c>
      <c r="C47" s="906"/>
      <c r="D47" s="71"/>
      <c r="E47" s="71"/>
      <c r="F47" s="71"/>
      <c r="G47" s="71"/>
      <c r="H47" s="71"/>
      <c r="I47" s="71"/>
      <c r="J47" s="71"/>
      <c r="K47" s="71"/>
      <c r="L47" s="75"/>
      <c r="N47" s="297"/>
      <c r="O47" s="251">
        <f>F12</f>
        <v>16.75</v>
      </c>
      <c r="P47" s="158">
        <v>2</v>
      </c>
      <c r="Q47" s="353">
        <v>8.4600000000000009</v>
      </c>
      <c r="R47" s="354">
        <v>11.89</v>
      </c>
      <c r="S47" s="354">
        <v>15.32</v>
      </c>
      <c r="T47" s="354">
        <v>18.739999999999998</v>
      </c>
      <c r="U47" s="354">
        <v>22.17</v>
      </c>
      <c r="V47" s="354">
        <v>25.6</v>
      </c>
      <c r="W47" s="354">
        <v>29.03</v>
      </c>
      <c r="X47" s="354">
        <v>32.450000000000003</v>
      </c>
      <c r="Y47" s="354">
        <v>35.880000000000003</v>
      </c>
      <c r="Z47" s="354">
        <v>39.31</v>
      </c>
      <c r="AA47" s="354">
        <v>42.73</v>
      </c>
      <c r="AB47" s="338"/>
      <c r="AC47" s="338"/>
      <c r="AD47" s="338"/>
      <c r="AE47" s="338"/>
      <c r="AF47" s="338"/>
      <c r="AG47" s="338"/>
      <c r="AH47" s="338"/>
      <c r="AI47" s="338"/>
      <c r="AJ47" s="64"/>
      <c r="AK47" s="64"/>
      <c r="AL47" s="64"/>
      <c r="AM47" s="64"/>
      <c r="AN47" s="64"/>
      <c r="AO47" s="64"/>
      <c r="AP47" s="158"/>
    </row>
    <row r="48" spans="1:248" ht="15" customHeight="1" thickBot="1" x14ac:dyDescent="0.3">
      <c r="A48" s="3"/>
      <c r="B48" s="70"/>
      <c r="D48" s="71"/>
      <c r="E48" s="71"/>
      <c r="F48" s="71"/>
      <c r="G48" s="71"/>
      <c r="H48" s="71"/>
      <c r="I48" s="71"/>
      <c r="J48" s="71"/>
      <c r="K48" s="71"/>
      <c r="L48" s="75"/>
      <c r="N48" s="103">
        <v>3.43</v>
      </c>
      <c r="O48" s="162">
        <v>18</v>
      </c>
      <c r="P48" s="65">
        <v>3</v>
      </c>
      <c r="Q48" s="336">
        <v>8.7100000000000009</v>
      </c>
      <c r="R48" s="153">
        <v>12.14</v>
      </c>
      <c r="S48" s="153">
        <v>15.57</v>
      </c>
      <c r="T48" s="153">
        <f t="shared" ref="T48:AA61" si="121">S48+$N48</f>
        <v>19</v>
      </c>
      <c r="U48" s="153">
        <f t="shared" si="121"/>
        <v>22.43</v>
      </c>
      <c r="V48" s="153">
        <f t="shared" si="121"/>
        <v>25.86</v>
      </c>
      <c r="W48" s="153">
        <f t="shared" si="121"/>
        <v>29.29</v>
      </c>
      <c r="X48" s="153">
        <f t="shared" si="121"/>
        <v>32.72</v>
      </c>
      <c r="Y48" s="153">
        <f t="shared" si="121"/>
        <v>36.15</v>
      </c>
      <c r="Z48" s="153">
        <f t="shared" si="121"/>
        <v>39.58</v>
      </c>
      <c r="AA48" s="153">
        <f t="shared" si="121"/>
        <v>43.01</v>
      </c>
      <c r="AB48" s="206"/>
      <c r="AC48" s="206"/>
      <c r="AD48" s="206"/>
      <c r="AE48" s="206"/>
      <c r="AF48" s="206"/>
      <c r="AG48" s="206"/>
      <c r="AH48" s="206"/>
      <c r="AI48" s="206"/>
      <c r="AJ48" s="96"/>
      <c r="AK48" s="355"/>
      <c r="AL48" s="355" t="e">
        <f>D51</f>
        <v>#VALUE!</v>
      </c>
      <c r="AM48" s="356" t="e">
        <f>C45</f>
        <v>#VALUE!</v>
      </c>
      <c r="AN48" s="355" t="e">
        <f>E51</f>
        <v>#VALUE!</v>
      </c>
      <c r="AO48" s="64"/>
      <c r="AP48" s="65"/>
    </row>
    <row r="49" spans="1:58" ht="15" customHeight="1" thickBot="1" x14ac:dyDescent="0.3">
      <c r="A49" s="3"/>
      <c r="B49" s="70"/>
      <c r="C49" s="124"/>
      <c r="D49" s="125" t="s">
        <v>35</v>
      </c>
      <c r="E49" s="126"/>
      <c r="F49" s="126"/>
      <c r="G49" s="128"/>
      <c r="H49" s="125" t="s">
        <v>36</v>
      </c>
      <c r="I49" s="127"/>
      <c r="J49" s="71"/>
      <c r="K49" s="71"/>
      <c r="L49" s="75"/>
      <c r="N49" s="103">
        <v>4.47</v>
      </c>
      <c r="O49" s="162">
        <f t="shared" ref="O49:O65" si="122">O48+6</f>
        <v>24</v>
      </c>
      <c r="P49" s="65">
        <v>4</v>
      </c>
      <c r="Q49" s="336">
        <v>11.46</v>
      </c>
      <c r="R49" s="153">
        <v>15.93</v>
      </c>
      <c r="S49" s="153">
        <v>20.399999999999999</v>
      </c>
      <c r="T49" s="153">
        <f t="shared" si="121"/>
        <v>24.869999999999997</v>
      </c>
      <c r="U49" s="153">
        <f t="shared" si="121"/>
        <v>29.339999999999996</v>
      </c>
      <c r="V49" s="153">
        <f t="shared" si="121"/>
        <v>33.809999999999995</v>
      </c>
      <c r="W49" s="153">
        <f t="shared" si="121"/>
        <v>38.279999999999994</v>
      </c>
      <c r="X49" s="153">
        <f t="shared" si="121"/>
        <v>42.749999999999993</v>
      </c>
      <c r="Y49" s="153">
        <f t="shared" si="121"/>
        <v>47.219999999999992</v>
      </c>
      <c r="Z49" s="153">
        <f t="shared" si="121"/>
        <v>51.689999999999991</v>
      </c>
      <c r="AA49" s="153">
        <f t="shared" si="121"/>
        <v>56.159999999999989</v>
      </c>
      <c r="AB49" s="206"/>
      <c r="AC49" s="206"/>
      <c r="AD49" s="206"/>
      <c r="AE49" s="206"/>
      <c r="AF49" s="206"/>
      <c r="AG49" s="206"/>
      <c r="AH49" s="206"/>
      <c r="AI49" s="206"/>
      <c r="AJ49" s="64"/>
      <c r="AK49" s="154" t="e">
        <f>H51</f>
        <v>#VALUE!</v>
      </c>
      <c r="AL49" s="155" t="e">
        <f>INDEX(P46:AI65,$H$52,$D$52)</f>
        <v>#VALUE!</v>
      </c>
      <c r="AM49" s="155" t="e">
        <f>(((AM48-AL48)/(AN48-AL48))*(AN49-AL49))+AL49</f>
        <v>#VALUE!</v>
      </c>
      <c r="AN49" s="155" t="e">
        <f>INDEX(P46:AI65,$H$52,$E$52)</f>
        <v>#VALUE!</v>
      </c>
      <c r="AO49" s="64"/>
      <c r="AP49" s="65"/>
    </row>
    <row r="50" spans="1:58" ht="16.5" thickBot="1" x14ac:dyDescent="0.3">
      <c r="A50" s="3"/>
      <c r="B50" s="70"/>
      <c r="C50" s="120"/>
      <c r="D50" s="121" t="s">
        <v>78</v>
      </c>
      <c r="E50" s="122" t="s">
        <v>79</v>
      </c>
      <c r="F50" s="122"/>
      <c r="G50" s="129"/>
      <c r="H50" s="121" t="s">
        <v>78</v>
      </c>
      <c r="I50" s="123" t="s">
        <v>79</v>
      </c>
      <c r="J50" s="71"/>
      <c r="K50" s="71"/>
      <c r="L50" s="75"/>
      <c r="N50" s="103">
        <v>5.52</v>
      </c>
      <c r="O50" s="162">
        <f t="shared" si="122"/>
        <v>30</v>
      </c>
      <c r="P50" s="65">
        <v>5</v>
      </c>
      <c r="Q50" s="336">
        <v>14.2</v>
      </c>
      <c r="R50" s="153">
        <v>19.72</v>
      </c>
      <c r="S50" s="153">
        <v>25.24</v>
      </c>
      <c r="T50" s="153">
        <f t="shared" si="121"/>
        <v>30.759999999999998</v>
      </c>
      <c r="U50" s="153">
        <f t="shared" si="121"/>
        <v>36.28</v>
      </c>
      <c r="V50" s="153">
        <f t="shared" si="121"/>
        <v>41.8</v>
      </c>
      <c r="W50" s="153">
        <f t="shared" si="121"/>
        <v>47.319999999999993</v>
      </c>
      <c r="X50" s="153">
        <f t="shared" si="121"/>
        <v>52.839999999999989</v>
      </c>
      <c r="Y50" s="153">
        <f t="shared" si="121"/>
        <v>58.359999999999985</v>
      </c>
      <c r="Z50" s="153">
        <f t="shared" si="121"/>
        <v>63.879999999999981</v>
      </c>
      <c r="AA50" s="153">
        <f t="shared" si="121"/>
        <v>69.399999999999977</v>
      </c>
      <c r="AB50" s="206"/>
      <c r="AC50" s="206"/>
      <c r="AD50" s="206"/>
      <c r="AE50" s="206"/>
      <c r="AF50" s="206"/>
      <c r="AG50" s="206"/>
      <c r="AH50" s="206"/>
      <c r="AI50" s="206"/>
      <c r="AJ50" s="64"/>
      <c r="AK50" s="154" t="e">
        <f>C46</f>
        <v>#VALUE!</v>
      </c>
      <c r="AL50" s="155" t="e">
        <f>(((AK50-AK49)/(AK51-AK49))*(AL51-AL49))+AL49</f>
        <v>#VALUE!</v>
      </c>
      <c r="AM50" s="156" t="e">
        <f>IF(AND(AM48&gt;72,AK50&gt;72),5/0,IF(AM48=120,AL50,(((AM49-AL49)/(AN49-AL49))*(AN50-AL50))+AL50))</f>
        <v>#VALUE!</v>
      </c>
      <c r="AN50" s="155" t="e">
        <f>(((AK50-AK49)/(AK51-AK49))*(AN51-AN49))+AN49</f>
        <v>#VALUE!</v>
      </c>
      <c r="AO50" s="64"/>
      <c r="AP50" s="65"/>
    </row>
    <row r="51" spans="1:58" ht="16.5" thickBot="1" x14ac:dyDescent="0.3">
      <c r="A51" s="3"/>
      <c r="B51" s="70"/>
      <c r="C51" s="118"/>
      <c r="D51" s="116" t="e">
        <f>FLOOR(C45/6,1)*6</f>
        <v>#VALUE!</v>
      </c>
      <c r="E51" s="112" t="e">
        <f>D51+6</f>
        <v>#VALUE!</v>
      </c>
      <c r="F51" s="112"/>
      <c r="G51" s="130"/>
      <c r="H51" s="116" t="e">
        <f>IF(AND(C46&lt;18,C46&gt;=F12),F12,FLOOR(C46/6,1)*6)</f>
        <v>#VALUE!</v>
      </c>
      <c r="I51" s="113" t="e">
        <f>IF(H51&lt;18,18,H51+6)</f>
        <v>#VALUE!</v>
      </c>
      <c r="J51" s="71"/>
      <c r="K51" s="71"/>
      <c r="L51" s="75"/>
      <c r="N51" s="103">
        <v>6.57</v>
      </c>
      <c r="O51" s="162">
        <f t="shared" si="122"/>
        <v>36</v>
      </c>
      <c r="P51" s="65">
        <v>6</v>
      </c>
      <c r="Q51" s="336">
        <v>16.940000000000001</v>
      </c>
      <c r="R51" s="153">
        <v>23.51</v>
      </c>
      <c r="S51" s="153">
        <v>30.07</v>
      </c>
      <c r="T51" s="153">
        <f t="shared" si="121"/>
        <v>36.64</v>
      </c>
      <c r="U51" s="153">
        <f t="shared" si="121"/>
        <v>43.21</v>
      </c>
      <c r="V51" s="153">
        <f t="shared" si="121"/>
        <v>49.78</v>
      </c>
      <c r="W51" s="153">
        <f t="shared" si="121"/>
        <v>56.35</v>
      </c>
      <c r="X51" s="153">
        <f t="shared" si="121"/>
        <v>62.92</v>
      </c>
      <c r="Y51" s="153">
        <f t="shared" si="121"/>
        <v>69.490000000000009</v>
      </c>
      <c r="Z51" s="153">
        <f t="shared" si="121"/>
        <v>76.06</v>
      </c>
      <c r="AA51" s="153">
        <f t="shared" si="121"/>
        <v>82.63</v>
      </c>
      <c r="AB51" s="206"/>
      <c r="AC51" s="206"/>
      <c r="AD51" s="206"/>
      <c r="AE51" s="206"/>
      <c r="AF51" s="206"/>
      <c r="AG51" s="206"/>
      <c r="AH51" s="206"/>
      <c r="AI51" s="206"/>
      <c r="AJ51" s="64"/>
      <c r="AK51" s="154" t="e">
        <f>I51</f>
        <v>#VALUE!</v>
      </c>
      <c r="AL51" s="155" t="e">
        <f>INDEX(P46:AI65,$I$52,$D$52)</f>
        <v>#VALUE!</v>
      </c>
      <c r="AM51" s="155" t="e">
        <f>(((AM48-AL48)/(AN48-AL48))*(AN51-AL51))+AL51</f>
        <v>#VALUE!</v>
      </c>
      <c r="AN51" s="155" t="e">
        <f>INDEX(P46:AI65,$I$52,$E$52)</f>
        <v>#VALUE!</v>
      </c>
      <c r="AO51" s="64"/>
      <c r="AP51" s="65"/>
    </row>
    <row r="52" spans="1:58" ht="24" thickBot="1" x14ac:dyDescent="0.4">
      <c r="A52" s="3"/>
      <c r="B52" s="70"/>
      <c r="C52" s="118" t="s">
        <v>37</v>
      </c>
      <c r="D52" s="116" t="e">
        <f>HLOOKUP(D51,C17:V18,2)</f>
        <v>#VALUE!</v>
      </c>
      <c r="E52" s="112" t="e">
        <f>HLOOKUP(E51,C17:V18,2)</f>
        <v>#VALUE!</v>
      </c>
      <c r="F52" s="112"/>
      <c r="G52" s="130" t="s">
        <v>38</v>
      </c>
      <c r="H52" s="116" t="e">
        <f>VLOOKUP(H51,B18:C37,2)</f>
        <v>#VALUE!</v>
      </c>
      <c r="I52" s="113" t="e">
        <f>VLOOKUP(I51,B18:C37,2)</f>
        <v>#VALUE!</v>
      </c>
      <c r="J52" s="71"/>
      <c r="K52" s="71"/>
      <c r="L52" s="75"/>
      <c r="N52" s="103">
        <v>7.61</v>
      </c>
      <c r="O52" s="162">
        <f t="shared" si="122"/>
        <v>42</v>
      </c>
      <c r="P52" s="65">
        <v>7</v>
      </c>
      <c r="Q52" s="336">
        <v>19.690000000000001</v>
      </c>
      <c r="R52" s="153">
        <v>27.3</v>
      </c>
      <c r="S52" s="153">
        <v>34.909999999999997</v>
      </c>
      <c r="T52" s="153">
        <f t="shared" si="121"/>
        <v>42.519999999999996</v>
      </c>
      <c r="U52" s="153">
        <f t="shared" si="121"/>
        <v>50.129999999999995</v>
      </c>
      <c r="V52" s="153">
        <f t="shared" si="121"/>
        <v>57.739999999999995</v>
      </c>
      <c r="W52" s="153">
        <f t="shared" si="121"/>
        <v>65.349999999999994</v>
      </c>
      <c r="X52" s="153">
        <f t="shared" si="121"/>
        <v>72.959999999999994</v>
      </c>
      <c r="Y52" s="153">
        <f t="shared" si="121"/>
        <v>80.569999999999993</v>
      </c>
      <c r="Z52" s="153">
        <f t="shared" si="121"/>
        <v>88.179999999999993</v>
      </c>
      <c r="AA52" s="153">
        <f t="shared" si="121"/>
        <v>95.789999999999992</v>
      </c>
      <c r="AB52" s="206"/>
      <c r="AC52" s="206"/>
      <c r="AD52" s="206"/>
      <c r="AE52" s="206"/>
      <c r="AF52" s="206"/>
      <c r="AG52" s="206"/>
      <c r="AH52" s="206"/>
      <c r="AI52" s="206"/>
      <c r="AJ52" s="64"/>
      <c r="AK52" s="64"/>
      <c r="AL52" s="64"/>
      <c r="AM52" s="64"/>
      <c r="AN52" s="64"/>
      <c r="AO52" s="64"/>
      <c r="AP52" s="65"/>
      <c r="AR52" s="495"/>
      <c r="AS52" s="496"/>
    </row>
    <row r="53" spans="1:58" ht="15.75" thickBot="1" x14ac:dyDescent="0.3">
      <c r="A53" s="3"/>
      <c r="B53" s="70"/>
      <c r="C53" s="119"/>
      <c r="D53" s="117"/>
      <c r="E53" s="114"/>
      <c r="F53" s="114"/>
      <c r="G53" s="131"/>
      <c r="H53" s="117"/>
      <c r="I53" s="115"/>
      <c r="J53" s="71"/>
      <c r="K53" s="71"/>
      <c r="L53" s="75"/>
      <c r="N53" s="103">
        <v>8.66</v>
      </c>
      <c r="O53" s="162">
        <f t="shared" si="122"/>
        <v>48</v>
      </c>
      <c r="P53" s="65">
        <v>8</v>
      </c>
      <c r="Q53" s="336">
        <v>22.43</v>
      </c>
      <c r="R53" s="153">
        <v>31.09</v>
      </c>
      <c r="S53" s="153">
        <v>39.74</v>
      </c>
      <c r="T53" s="153">
        <f t="shared" si="121"/>
        <v>48.400000000000006</v>
      </c>
      <c r="U53" s="153">
        <f t="shared" si="121"/>
        <v>57.06</v>
      </c>
      <c r="V53" s="153">
        <f t="shared" si="121"/>
        <v>65.72</v>
      </c>
      <c r="W53" s="153">
        <f t="shared" si="121"/>
        <v>74.38</v>
      </c>
      <c r="X53" s="153">
        <f t="shared" si="121"/>
        <v>83.039999999999992</v>
      </c>
      <c r="Y53" s="153">
        <f t="shared" si="121"/>
        <v>91.699999999999989</v>
      </c>
      <c r="Z53" s="153">
        <f t="shared" si="121"/>
        <v>100.35999999999999</v>
      </c>
      <c r="AA53" s="153">
        <f t="shared" si="121"/>
        <v>109.01999999999998</v>
      </c>
      <c r="AB53" s="206"/>
      <c r="AC53" s="206"/>
      <c r="AD53" s="206"/>
      <c r="AE53" s="206"/>
      <c r="AF53" s="206"/>
      <c r="AG53" s="206"/>
      <c r="AH53" s="206"/>
      <c r="AI53" s="206"/>
      <c r="AJ53" s="64"/>
      <c r="AK53" s="64"/>
      <c r="AL53" s="64"/>
      <c r="AM53" s="64"/>
      <c r="AN53" s="64"/>
      <c r="AO53" s="64"/>
      <c r="AP53" s="65"/>
    </row>
    <row r="54" spans="1:58" ht="15.75" thickBot="1" x14ac:dyDescent="0.3">
      <c r="A54" s="3"/>
      <c r="B54" s="70"/>
      <c r="C54" s="71"/>
      <c r="D54" s="71"/>
      <c r="E54" s="71"/>
      <c r="F54" s="71"/>
      <c r="G54" s="71"/>
      <c r="H54" s="71"/>
      <c r="I54" s="71"/>
      <c r="J54" s="71"/>
      <c r="K54" s="71"/>
      <c r="L54" s="75"/>
      <c r="N54" s="103">
        <v>9.7100000000000009</v>
      </c>
      <c r="O54" s="162">
        <f t="shared" si="122"/>
        <v>54</v>
      </c>
      <c r="P54" s="65">
        <v>9</v>
      </c>
      <c r="Q54" s="336">
        <v>25.17</v>
      </c>
      <c r="R54" s="153">
        <v>34.869999999999997</v>
      </c>
      <c r="S54" s="153">
        <v>44.58</v>
      </c>
      <c r="T54" s="153">
        <f t="shared" si="121"/>
        <v>54.29</v>
      </c>
      <c r="U54" s="153">
        <f t="shared" si="121"/>
        <v>64</v>
      </c>
      <c r="V54" s="153">
        <f t="shared" si="121"/>
        <v>73.710000000000008</v>
      </c>
      <c r="W54" s="153">
        <f t="shared" si="121"/>
        <v>83.420000000000016</v>
      </c>
      <c r="X54" s="153">
        <f t="shared" si="121"/>
        <v>93.130000000000024</v>
      </c>
      <c r="Y54" s="153">
        <f t="shared" si="121"/>
        <v>102.84000000000003</v>
      </c>
      <c r="Z54" s="153">
        <f t="shared" si="121"/>
        <v>112.55000000000004</v>
      </c>
      <c r="AA54" s="153">
        <f t="shared" si="121"/>
        <v>122.26000000000005</v>
      </c>
      <c r="AB54" s="206"/>
      <c r="AC54" s="206"/>
      <c r="AD54" s="206"/>
      <c r="AE54" s="206"/>
      <c r="AF54" s="206"/>
      <c r="AG54" s="206"/>
      <c r="AH54" s="206"/>
      <c r="AI54" s="206"/>
      <c r="AJ54" s="64"/>
      <c r="AK54" s="64"/>
      <c r="AL54" s="64"/>
      <c r="AM54" s="64"/>
      <c r="AN54" s="64"/>
      <c r="AO54" s="64"/>
      <c r="AP54" s="65"/>
    </row>
    <row r="55" spans="1:58" ht="21.75" thickBot="1" x14ac:dyDescent="0.4">
      <c r="A55" s="3"/>
      <c r="B55" s="111" t="s">
        <v>71</v>
      </c>
      <c r="C55" s="71"/>
      <c r="E55" s="71"/>
      <c r="F55" s="71"/>
      <c r="G55" s="71"/>
      <c r="H55" s="71"/>
      <c r="I55" s="71"/>
      <c r="J55" s="71"/>
      <c r="K55" s="71"/>
      <c r="L55" s="75"/>
      <c r="N55" s="103">
        <v>10.75</v>
      </c>
      <c r="O55" s="162">
        <f t="shared" si="122"/>
        <v>60</v>
      </c>
      <c r="P55" s="65">
        <v>10</v>
      </c>
      <c r="Q55" s="336">
        <v>27.92</v>
      </c>
      <c r="R55" s="153">
        <v>38.659999999999997</v>
      </c>
      <c r="S55" s="153">
        <v>49.41</v>
      </c>
      <c r="T55" s="153">
        <f t="shared" si="121"/>
        <v>60.16</v>
      </c>
      <c r="U55" s="153">
        <f t="shared" si="121"/>
        <v>70.91</v>
      </c>
      <c r="V55" s="153">
        <f t="shared" si="121"/>
        <v>81.66</v>
      </c>
      <c r="W55" s="153">
        <f t="shared" si="121"/>
        <v>92.41</v>
      </c>
      <c r="X55" s="153">
        <f t="shared" si="121"/>
        <v>103.16</v>
      </c>
      <c r="Y55" s="153">
        <f t="shared" si="121"/>
        <v>113.91</v>
      </c>
      <c r="Z55" s="153">
        <f t="shared" si="121"/>
        <v>124.66</v>
      </c>
      <c r="AA55" s="153">
        <f t="shared" si="121"/>
        <v>135.41</v>
      </c>
      <c r="AB55" s="206"/>
      <c r="AC55" s="206"/>
      <c r="AD55" s="206"/>
      <c r="AE55" s="206"/>
      <c r="AF55" s="206"/>
      <c r="AG55" s="206"/>
      <c r="AH55" s="206"/>
      <c r="AI55" s="206"/>
      <c r="AJ55" s="64"/>
      <c r="AK55" s="64"/>
      <c r="AL55" s="64"/>
      <c r="AM55" s="64"/>
      <c r="AN55" s="64"/>
      <c r="AO55" s="64"/>
      <c r="AP55" s="65"/>
    </row>
    <row r="56" spans="1:58" ht="16.5" thickBot="1" x14ac:dyDescent="0.3">
      <c r="A56" s="3"/>
      <c r="B56" s="70"/>
      <c r="C56" s="71"/>
      <c r="D56" s="109"/>
      <c r="E56" s="109" t="e">
        <f>D51</f>
        <v>#VALUE!</v>
      </c>
      <c r="F56" s="132" t="e">
        <f>C45</f>
        <v>#VALUE!</v>
      </c>
      <c r="G56" s="109" t="e">
        <f>E51</f>
        <v>#VALUE!</v>
      </c>
      <c r="H56" s="71"/>
      <c r="I56" s="71"/>
      <c r="J56" s="71"/>
      <c r="K56" s="71"/>
      <c r="L56" s="75"/>
      <c r="N56" s="103">
        <v>11.8</v>
      </c>
      <c r="O56" s="162">
        <f t="shared" si="122"/>
        <v>66</v>
      </c>
      <c r="P56" s="65">
        <v>11</v>
      </c>
      <c r="Q56" s="336">
        <v>30.66</v>
      </c>
      <c r="R56" s="153">
        <v>42.45</v>
      </c>
      <c r="S56" s="153">
        <v>54.25</v>
      </c>
      <c r="T56" s="153">
        <f t="shared" si="121"/>
        <v>66.05</v>
      </c>
      <c r="U56" s="153">
        <f t="shared" si="121"/>
        <v>77.849999999999994</v>
      </c>
      <c r="V56" s="153">
        <f t="shared" si="121"/>
        <v>89.649999999999991</v>
      </c>
      <c r="W56" s="153">
        <f t="shared" si="121"/>
        <v>101.44999999999999</v>
      </c>
      <c r="X56" s="153">
        <f t="shared" si="121"/>
        <v>113.24999999999999</v>
      </c>
      <c r="Y56" s="153">
        <f t="shared" si="121"/>
        <v>125.04999999999998</v>
      </c>
      <c r="Z56" s="153">
        <f t="shared" si="121"/>
        <v>136.85</v>
      </c>
      <c r="AA56" s="153">
        <f t="shared" si="121"/>
        <v>148.65</v>
      </c>
      <c r="AB56" s="206"/>
      <c r="AC56" s="206"/>
      <c r="AD56" s="206"/>
      <c r="AE56" s="206"/>
      <c r="AF56" s="206"/>
      <c r="AG56" s="206"/>
      <c r="AH56" s="206"/>
      <c r="AI56" s="206"/>
      <c r="AJ56" s="64"/>
      <c r="AK56" s="64"/>
      <c r="AL56" s="270" t="s">
        <v>212</v>
      </c>
      <c r="AM56" s="64"/>
      <c r="AN56" s="153" t="e">
        <f>AM50</f>
        <v>#VALUE!</v>
      </c>
      <c r="AO56" s="64" t="s">
        <v>86</v>
      </c>
      <c r="AP56" s="65"/>
    </row>
    <row r="57" spans="1:58" ht="16.5" thickBot="1" x14ac:dyDescent="0.3">
      <c r="A57" s="3"/>
      <c r="B57" s="70"/>
      <c r="C57" s="71"/>
      <c r="D57" s="109" t="e">
        <f>H51</f>
        <v>#VALUE!</v>
      </c>
      <c r="E57" s="133" t="e">
        <f>INDEX(C18:V37,$H$52,$D$52)</f>
        <v>#VALUE!</v>
      </c>
      <c r="F57" s="133" t="e">
        <f>(((F56-E56)/(G56-E56))*(G57-E57))+E57</f>
        <v>#VALUE!</v>
      </c>
      <c r="G57" s="133" t="e">
        <f>INDEX(C18:V37,$H$52,$E$52)</f>
        <v>#VALUE!</v>
      </c>
      <c r="H57" s="71"/>
      <c r="I57" s="71"/>
      <c r="J57" s="71"/>
      <c r="K57" s="71"/>
      <c r="L57" s="75"/>
      <c r="N57" s="103">
        <v>12.84</v>
      </c>
      <c r="O57" s="162">
        <f t="shared" si="122"/>
        <v>72</v>
      </c>
      <c r="P57" s="65">
        <v>12</v>
      </c>
      <c r="Q57" s="336">
        <v>33.4</v>
      </c>
      <c r="R57" s="153">
        <v>46.24</v>
      </c>
      <c r="S57" s="153">
        <v>59.08</v>
      </c>
      <c r="T57" s="153">
        <f t="shared" si="121"/>
        <v>71.92</v>
      </c>
      <c r="U57" s="153">
        <f t="shared" si="121"/>
        <v>84.76</v>
      </c>
      <c r="V57" s="153">
        <f t="shared" si="121"/>
        <v>97.600000000000009</v>
      </c>
      <c r="W57" s="153">
        <f t="shared" si="121"/>
        <v>110.44000000000001</v>
      </c>
      <c r="X57" s="153">
        <f t="shared" si="121"/>
        <v>123.28000000000002</v>
      </c>
      <c r="Y57" s="153">
        <f t="shared" si="121"/>
        <v>136.12</v>
      </c>
      <c r="Z57" s="153">
        <f t="shared" si="121"/>
        <v>148.96</v>
      </c>
      <c r="AA57" s="153">
        <f t="shared" si="121"/>
        <v>161.80000000000001</v>
      </c>
      <c r="AB57" s="206"/>
      <c r="AC57" s="206"/>
      <c r="AD57" s="206"/>
      <c r="AE57" s="206"/>
      <c r="AF57" s="206"/>
      <c r="AG57" s="206"/>
      <c r="AH57" s="206"/>
      <c r="AI57" s="206"/>
      <c r="AJ57" s="64"/>
      <c r="AK57" s="64"/>
      <c r="AL57" s="270" t="s">
        <v>213</v>
      </c>
      <c r="AM57" s="64"/>
      <c r="AN57" s="64" t="e">
        <f>AN56*C11</f>
        <v>#VALUE!</v>
      </c>
      <c r="AO57" s="64" t="s">
        <v>86</v>
      </c>
      <c r="AP57" s="65"/>
    </row>
    <row r="58" spans="1:58" ht="16.5" thickBot="1" x14ac:dyDescent="0.3">
      <c r="A58" s="3"/>
      <c r="B58" s="70"/>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13.89</v>
      </c>
      <c r="O58" s="162">
        <f t="shared" si="122"/>
        <v>78</v>
      </c>
      <c r="P58" s="65">
        <v>13</v>
      </c>
      <c r="Q58" s="336">
        <v>36.14</v>
      </c>
      <c r="R58" s="153">
        <v>50.03</v>
      </c>
      <c r="S58" s="197">
        <v>63.91</v>
      </c>
      <c r="T58" s="153">
        <f t="shared" si="121"/>
        <v>77.8</v>
      </c>
      <c r="U58" s="153">
        <f t="shared" si="121"/>
        <v>91.69</v>
      </c>
      <c r="V58" s="153">
        <f t="shared" si="121"/>
        <v>105.58</v>
      </c>
      <c r="W58" s="153">
        <f t="shared" si="121"/>
        <v>119.47</v>
      </c>
      <c r="X58" s="153">
        <f t="shared" si="121"/>
        <v>133.36000000000001</v>
      </c>
      <c r="Y58" s="153">
        <f t="shared" si="121"/>
        <v>147.25</v>
      </c>
      <c r="Z58" s="153">
        <f t="shared" si="121"/>
        <v>161.13999999999999</v>
      </c>
      <c r="AA58" s="153">
        <f t="shared" si="121"/>
        <v>175.02999999999997</v>
      </c>
      <c r="AB58" s="206"/>
      <c r="AC58" s="206"/>
      <c r="AD58" s="206"/>
      <c r="AE58" s="206"/>
      <c r="AF58" s="206"/>
      <c r="AG58" s="206"/>
      <c r="AH58" s="206"/>
      <c r="AI58" s="206"/>
      <c r="AJ58" s="64"/>
      <c r="AK58" s="64"/>
      <c r="AL58" s="64"/>
      <c r="AM58" s="64"/>
      <c r="AN58" s="64"/>
      <c r="AO58" s="64"/>
      <c r="AP58" s="65"/>
    </row>
    <row r="59" spans="1:58" ht="16.5" thickBot="1" x14ac:dyDescent="0.3">
      <c r="A59" s="3"/>
      <c r="B59" s="70"/>
      <c r="C59" s="71"/>
      <c r="D59" s="109" t="e">
        <f>I51</f>
        <v>#VALUE!</v>
      </c>
      <c r="E59" s="133" t="e">
        <f>INDEX(C18:V37,$I$52,$D$52)</f>
        <v>#VALUE!</v>
      </c>
      <c r="F59" s="133" t="e">
        <f>(((F56-E56)/(G56-E56))*(G59-E59))+E59</f>
        <v>#VALUE!</v>
      </c>
      <c r="G59" s="133" t="e">
        <f>INDEX(C18:V37,$I$52,$E$52)</f>
        <v>#VALUE!</v>
      </c>
      <c r="H59" s="71"/>
      <c r="I59" s="71"/>
      <c r="J59" s="71"/>
      <c r="K59" s="71"/>
      <c r="L59" s="75"/>
      <c r="N59" s="103">
        <v>14.93</v>
      </c>
      <c r="O59" s="162">
        <f t="shared" si="122"/>
        <v>84</v>
      </c>
      <c r="P59" s="65">
        <v>14</v>
      </c>
      <c r="Q59" s="336">
        <v>38.89</v>
      </c>
      <c r="R59" s="153">
        <v>53.82</v>
      </c>
      <c r="S59" s="153">
        <v>68.75</v>
      </c>
      <c r="T59" s="153">
        <f t="shared" si="121"/>
        <v>83.68</v>
      </c>
      <c r="U59" s="153">
        <f t="shared" si="121"/>
        <v>98.610000000000014</v>
      </c>
      <c r="V59" s="153">
        <f t="shared" si="121"/>
        <v>113.54000000000002</v>
      </c>
      <c r="W59" s="153">
        <f t="shared" si="121"/>
        <v>128.47000000000003</v>
      </c>
      <c r="X59" s="153">
        <f t="shared" si="121"/>
        <v>143.40000000000003</v>
      </c>
      <c r="Y59" s="153">
        <f t="shared" si="121"/>
        <v>158.33000000000004</v>
      </c>
      <c r="Z59" s="153">
        <f t="shared" si="121"/>
        <v>173.26000000000005</v>
      </c>
      <c r="AA59" s="153">
        <f t="shared" si="121"/>
        <v>188.19000000000005</v>
      </c>
      <c r="AB59" s="206"/>
      <c r="AC59" s="206"/>
      <c r="AD59" s="206"/>
      <c r="AE59" s="206"/>
      <c r="AF59" s="206"/>
      <c r="AG59" s="206"/>
      <c r="AH59" s="206"/>
      <c r="AI59" s="206"/>
      <c r="AJ59" s="64"/>
      <c r="AK59" s="64"/>
      <c r="AL59" s="64"/>
      <c r="AM59" s="64"/>
      <c r="AN59" s="64"/>
      <c r="AO59" s="64"/>
      <c r="AP59" s="97"/>
    </row>
    <row r="60" spans="1:58" ht="15.75" thickBot="1" x14ac:dyDescent="0.3">
      <c r="A60" s="3"/>
      <c r="B60" s="70"/>
      <c r="C60" s="71"/>
      <c r="D60" s="71"/>
      <c r="E60" s="71"/>
      <c r="F60" s="71"/>
      <c r="G60" s="71"/>
      <c r="H60" s="71"/>
      <c r="I60" s="71"/>
      <c r="J60" s="71"/>
      <c r="K60" s="71"/>
      <c r="L60" s="75"/>
      <c r="N60" s="103">
        <v>15.98</v>
      </c>
      <c r="O60" s="162">
        <f t="shared" si="122"/>
        <v>90</v>
      </c>
      <c r="P60" s="65">
        <v>15</v>
      </c>
      <c r="Q60" s="336">
        <v>41.63</v>
      </c>
      <c r="R60" s="153">
        <v>57.61</v>
      </c>
      <c r="S60" s="153">
        <v>73.58</v>
      </c>
      <c r="T60" s="153">
        <f t="shared" si="121"/>
        <v>89.56</v>
      </c>
      <c r="U60" s="153">
        <f t="shared" si="121"/>
        <v>105.54</v>
      </c>
      <c r="V60" s="153">
        <f t="shared" si="121"/>
        <v>121.52000000000001</v>
      </c>
      <c r="W60" s="153">
        <f t="shared" si="121"/>
        <v>137.5</v>
      </c>
      <c r="X60" s="153">
        <f t="shared" si="121"/>
        <v>153.47999999999999</v>
      </c>
      <c r="Y60" s="153">
        <f t="shared" si="121"/>
        <v>169.45999999999998</v>
      </c>
      <c r="Z60" s="153">
        <f t="shared" si="121"/>
        <v>185.43999999999997</v>
      </c>
      <c r="AA60" s="153">
        <f t="shared" si="121"/>
        <v>201.41999999999996</v>
      </c>
      <c r="AB60" s="206"/>
      <c r="AC60" s="206"/>
      <c r="AD60" s="206"/>
      <c r="AE60" s="206"/>
      <c r="AF60" s="206"/>
      <c r="AG60" s="206"/>
      <c r="AH60" s="206"/>
      <c r="AI60" s="206"/>
      <c r="AJ60" s="64"/>
      <c r="AK60" s="64"/>
      <c r="AL60" s="64"/>
      <c r="AM60" s="64"/>
      <c r="AN60" s="64"/>
      <c r="AO60" s="64"/>
      <c r="AP60" s="97"/>
      <c r="BF60" s="83"/>
    </row>
    <row r="61" spans="1:58" ht="15.75" thickBot="1" x14ac:dyDescent="0.3">
      <c r="A61" s="3"/>
      <c r="B61" s="70"/>
      <c r="C61" s="71"/>
      <c r="D61" s="71"/>
      <c r="E61" s="71"/>
      <c r="F61" s="71"/>
      <c r="G61" s="71"/>
      <c r="H61" s="71"/>
      <c r="I61" s="71"/>
      <c r="J61" s="71"/>
      <c r="K61" s="71"/>
      <c r="L61" s="75"/>
      <c r="N61" s="103">
        <v>17.03</v>
      </c>
      <c r="O61" s="162">
        <f t="shared" si="122"/>
        <v>96</v>
      </c>
      <c r="P61" s="65">
        <v>16</v>
      </c>
      <c r="Q61" s="336">
        <v>44.37</v>
      </c>
      <c r="R61" s="153">
        <v>61.4</v>
      </c>
      <c r="S61" s="153">
        <v>78.42</v>
      </c>
      <c r="T61" s="153">
        <f t="shared" si="121"/>
        <v>95.45</v>
      </c>
      <c r="U61" s="153">
        <f t="shared" si="121"/>
        <v>112.48</v>
      </c>
      <c r="V61" s="153">
        <f t="shared" si="121"/>
        <v>129.51</v>
      </c>
      <c r="W61" s="153">
        <f t="shared" si="121"/>
        <v>146.54</v>
      </c>
      <c r="X61" s="153">
        <f t="shared" si="121"/>
        <v>163.57</v>
      </c>
      <c r="Y61" s="153">
        <f t="shared" si="121"/>
        <v>180.6</v>
      </c>
      <c r="Z61" s="153">
        <f t="shared" si="121"/>
        <v>197.63</v>
      </c>
      <c r="AA61" s="153">
        <f t="shared" si="121"/>
        <v>214.66</v>
      </c>
      <c r="AB61" s="206"/>
      <c r="AC61" s="206"/>
      <c r="AD61" s="206"/>
      <c r="AE61" s="206"/>
      <c r="AF61" s="206"/>
      <c r="AG61" s="206"/>
      <c r="AH61" s="206"/>
      <c r="AI61" s="206"/>
      <c r="AJ61" s="64"/>
      <c r="AK61" s="64"/>
      <c r="AL61" s="64"/>
      <c r="AM61" s="64"/>
      <c r="AN61" s="64"/>
      <c r="AO61" s="64"/>
      <c r="AP61" s="97"/>
      <c r="BF61" s="83"/>
    </row>
    <row r="62" spans="1:58" ht="15.75" thickBot="1" x14ac:dyDescent="0.3">
      <c r="A62" s="3"/>
      <c r="B62" s="70"/>
      <c r="C62" s="71"/>
      <c r="D62" s="71"/>
      <c r="E62" s="71"/>
      <c r="F62" s="71"/>
      <c r="G62" s="71"/>
      <c r="H62" s="71"/>
      <c r="I62" s="71"/>
      <c r="J62" s="71"/>
      <c r="K62" s="71"/>
      <c r="L62" s="75"/>
      <c r="N62" s="103"/>
      <c r="O62" s="162">
        <f t="shared" si="122"/>
        <v>102</v>
      </c>
      <c r="P62" s="65">
        <v>17</v>
      </c>
      <c r="Q62" s="339"/>
      <c r="R62" s="206"/>
      <c r="S62" s="206"/>
      <c r="T62" s="206"/>
      <c r="U62" s="206"/>
      <c r="V62" s="206"/>
      <c r="W62" s="206"/>
      <c r="X62" s="206"/>
      <c r="Y62" s="206"/>
      <c r="Z62" s="206"/>
      <c r="AA62" s="206"/>
      <c r="AB62" s="206"/>
      <c r="AC62" s="206"/>
      <c r="AD62" s="206"/>
      <c r="AE62" s="206"/>
      <c r="AF62" s="206"/>
      <c r="AG62" s="206"/>
      <c r="AH62" s="206"/>
      <c r="AI62" s="206"/>
      <c r="AJ62" s="64"/>
      <c r="AK62" s="64"/>
      <c r="AL62" s="64"/>
      <c r="AM62" s="64"/>
      <c r="AN62" s="64"/>
      <c r="AO62" s="64"/>
      <c r="AP62" s="97"/>
      <c r="BF62" s="83"/>
    </row>
    <row r="63" spans="1:58" ht="21.75" thickBot="1" x14ac:dyDescent="0.4">
      <c r="A63" s="3"/>
      <c r="B63" s="111" t="s">
        <v>80</v>
      </c>
      <c r="C63" s="71"/>
      <c r="D63" s="71"/>
      <c r="E63" s="71"/>
      <c r="F63" s="71"/>
      <c r="G63" s="71"/>
      <c r="H63" s="71"/>
      <c r="I63" s="71"/>
      <c r="J63" s="71"/>
      <c r="K63" s="71"/>
      <c r="L63" s="75"/>
      <c r="N63" s="103"/>
      <c r="O63" s="162">
        <f t="shared" si="122"/>
        <v>108</v>
      </c>
      <c r="P63" s="65">
        <v>18</v>
      </c>
      <c r="Q63" s="339"/>
      <c r="R63" s="206"/>
      <c r="S63" s="206"/>
      <c r="T63" s="206"/>
      <c r="U63" s="206"/>
      <c r="V63" s="206"/>
      <c r="W63" s="206"/>
      <c r="X63" s="206"/>
      <c r="Y63" s="206"/>
      <c r="Z63" s="206"/>
      <c r="AA63" s="206"/>
      <c r="AB63" s="206"/>
      <c r="AC63" s="206"/>
      <c r="AD63" s="206"/>
      <c r="AE63" s="206"/>
      <c r="AF63" s="206"/>
      <c r="AG63" s="206"/>
      <c r="AH63" s="206"/>
      <c r="AI63" s="206"/>
      <c r="AJ63" s="64"/>
      <c r="AK63" s="64"/>
      <c r="AL63" s="64"/>
      <c r="AM63" s="64"/>
      <c r="AN63" s="64"/>
      <c r="AO63" s="64"/>
      <c r="AP63" s="97"/>
      <c r="BF63" s="83"/>
    </row>
    <row r="64" spans="1:58" ht="19.5" thickBot="1" x14ac:dyDescent="0.35">
      <c r="A64" s="3"/>
      <c r="B64" s="135" t="s">
        <v>46</v>
      </c>
      <c r="C64" s="71"/>
      <c r="D64" s="141" t="e">
        <f>F58*(D3*D4)/144</f>
        <v>#VALUE!</v>
      </c>
      <c r="E64" s="256" t="s">
        <v>45</v>
      </c>
      <c r="F64" s="71"/>
      <c r="G64" s="71"/>
      <c r="H64" s="71"/>
      <c r="I64" s="71"/>
      <c r="J64" s="71"/>
      <c r="K64" s="71"/>
      <c r="L64" s="75"/>
      <c r="N64" s="103"/>
      <c r="O64" s="162">
        <f t="shared" si="122"/>
        <v>114</v>
      </c>
      <c r="P64" s="65">
        <v>19</v>
      </c>
      <c r="Q64" s="339"/>
      <c r="R64" s="206"/>
      <c r="S64" s="206"/>
      <c r="T64" s="206"/>
      <c r="U64" s="206"/>
      <c r="V64" s="206"/>
      <c r="W64" s="206"/>
      <c r="X64" s="206"/>
      <c r="Y64" s="206"/>
      <c r="Z64" s="206"/>
      <c r="AA64" s="206"/>
      <c r="AB64" s="206"/>
      <c r="AC64" s="206"/>
      <c r="AD64" s="206"/>
      <c r="AE64" s="206"/>
      <c r="AF64" s="206"/>
      <c r="AG64" s="206"/>
      <c r="AH64" s="206"/>
      <c r="AI64" s="206"/>
      <c r="AJ64" s="64"/>
      <c r="AK64" s="64"/>
      <c r="AL64" s="64"/>
      <c r="AM64" s="64"/>
      <c r="AN64" s="64"/>
      <c r="AO64" s="64"/>
      <c r="AP64" s="97"/>
      <c r="BF64" s="83"/>
    </row>
    <row r="65" spans="1:58" ht="19.5" thickBot="1" x14ac:dyDescent="0.35">
      <c r="A65" s="3"/>
      <c r="B65" s="135" t="s">
        <v>47</v>
      </c>
      <c r="C65" s="71"/>
      <c r="D65" s="142" t="e">
        <f>(D3*D4)/144</f>
        <v>#VALUE!</v>
      </c>
      <c r="E65" s="256" t="s">
        <v>45</v>
      </c>
      <c r="F65" s="71"/>
      <c r="G65" s="71"/>
      <c r="H65" s="71"/>
      <c r="I65" s="71"/>
      <c r="J65" s="71"/>
      <c r="K65" s="71"/>
      <c r="L65" s="75"/>
      <c r="N65" s="103"/>
      <c r="O65" s="162">
        <f t="shared" si="122"/>
        <v>120</v>
      </c>
      <c r="P65" s="65">
        <v>20</v>
      </c>
      <c r="Q65" s="339"/>
      <c r="R65" s="206"/>
      <c r="S65" s="206"/>
      <c r="T65" s="206"/>
      <c r="U65" s="206"/>
      <c r="V65" s="206"/>
      <c r="W65" s="206"/>
      <c r="X65" s="206"/>
      <c r="Y65" s="206"/>
      <c r="Z65" s="206"/>
      <c r="AA65" s="206"/>
      <c r="AB65" s="206"/>
      <c r="AC65" s="206"/>
      <c r="AD65" s="206"/>
      <c r="AE65" s="206"/>
      <c r="AF65" s="206"/>
      <c r="AG65" s="206"/>
      <c r="AH65" s="206"/>
      <c r="AI65" s="206"/>
      <c r="AJ65" s="64"/>
      <c r="AK65" s="64"/>
      <c r="AL65" s="64"/>
      <c r="AM65" s="64"/>
      <c r="AN65" s="64"/>
      <c r="AO65" s="64"/>
      <c r="AP65" s="97"/>
      <c r="BF65" s="83"/>
    </row>
    <row r="66" spans="1:58" ht="19.5" thickBot="1" x14ac:dyDescent="0.35">
      <c r="A66" s="3"/>
      <c r="B66" s="135" t="s">
        <v>81</v>
      </c>
      <c r="C66" s="71"/>
      <c r="D66" s="138" t="e">
        <f>F58*100</f>
        <v>#VALUE!</v>
      </c>
      <c r="E66" s="256" t="s">
        <v>16</v>
      </c>
      <c r="F66" s="71"/>
      <c r="G66" s="71"/>
      <c r="H66" s="71"/>
      <c r="I66" s="71"/>
      <c r="J66" s="71"/>
      <c r="K66" s="71"/>
      <c r="L66" s="75"/>
      <c r="N66" s="103"/>
      <c r="O66" s="149"/>
      <c r="P66" s="65"/>
      <c r="Q66" s="149"/>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5"/>
      <c r="BF66" s="83"/>
    </row>
    <row r="67" spans="1:58" ht="19.5" thickBot="1" x14ac:dyDescent="0.35">
      <c r="A67" s="3"/>
      <c r="B67" s="70"/>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5"/>
    </row>
    <row r="68" spans="1:58" ht="19.5" thickBot="1" x14ac:dyDescent="0.35">
      <c r="A68" s="3"/>
      <c r="B68" s="137" t="s">
        <v>82</v>
      </c>
      <c r="D68" s="311" t="e">
        <f>C5/D64</f>
        <v>#VALUE!</v>
      </c>
      <c r="E68" s="256" t="s">
        <v>48</v>
      </c>
      <c r="F68" s="72"/>
      <c r="G68" s="72"/>
      <c r="H68" s="72"/>
      <c r="I68" s="72"/>
      <c r="J68" s="72"/>
      <c r="K68" s="72"/>
      <c r="L68" s="81"/>
      <c r="N68" s="164"/>
      <c r="O68" s="163"/>
      <c r="P68" s="69"/>
      <c r="Q68" s="163"/>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9"/>
    </row>
    <row r="69" spans="1:58" ht="18.75" x14ac:dyDescent="0.3">
      <c r="A69" s="3"/>
      <c r="B69" s="152" t="s">
        <v>83</v>
      </c>
      <c r="C69" s="136" t="s">
        <v>9</v>
      </c>
      <c r="D69" s="312" t="e">
        <f>1.02396473648357E-07*D68^2 - 3.82293899091015E-08*D68 + 0.000537006291764421</f>
        <v>#VALUE!</v>
      </c>
      <c r="E69" s="256" t="s">
        <v>99</v>
      </c>
      <c r="F69" s="72"/>
      <c r="G69" s="72"/>
      <c r="H69" s="72"/>
      <c r="I69" s="72"/>
      <c r="J69" s="72"/>
      <c r="K69" s="72"/>
      <c r="L69" s="81"/>
    </row>
    <row r="70" spans="1:58" ht="18.75" x14ac:dyDescent="0.3">
      <c r="A70" s="3"/>
      <c r="B70" s="80"/>
      <c r="C70" s="136" t="s">
        <v>10</v>
      </c>
      <c r="D70" s="312" t="e">
        <f>1.02396473648357E-07*D68^2 - 3.82293899091015E-08*D68 + 0.000537006291764421</f>
        <v>#VALUE!</v>
      </c>
      <c r="E70" s="256" t="s">
        <v>99</v>
      </c>
      <c r="F70" s="72"/>
      <c r="G70" s="72"/>
      <c r="H70" s="72"/>
      <c r="I70" s="72"/>
      <c r="J70" s="72"/>
      <c r="K70" s="72"/>
      <c r="L70" s="81"/>
    </row>
    <row r="71" spans="1:58" ht="15.75" thickBot="1" x14ac:dyDescent="0.3">
      <c r="B71" s="79"/>
      <c r="C71" s="76"/>
      <c r="D71" s="76"/>
      <c r="E71" s="76"/>
      <c r="F71" s="76"/>
      <c r="G71" s="76"/>
      <c r="H71" s="76"/>
      <c r="I71" s="76"/>
      <c r="J71" s="76"/>
      <c r="K71" s="76"/>
      <c r="L71" s="77"/>
    </row>
    <row r="72" spans="1:58"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1:58"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1:58" ht="15.75" thickBot="1" x14ac:dyDescent="0.3">
      <c r="N74" s="477"/>
      <c r="O74" s="480" t="s">
        <v>194</v>
      </c>
      <c r="P74" s="479"/>
      <c r="Q74" s="47"/>
      <c r="R74" s="47"/>
      <c r="S74" s="47"/>
      <c r="T74" s="47"/>
      <c r="U74" s="47"/>
      <c r="V74" s="47"/>
      <c r="W74" s="278"/>
      <c r="X74" s="178"/>
      <c r="Y74" s="48"/>
      <c r="Z74" s="47" t="s">
        <v>193</v>
      </c>
      <c r="AA74" s="47"/>
      <c r="AB74" s="47" t="e">
        <f>AN57</f>
        <v>#VALUE!</v>
      </c>
      <c r="AC74" s="47" t="s">
        <v>184</v>
      </c>
      <c r="AD74" s="47"/>
      <c r="AE74" s="47"/>
      <c r="AF74" s="47"/>
      <c r="AG74" s="47"/>
      <c r="AH74" s="47"/>
      <c r="AI74" s="47"/>
      <c r="AJ74" s="278"/>
    </row>
    <row r="75" spans="1:58" ht="15.75" thickBot="1" x14ac:dyDescent="0.3">
      <c r="N75" s="476"/>
      <c r="O75" s="47" t="s">
        <v>185</v>
      </c>
      <c r="P75" s="64">
        <v>1.8100000000000002E-2</v>
      </c>
      <c r="Q75" s="47" t="s">
        <v>182</v>
      </c>
      <c r="R75" s="47"/>
      <c r="S75" s="47"/>
      <c r="T75" s="47"/>
      <c r="U75" s="47"/>
      <c r="V75" s="47"/>
      <c r="W75" s="278"/>
      <c r="X75" s="175"/>
      <c r="Y75" s="48"/>
      <c r="Z75" s="47" t="s">
        <v>194</v>
      </c>
      <c r="AA75" s="47"/>
      <c r="AB75" s="471" t="e">
        <f>P78</f>
        <v>#VALUE!</v>
      </c>
      <c r="AC75" s="47" t="s">
        <v>184</v>
      </c>
      <c r="AD75" s="47"/>
      <c r="AE75" s="47"/>
      <c r="AF75" s="47"/>
      <c r="AG75" s="47"/>
      <c r="AH75" s="47"/>
      <c r="AI75" s="47"/>
      <c r="AJ75" s="278"/>
    </row>
    <row r="76" spans="1:58" ht="16.5" thickBot="1" x14ac:dyDescent="0.3">
      <c r="N76" s="477"/>
      <c r="O76" s="47" t="s">
        <v>195</v>
      </c>
      <c r="P76" s="64" t="e">
        <f>((2*D3)+(2*D4))</f>
        <v>#VALUE!</v>
      </c>
      <c r="Q76" s="47" t="s">
        <v>196</v>
      </c>
      <c r="R76" s="47"/>
      <c r="S76" s="47"/>
      <c r="T76" s="47"/>
      <c r="U76" s="47"/>
      <c r="V76" s="47"/>
      <c r="W76" s="278"/>
      <c r="X76" s="175"/>
      <c r="Y76" s="48"/>
      <c r="Z76" s="47" t="s">
        <v>192</v>
      </c>
      <c r="AA76" s="47"/>
      <c r="AB76" s="471" t="e">
        <f>P85</f>
        <v>#VALUE!</v>
      </c>
      <c r="AC76" s="47" t="s">
        <v>184</v>
      </c>
      <c r="AD76" s="47"/>
      <c r="AE76" s="47"/>
      <c r="AF76" s="47"/>
      <c r="AG76" s="47"/>
      <c r="AH76" s="47"/>
      <c r="AI76" s="47"/>
      <c r="AJ76" s="278"/>
      <c r="AL76" s="313"/>
      <c r="AM76" s="313"/>
      <c r="AN76" s="485"/>
      <c r="AO76" s="313"/>
    </row>
    <row r="77" spans="1:58" ht="16.5" thickBot="1" x14ac:dyDescent="0.3">
      <c r="N77" s="48"/>
      <c r="O77" s="47"/>
      <c r="P77" s="47"/>
      <c r="Q77" s="47"/>
      <c r="R77" s="47"/>
      <c r="S77" s="47"/>
      <c r="T77" s="47"/>
      <c r="U77" s="47"/>
      <c r="V77" s="47"/>
      <c r="W77" s="278"/>
      <c r="X77" s="175"/>
      <c r="Y77" s="48"/>
      <c r="Z77" s="47"/>
      <c r="AA77" s="47"/>
      <c r="AB77" s="47"/>
      <c r="AC77" s="47"/>
      <c r="AD77" s="47"/>
      <c r="AE77" s="47"/>
      <c r="AF77" s="47"/>
      <c r="AG77" s="47"/>
      <c r="AH77" s="47"/>
      <c r="AI77" s="47"/>
      <c r="AJ77" s="278"/>
      <c r="AK77" s="83"/>
      <c r="AL77" s="313"/>
      <c r="AM77" s="485"/>
      <c r="AN77" s="485"/>
      <c r="AO77" s="485"/>
    </row>
    <row r="78" spans="1:58" ht="16.5" thickBot="1" x14ac:dyDescent="0.3">
      <c r="N78" s="48"/>
      <c r="O78" s="492" t="s">
        <v>183</v>
      </c>
      <c r="P78" s="153" t="e">
        <f>P76*P75</f>
        <v>#VALUE!</v>
      </c>
      <c r="Q78" s="47" t="s">
        <v>184</v>
      </c>
      <c r="S78" s="47"/>
      <c r="T78" s="47"/>
      <c r="U78" s="47"/>
      <c r="V78" s="47"/>
      <c r="W78" s="278"/>
      <c r="X78" s="175"/>
      <c r="Y78" s="48"/>
      <c r="Z78" s="47" t="s">
        <v>91</v>
      </c>
      <c r="AA78" s="47"/>
      <c r="AB78" s="471" t="e">
        <f>AB74+AB75+AB76</f>
        <v>#VALUE!</v>
      </c>
      <c r="AC78" s="47" t="s">
        <v>184</v>
      </c>
      <c r="AD78" s="47"/>
      <c r="AE78" s="47"/>
      <c r="AF78" s="47"/>
      <c r="AG78" s="47"/>
      <c r="AH78" s="47"/>
      <c r="AI78" s="47"/>
      <c r="AJ78" s="278"/>
      <c r="AL78" s="486"/>
      <c r="AM78" s="485"/>
      <c r="AN78" s="487"/>
      <c r="AO78" s="485"/>
    </row>
    <row r="79" spans="1:58" ht="15.75" x14ac:dyDescent="0.25">
      <c r="N79" s="48"/>
      <c r="O79" s="480"/>
      <c r="P79" s="47"/>
      <c r="Q79" s="47"/>
      <c r="R79" s="47"/>
      <c r="S79" s="47"/>
      <c r="T79" s="47"/>
      <c r="U79" s="47"/>
      <c r="V79" s="47"/>
      <c r="W79" s="278"/>
      <c r="X79" s="175"/>
      <c r="Y79" s="48"/>
      <c r="Z79" s="47" t="s">
        <v>90</v>
      </c>
      <c r="AA79" s="47"/>
      <c r="AB79" s="471" t="e">
        <f>AB78/C11</f>
        <v>#VALUE!</v>
      </c>
      <c r="AC79" s="47" t="s">
        <v>184</v>
      </c>
      <c r="AD79" s="47"/>
      <c r="AE79" s="47"/>
      <c r="AF79" s="47"/>
      <c r="AG79" s="47"/>
      <c r="AH79" s="47"/>
      <c r="AI79" s="47"/>
      <c r="AJ79" s="278"/>
      <c r="AL79" s="313"/>
      <c r="AM79" s="485"/>
      <c r="AN79" s="485"/>
      <c r="AO79" s="485"/>
    </row>
    <row r="80" spans="1:58" x14ac:dyDescent="0.25">
      <c r="N80" s="48"/>
      <c r="O80" s="480"/>
      <c r="P80" s="47"/>
      <c r="Q80" s="47"/>
      <c r="R80" s="47"/>
      <c r="S80" s="47"/>
      <c r="T80" s="47"/>
      <c r="U80" s="47"/>
      <c r="V80" s="47"/>
      <c r="W80" s="278"/>
      <c r="X80" s="175"/>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X81" s="175"/>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X82" s="175"/>
      <c r="Y82" s="48"/>
      <c r="Z82" s="47"/>
      <c r="AA82" s="47"/>
      <c r="AB82" s="47"/>
      <c r="AC82" s="47"/>
      <c r="AD82" s="47"/>
      <c r="AE82" s="47"/>
      <c r="AF82" s="47"/>
      <c r="AG82" s="47"/>
      <c r="AH82" s="47"/>
      <c r="AI82" s="47"/>
      <c r="AJ82" s="278"/>
      <c r="AM82" s="146"/>
    </row>
    <row r="83" spans="14:43" ht="15.75" thickBot="1" x14ac:dyDescent="0.3">
      <c r="N83" s="48"/>
      <c r="O83" s="47" t="s">
        <v>197</v>
      </c>
      <c r="P83" s="64" t="e">
        <f>(D3*D4)</f>
        <v>#VALUE!</v>
      </c>
      <c r="Q83" s="47" t="s">
        <v>198</v>
      </c>
      <c r="R83" s="64"/>
      <c r="S83" s="47"/>
      <c r="T83" s="47"/>
      <c r="U83" s="47"/>
      <c r="V83" s="47"/>
      <c r="W83" s="278"/>
      <c r="X83" s="175"/>
      <c r="Y83" s="48"/>
      <c r="Z83" s="47"/>
      <c r="AA83" s="47"/>
      <c r="AB83" s="47"/>
      <c r="AC83" s="47"/>
      <c r="AD83" s="47"/>
      <c r="AE83" s="47"/>
      <c r="AF83" s="47"/>
      <c r="AG83" s="47"/>
      <c r="AH83" s="47"/>
      <c r="AI83" s="47"/>
      <c r="AJ83" s="278"/>
      <c r="AM83" s="146"/>
    </row>
    <row r="84" spans="14:43" ht="15.75" thickBot="1" x14ac:dyDescent="0.3">
      <c r="N84" s="48"/>
      <c r="O84" s="47"/>
      <c r="P84" s="47"/>
      <c r="Q84" s="47"/>
      <c r="R84" s="64"/>
      <c r="S84" s="47"/>
      <c r="T84" s="47"/>
      <c r="U84" s="47"/>
      <c r="V84" s="47"/>
      <c r="W84" s="278"/>
      <c r="X84" s="175"/>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X85" s="175"/>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X86" s="175"/>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X87" s="175"/>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X88" s="175"/>
      <c r="Y88" s="49"/>
      <c r="Z88" s="50"/>
      <c r="AA88" s="50"/>
      <c r="AB88" s="50"/>
      <c r="AC88" s="50"/>
      <c r="AD88" s="50"/>
      <c r="AE88" s="50"/>
      <c r="AF88" s="50"/>
      <c r="AG88" s="50"/>
      <c r="AH88" s="50"/>
      <c r="AI88" s="50"/>
      <c r="AJ88" s="279"/>
      <c r="AQ88" s="83"/>
    </row>
    <row r="89" spans="14:43" x14ac:dyDescent="0.25">
      <c r="O89" s="481"/>
      <c r="P89" s="482"/>
      <c r="Q89" s="175"/>
      <c r="R89" s="175"/>
      <c r="S89" s="175"/>
      <c r="T89" s="175"/>
      <c r="U89" s="175"/>
      <c r="V89" s="175"/>
      <c r="W89" s="175"/>
      <c r="X89" s="175"/>
      <c r="Y89" s="175"/>
      <c r="Z89" s="175"/>
      <c r="AA89" s="175"/>
      <c r="AB89" s="175"/>
      <c r="AC89" s="175"/>
      <c r="AD89" s="175"/>
      <c r="AE89" s="175"/>
      <c r="AF89" s="175"/>
      <c r="AG89" s="175"/>
      <c r="AH89" s="175"/>
      <c r="AI89" s="175"/>
      <c r="AK89" s="175"/>
      <c r="AQ89" s="83"/>
    </row>
    <row r="90" spans="14:43" x14ac:dyDescent="0.25">
      <c r="O90" s="481"/>
      <c r="P90" s="482"/>
      <c r="Q90" s="175"/>
      <c r="R90" s="175"/>
      <c r="S90" s="175"/>
      <c r="T90" s="175"/>
      <c r="U90" s="175"/>
      <c r="V90" s="175"/>
      <c r="W90" s="175"/>
      <c r="X90" s="175"/>
      <c r="Y90" s="175"/>
      <c r="Z90" s="175"/>
      <c r="AA90" s="175"/>
      <c r="AB90" s="175"/>
      <c r="AC90" s="175"/>
      <c r="AD90" s="175"/>
      <c r="AE90" s="175"/>
      <c r="AF90" s="175"/>
      <c r="AG90" s="175"/>
      <c r="AH90" s="175"/>
      <c r="AI90" s="175"/>
      <c r="AK90" s="175"/>
      <c r="AQ90" s="83"/>
    </row>
    <row r="91" spans="14:43" x14ac:dyDescent="0.25">
      <c r="O91" s="481"/>
      <c r="P91" s="482"/>
      <c r="Q91" s="175"/>
      <c r="R91" s="175"/>
      <c r="S91" s="175"/>
      <c r="T91" s="175"/>
      <c r="U91" s="175"/>
      <c r="V91" s="175"/>
      <c r="W91" s="175"/>
      <c r="X91" s="175"/>
      <c r="Y91" s="175"/>
      <c r="Z91" s="175"/>
      <c r="AA91" s="175"/>
      <c r="AB91" s="175"/>
      <c r="AC91" s="175"/>
      <c r="AD91" s="175"/>
      <c r="AE91" s="175"/>
      <c r="AF91" s="175"/>
      <c r="AG91" s="175"/>
      <c r="AH91" s="175"/>
      <c r="AI91" s="175"/>
      <c r="AK91" s="175"/>
      <c r="AQ91" s="83"/>
    </row>
    <row r="92" spans="14:43" x14ac:dyDescent="0.25">
      <c r="O92" s="481"/>
      <c r="P92" s="482"/>
      <c r="Q92" s="175"/>
      <c r="R92" s="175"/>
      <c r="S92" s="175"/>
      <c r="T92" s="175"/>
      <c r="U92" s="175"/>
      <c r="V92" s="175"/>
      <c r="W92" s="175"/>
      <c r="X92" s="175"/>
      <c r="Y92" s="175"/>
      <c r="Z92" s="175"/>
      <c r="AA92" s="175"/>
      <c r="AB92" s="175"/>
      <c r="AC92" s="175"/>
      <c r="AD92" s="175"/>
      <c r="AE92" s="175"/>
      <c r="AF92" s="175"/>
      <c r="AG92" s="175"/>
      <c r="AH92" s="175"/>
      <c r="AI92" s="175"/>
      <c r="AK92" s="175"/>
      <c r="AQ92" s="83"/>
    </row>
    <row r="93" spans="14:43" ht="18.75" customHeight="1" x14ac:dyDescent="0.25">
      <c r="O93" s="481"/>
      <c r="P93" s="482"/>
      <c r="Q93" s="175"/>
      <c r="R93" s="175"/>
      <c r="S93" s="175"/>
      <c r="T93" s="175"/>
      <c r="U93" s="175"/>
      <c r="V93" s="175"/>
      <c r="W93" s="175"/>
      <c r="X93" s="175"/>
      <c r="Y93" s="175"/>
      <c r="Z93" s="175"/>
      <c r="AA93" s="175"/>
      <c r="AB93" s="175"/>
      <c r="AC93" s="175"/>
      <c r="AD93" s="175"/>
      <c r="AE93" s="175"/>
      <c r="AF93" s="175"/>
      <c r="AG93" s="175"/>
      <c r="AH93" s="175"/>
      <c r="AI93" s="175"/>
      <c r="AK93" s="175"/>
      <c r="AQ93" s="83"/>
    </row>
    <row r="94" spans="14:43" ht="18.75" customHeight="1" x14ac:dyDescent="0.25">
      <c r="O94" s="481"/>
      <c r="P94" s="482"/>
      <c r="AK94" s="175"/>
      <c r="AQ94" s="83"/>
    </row>
    <row r="95" spans="14:43" x14ac:dyDescent="0.25">
      <c r="P95" s="482"/>
    </row>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c r="Q102" s="178"/>
      <c r="R102" s="178"/>
      <c r="S102" s="178"/>
      <c r="T102" s="178"/>
      <c r="U102" s="178"/>
      <c r="V102" s="178"/>
      <c r="W102" s="178"/>
      <c r="X102" s="178"/>
      <c r="Y102" s="178"/>
      <c r="Z102" s="178"/>
      <c r="AA102" s="178"/>
      <c r="AB102" s="178"/>
      <c r="AC102" s="178"/>
      <c r="AD102" s="178"/>
      <c r="AE102" s="178"/>
      <c r="AF102" s="178"/>
      <c r="AG102" s="178"/>
      <c r="AH102" s="178"/>
      <c r="AI102" s="178"/>
    </row>
    <row r="103" spans="14:41" x14ac:dyDescent="0.25">
      <c r="N103" s="483"/>
      <c r="O103" s="481"/>
      <c r="P103" s="482"/>
      <c r="Q103" s="175"/>
      <c r="R103" s="175"/>
      <c r="S103" s="175"/>
      <c r="T103" s="175"/>
      <c r="U103" s="175"/>
      <c r="V103" s="175"/>
      <c r="W103" s="175"/>
      <c r="X103" s="175"/>
      <c r="Y103" s="175"/>
      <c r="Z103" s="175"/>
      <c r="AA103" s="175"/>
      <c r="AB103" s="175"/>
      <c r="AC103" s="175"/>
      <c r="AD103" s="175"/>
      <c r="AE103" s="175"/>
      <c r="AF103" s="175"/>
      <c r="AG103" s="175"/>
      <c r="AH103" s="175"/>
      <c r="AI103" s="175"/>
    </row>
    <row r="104" spans="14:41" ht="15.75" x14ac:dyDescent="0.25">
      <c r="N104" s="484"/>
      <c r="O104" s="481"/>
      <c r="P104" s="482"/>
      <c r="Q104" s="175"/>
      <c r="R104" s="175"/>
      <c r="S104" s="175"/>
      <c r="T104" s="175"/>
      <c r="U104" s="175"/>
      <c r="V104" s="175"/>
      <c r="W104" s="175"/>
      <c r="X104" s="175"/>
      <c r="Y104" s="175"/>
      <c r="Z104" s="175"/>
      <c r="AA104" s="175"/>
      <c r="AB104" s="175"/>
      <c r="AC104" s="175"/>
      <c r="AD104" s="175"/>
      <c r="AE104" s="175"/>
      <c r="AF104" s="175"/>
      <c r="AG104" s="175"/>
      <c r="AH104" s="175"/>
      <c r="AI104" s="175"/>
      <c r="AL104" s="313"/>
      <c r="AM104" s="313"/>
      <c r="AN104" s="485"/>
      <c r="AO104" s="313"/>
    </row>
    <row r="105" spans="14:41" ht="15.75" x14ac:dyDescent="0.25">
      <c r="O105" s="481"/>
      <c r="P105" s="482"/>
      <c r="Q105" s="175"/>
      <c r="R105" s="175"/>
      <c r="S105" s="175"/>
      <c r="T105" s="175"/>
      <c r="U105" s="175"/>
      <c r="V105" s="175"/>
      <c r="W105" s="175"/>
      <c r="X105" s="175"/>
      <c r="Y105" s="175"/>
      <c r="Z105" s="175"/>
      <c r="AA105" s="175"/>
      <c r="AB105" s="175"/>
      <c r="AC105" s="175"/>
      <c r="AD105" s="175"/>
      <c r="AE105" s="175"/>
      <c r="AF105" s="175"/>
      <c r="AG105" s="175"/>
      <c r="AH105" s="175"/>
      <c r="AI105" s="175"/>
      <c r="AK105" s="83"/>
      <c r="AL105" s="313"/>
      <c r="AM105" s="485"/>
      <c r="AN105" s="485"/>
      <c r="AO105" s="485"/>
    </row>
    <row r="106" spans="14:41" ht="15.75" x14ac:dyDescent="0.25">
      <c r="O106" s="481"/>
      <c r="P106" s="482"/>
      <c r="Q106" s="175"/>
      <c r="R106" s="175"/>
      <c r="S106" s="175"/>
      <c r="T106" s="175"/>
      <c r="U106" s="175"/>
      <c r="V106" s="175"/>
      <c r="W106" s="175"/>
      <c r="X106" s="175"/>
      <c r="Y106" s="175"/>
      <c r="Z106" s="175"/>
      <c r="AA106" s="175"/>
      <c r="AB106" s="175"/>
      <c r="AC106" s="175"/>
      <c r="AD106" s="175"/>
      <c r="AE106" s="175"/>
      <c r="AF106" s="175"/>
      <c r="AG106" s="175"/>
      <c r="AH106" s="175"/>
      <c r="AI106" s="175"/>
      <c r="AL106" s="486"/>
      <c r="AM106" s="485"/>
      <c r="AN106" s="487"/>
      <c r="AO106" s="485"/>
    </row>
    <row r="107" spans="14:41" ht="15.75" x14ac:dyDescent="0.25">
      <c r="O107" s="481"/>
      <c r="P107" s="482"/>
      <c r="Q107" s="175"/>
      <c r="R107" s="175"/>
      <c r="S107" s="175"/>
      <c r="T107" s="175"/>
      <c r="U107" s="175"/>
      <c r="V107" s="175"/>
      <c r="W107" s="175"/>
      <c r="X107" s="175"/>
      <c r="Y107" s="175"/>
      <c r="Z107" s="175"/>
      <c r="AA107" s="175"/>
      <c r="AB107" s="175"/>
      <c r="AC107" s="175"/>
      <c r="AD107" s="175"/>
      <c r="AE107" s="175"/>
      <c r="AF107" s="175"/>
      <c r="AG107" s="175"/>
      <c r="AH107" s="175"/>
      <c r="AI107" s="175"/>
      <c r="AL107" s="313"/>
      <c r="AM107" s="485"/>
      <c r="AN107" s="485"/>
      <c r="AO107" s="485"/>
    </row>
    <row r="108" spans="14:41" x14ac:dyDescent="0.25">
      <c r="O108" s="481"/>
      <c r="P108" s="482"/>
      <c r="Q108" s="175"/>
      <c r="R108" s="175"/>
      <c r="S108" s="175"/>
      <c r="T108" s="175"/>
      <c r="U108" s="175"/>
      <c r="V108" s="175"/>
      <c r="W108" s="175"/>
      <c r="X108" s="175"/>
      <c r="Y108" s="175"/>
      <c r="Z108" s="175"/>
      <c r="AA108" s="175"/>
      <c r="AB108" s="175"/>
      <c r="AC108" s="175"/>
      <c r="AD108" s="175"/>
      <c r="AE108" s="175"/>
      <c r="AF108" s="175"/>
      <c r="AG108" s="175"/>
      <c r="AH108" s="175"/>
      <c r="AI108" s="175"/>
    </row>
    <row r="109" spans="14:41" x14ac:dyDescent="0.25">
      <c r="O109" s="481"/>
      <c r="P109" s="482"/>
      <c r="Q109" s="175"/>
      <c r="R109" s="175"/>
      <c r="S109" s="175"/>
      <c r="T109" s="175"/>
      <c r="U109" s="175"/>
      <c r="V109" s="175"/>
      <c r="W109" s="175"/>
      <c r="X109" s="175"/>
      <c r="Y109" s="175"/>
      <c r="Z109" s="175"/>
      <c r="AA109" s="175"/>
      <c r="AB109" s="175"/>
      <c r="AC109" s="175"/>
      <c r="AD109" s="175"/>
      <c r="AE109" s="175"/>
      <c r="AF109" s="175"/>
      <c r="AG109" s="175"/>
      <c r="AH109" s="175"/>
      <c r="AI109" s="175"/>
    </row>
    <row r="110" spans="14:41" x14ac:dyDescent="0.25">
      <c r="O110" s="481"/>
      <c r="P110" s="482"/>
      <c r="Q110" s="175"/>
      <c r="R110" s="175"/>
      <c r="S110" s="175"/>
      <c r="T110" s="175"/>
      <c r="U110" s="175"/>
      <c r="V110" s="175"/>
      <c r="W110" s="175"/>
      <c r="X110" s="175"/>
      <c r="Y110" s="175"/>
      <c r="Z110" s="175"/>
      <c r="AA110" s="175"/>
      <c r="AB110" s="175"/>
      <c r="AC110" s="175"/>
      <c r="AD110" s="175"/>
      <c r="AE110" s="175"/>
      <c r="AF110" s="175"/>
      <c r="AG110" s="175"/>
      <c r="AH110" s="175"/>
      <c r="AI110" s="175"/>
    </row>
    <row r="111" spans="14:41" x14ac:dyDescent="0.25">
      <c r="O111" s="481"/>
      <c r="P111" s="482"/>
      <c r="Q111" s="175"/>
      <c r="R111" s="175"/>
      <c r="S111" s="175"/>
      <c r="T111" s="175"/>
      <c r="U111" s="175"/>
      <c r="V111" s="175"/>
      <c r="W111" s="175"/>
      <c r="X111" s="175"/>
      <c r="Y111" s="175"/>
      <c r="Z111" s="175"/>
      <c r="AA111" s="175"/>
      <c r="AB111" s="175"/>
      <c r="AC111" s="175"/>
      <c r="AD111" s="175"/>
      <c r="AE111" s="175"/>
      <c r="AF111" s="175"/>
      <c r="AG111" s="175"/>
      <c r="AH111" s="175"/>
      <c r="AI111" s="175"/>
    </row>
    <row r="112" spans="14:41" x14ac:dyDescent="0.25">
      <c r="O112" s="481"/>
      <c r="P112" s="482"/>
      <c r="Q112" s="175"/>
      <c r="R112" s="175"/>
      <c r="S112" s="175"/>
      <c r="T112" s="175"/>
      <c r="U112" s="175"/>
      <c r="V112" s="175"/>
      <c r="W112" s="175"/>
      <c r="X112" s="175"/>
      <c r="Y112" s="175"/>
      <c r="Z112" s="175"/>
      <c r="AA112" s="175"/>
      <c r="AB112" s="175"/>
      <c r="AC112" s="175"/>
      <c r="AD112" s="175"/>
      <c r="AE112" s="175"/>
      <c r="AF112" s="175"/>
      <c r="AG112" s="175"/>
      <c r="AH112" s="175"/>
      <c r="AI112" s="175"/>
    </row>
    <row r="113" spans="15:43" ht="15.75" x14ac:dyDescent="0.25">
      <c r="O113" s="481"/>
      <c r="P113" s="482"/>
      <c r="Q113" s="175"/>
      <c r="R113" s="175"/>
      <c r="S113" s="175"/>
      <c r="T113" s="175"/>
      <c r="U113" s="175"/>
      <c r="V113" s="175"/>
      <c r="W113" s="175"/>
      <c r="X113" s="175"/>
      <c r="Y113" s="175"/>
      <c r="Z113" s="175"/>
      <c r="AA113" s="175"/>
      <c r="AB113" s="175"/>
      <c r="AC113" s="175"/>
      <c r="AD113" s="175"/>
      <c r="AE113" s="175"/>
      <c r="AF113" s="175"/>
      <c r="AG113" s="175"/>
      <c r="AH113" s="175"/>
      <c r="AI113" s="175"/>
      <c r="AN113" s="488"/>
    </row>
    <row r="114" spans="15:43" ht="15.75" x14ac:dyDescent="0.25">
      <c r="O114" s="481"/>
      <c r="P114" s="482"/>
      <c r="Q114" s="175"/>
      <c r="R114" s="175"/>
      <c r="S114" s="175"/>
      <c r="T114" s="175"/>
      <c r="U114" s="175"/>
      <c r="V114" s="175"/>
      <c r="W114" s="175"/>
      <c r="X114" s="175"/>
      <c r="Y114" s="175"/>
      <c r="Z114" s="175"/>
      <c r="AA114" s="175"/>
      <c r="AB114" s="175"/>
      <c r="AC114" s="175"/>
      <c r="AD114" s="175"/>
      <c r="AE114" s="175"/>
      <c r="AF114" s="175"/>
      <c r="AG114" s="175"/>
      <c r="AH114" s="175"/>
      <c r="AI114" s="175"/>
      <c r="AM114" s="488"/>
      <c r="AN114" s="488"/>
    </row>
    <row r="115" spans="15:43" x14ac:dyDescent="0.25">
      <c r="O115" s="481"/>
      <c r="P115" s="482"/>
      <c r="Q115" s="175"/>
      <c r="R115" s="175"/>
      <c r="S115" s="175"/>
      <c r="T115" s="175"/>
      <c r="U115" s="175"/>
      <c r="V115" s="175"/>
      <c r="W115" s="175"/>
      <c r="X115" s="175"/>
      <c r="Y115" s="175"/>
      <c r="Z115" s="175"/>
      <c r="AA115" s="175"/>
      <c r="AB115" s="175"/>
      <c r="AC115" s="175"/>
      <c r="AD115" s="175"/>
      <c r="AE115" s="175"/>
      <c r="AF115" s="175"/>
      <c r="AG115" s="175"/>
      <c r="AH115" s="175"/>
      <c r="AI115" s="175"/>
    </row>
    <row r="116" spans="15:43" x14ac:dyDescent="0.25">
      <c r="O116" s="481"/>
      <c r="P116" s="482"/>
      <c r="Q116" s="175"/>
      <c r="R116" s="175"/>
      <c r="S116" s="175"/>
      <c r="T116" s="175"/>
      <c r="U116" s="175"/>
      <c r="V116" s="175"/>
      <c r="W116" s="175"/>
      <c r="X116" s="175"/>
      <c r="Y116" s="175"/>
      <c r="Z116" s="175"/>
      <c r="AA116" s="175"/>
      <c r="AB116" s="175"/>
      <c r="AC116" s="175"/>
      <c r="AD116" s="175"/>
      <c r="AE116" s="175"/>
      <c r="AF116" s="175"/>
      <c r="AG116" s="175"/>
      <c r="AH116" s="175"/>
      <c r="AI116" s="175"/>
      <c r="AQ116" s="83"/>
    </row>
    <row r="117" spans="15:43" x14ac:dyDescent="0.25">
      <c r="O117" s="481"/>
      <c r="P117" s="482"/>
      <c r="Q117" s="175"/>
      <c r="R117" s="175"/>
      <c r="S117" s="175"/>
      <c r="T117" s="175"/>
      <c r="U117" s="175"/>
      <c r="V117" s="175"/>
      <c r="W117" s="175"/>
      <c r="X117" s="175"/>
      <c r="Y117" s="175"/>
      <c r="Z117" s="175"/>
      <c r="AA117" s="175"/>
      <c r="AB117" s="175"/>
      <c r="AC117" s="175"/>
      <c r="AD117" s="175"/>
      <c r="AE117" s="175"/>
      <c r="AF117" s="175"/>
      <c r="AG117" s="175"/>
      <c r="AH117" s="175"/>
      <c r="AI117" s="175"/>
      <c r="AK117" s="175"/>
      <c r="AQ117" s="83"/>
    </row>
    <row r="118" spans="15:43" x14ac:dyDescent="0.25">
      <c r="O118" s="481"/>
      <c r="P118" s="482"/>
      <c r="Q118" s="175"/>
      <c r="R118" s="175"/>
      <c r="S118" s="175"/>
      <c r="T118" s="175"/>
      <c r="U118" s="175"/>
      <c r="V118" s="175"/>
      <c r="W118" s="175"/>
      <c r="X118" s="175"/>
      <c r="Y118" s="175"/>
      <c r="Z118" s="175"/>
      <c r="AA118" s="175"/>
      <c r="AB118" s="175"/>
      <c r="AC118" s="175"/>
      <c r="AD118" s="175"/>
      <c r="AE118" s="175"/>
      <c r="AF118" s="175"/>
      <c r="AG118" s="175"/>
      <c r="AH118" s="175"/>
      <c r="AI118" s="175"/>
      <c r="AK118" s="175"/>
      <c r="AQ118" s="83"/>
    </row>
    <row r="119" spans="15:43" x14ac:dyDescent="0.25">
      <c r="O119" s="481"/>
      <c r="P119" s="482"/>
      <c r="Q119" s="175"/>
      <c r="R119" s="175"/>
      <c r="S119" s="175"/>
      <c r="T119" s="175"/>
      <c r="U119" s="175"/>
      <c r="V119" s="175"/>
      <c r="W119" s="175"/>
      <c r="X119" s="175"/>
      <c r="Y119" s="175"/>
      <c r="Z119" s="175"/>
      <c r="AA119" s="175"/>
      <c r="AB119" s="175"/>
      <c r="AC119" s="175"/>
      <c r="AD119" s="175"/>
      <c r="AE119" s="175"/>
      <c r="AF119" s="175"/>
      <c r="AG119" s="175"/>
      <c r="AH119" s="175"/>
      <c r="AI119" s="175"/>
      <c r="AK119" s="175"/>
      <c r="AQ119" s="83"/>
    </row>
    <row r="120" spans="15:43" x14ac:dyDescent="0.25">
      <c r="O120" s="481"/>
      <c r="P120" s="482"/>
      <c r="Q120" s="175"/>
      <c r="R120" s="175"/>
      <c r="S120" s="175"/>
      <c r="T120" s="175"/>
      <c r="U120" s="175"/>
      <c r="V120" s="175"/>
      <c r="W120" s="175"/>
      <c r="X120" s="175"/>
      <c r="Y120" s="175"/>
      <c r="Z120" s="175"/>
      <c r="AA120" s="175"/>
      <c r="AB120" s="175"/>
      <c r="AC120" s="175"/>
      <c r="AD120" s="175"/>
      <c r="AE120" s="175"/>
      <c r="AF120" s="175"/>
      <c r="AG120" s="175"/>
      <c r="AH120" s="175"/>
      <c r="AI120" s="175"/>
      <c r="AK120" s="175"/>
      <c r="AQ120" s="83"/>
    </row>
    <row r="121" spans="15:43" x14ac:dyDescent="0.25">
      <c r="O121" s="481"/>
      <c r="P121" s="482"/>
      <c r="Q121" s="175"/>
      <c r="R121" s="175"/>
      <c r="S121" s="175"/>
      <c r="T121" s="175"/>
      <c r="U121" s="175"/>
      <c r="V121" s="175"/>
      <c r="W121" s="175"/>
      <c r="X121" s="175"/>
      <c r="Y121" s="175"/>
      <c r="Z121" s="175"/>
      <c r="AA121" s="175"/>
      <c r="AB121" s="175"/>
      <c r="AC121" s="175"/>
      <c r="AD121" s="175"/>
      <c r="AE121" s="175"/>
      <c r="AF121" s="175"/>
      <c r="AG121" s="175"/>
      <c r="AH121" s="175"/>
      <c r="AI121" s="175"/>
      <c r="AK121" s="175"/>
      <c r="AQ121" s="83"/>
    </row>
    <row r="122" spans="15:43" x14ac:dyDescent="0.25">
      <c r="O122" s="481"/>
      <c r="P122" s="482"/>
      <c r="AK122" s="175"/>
      <c r="AQ122" s="83"/>
    </row>
    <row r="123" spans="15:43" x14ac:dyDescent="0.25">
      <c r="P123" s="482"/>
    </row>
    <row r="137" ht="150.75" customHeight="1" x14ac:dyDescent="0.25"/>
    <row r="145" spans="3:3" x14ac:dyDescent="0.25">
      <c r="C145" s="179"/>
    </row>
    <row r="146" spans="3:3" x14ac:dyDescent="0.25">
      <c r="C146" s="179"/>
    </row>
    <row r="278" spans="14:15" x14ac:dyDescent="0.25">
      <c r="N278" s="146"/>
      <c r="O278" s="145"/>
    </row>
  </sheetData>
  <sheetProtection selectLockedCells="1" selectUnlockedCells="1"/>
  <mergeCells count="7">
    <mergeCell ref="AT16:IN16"/>
    <mergeCell ref="AU18:AV20"/>
    <mergeCell ref="AX18:HW19"/>
    <mergeCell ref="IG19:IM19"/>
    <mergeCell ref="B47:C47"/>
    <mergeCell ref="D16:V16"/>
    <mergeCell ref="N45:N46"/>
  </mergeCells>
  <conditionalFormatting sqref="Q47:AA61">
    <cfRule type="colorScale" priority="6">
      <colorScale>
        <cfvo type="min"/>
        <cfvo type="percentile" val="50"/>
        <cfvo type="max"/>
        <color rgb="FF63BE7B"/>
        <color rgb="FFFFEB84"/>
        <color rgb="FFF8696B"/>
      </colorScale>
    </cfRule>
  </conditionalFormatting>
  <conditionalFormatting sqref="Q89:AA89 X75:X88">
    <cfRule type="colorScale" priority="3">
      <colorScale>
        <cfvo type="min"/>
        <cfvo type="percentile" val="50"/>
        <cfvo type="max"/>
        <color rgb="FF63BE7B"/>
        <color rgb="FFFFEB84"/>
        <color rgb="FFF8696B"/>
      </colorScale>
    </cfRule>
  </conditionalFormatting>
  <conditionalFormatting sqref="Q103:AA117">
    <cfRule type="colorScale" priority="2">
      <colorScale>
        <cfvo type="min"/>
        <cfvo type="percentile" val="50"/>
        <cfvo type="max"/>
        <color rgb="FF63BE7B"/>
        <color rgb="FFFFEB84"/>
        <color rgb="FFF8696B"/>
      </colorScale>
    </cfRule>
  </conditionalFormatting>
  <conditionalFormatting sqref="Q94:AB94">
    <cfRule type="colorScale" priority="5">
      <colorScale>
        <cfvo type="min"/>
        <cfvo type="percentile" val="50"/>
        <cfvo type="max"/>
        <color rgb="FF63BE7B"/>
        <color rgb="FFFFEB84"/>
        <color rgb="FFF8696B"/>
      </colorScale>
    </cfRule>
  </conditionalFormatting>
  <conditionalFormatting sqref="Q122:AB122 AJ103:AJ112">
    <cfRule type="colorScale" priority="4">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N278"/>
  <sheetViews>
    <sheetView zoomScale="70" zoomScaleNormal="70" workbookViewId="0">
      <selection activeCell="N67" sqref="N67:N68"/>
    </sheetView>
  </sheetViews>
  <sheetFormatPr defaultRowHeight="15" x14ac:dyDescent="0.25"/>
  <cols>
    <col min="1" max="1" width="12.85546875" customWidth="1"/>
    <col min="2" max="2" width="20.7109375" customWidth="1"/>
    <col min="3" max="3" width="19.7109375" customWidth="1"/>
    <col min="4" max="4" width="13.7109375" customWidth="1"/>
    <col min="5" max="5" width="20" customWidth="1"/>
    <col min="6" max="6" width="13.42578125" customWidth="1"/>
    <col min="7" max="7" width="9.85546875" customWidth="1"/>
    <col min="8" max="8" width="10" customWidth="1"/>
    <col min="9" max="9" width="13.42578125" customWidth="1"/>
    <col min="10" max="10" width="10.28515625" customWidth="1"/>
    <col min="11" max="11" width="15.140625" customWidth="1"/>
    <col min="12" max="12" width="9.140625" customWidth="1"/>
    <col min="13" max="13" width="12.42578125" customWidth="1"/>
    <col min="14" max="14" width="17.28515625" customWidth="1"/>
    <col min="15" max="15" width="16.42578125" customWidth="1"/>
    <col min="16" max="16" width="15.140625" customWidth="1"/>
    <col min="18" max="21" width="9.140625" customWidth="1"/>
    <col min="22" max="22" width="12.85546875" customWidth="1"/>
    <col min="23" max="25" width="9.140625" customWidth="1"/>
    <col min="28" max="35" width="9.140625" customWidth="1"/>
    <col min="38" max="38" width="12.28515625" customWidth="1"/>
    <col min="39"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6" width="0" hidden="1" customWidth="1"/>
    <col min="107" max="107" width="12.140625" hidden="1" customWidth="1"/>
    <col min="108" max="109" width="9.140625" hidden="1" customWidth="1"/>
    <col min="110" max="111" width="9.140625" customWidth="1"/>
    <col min="112" max="115" width="9.140625" hidden="1" customWidth="1"/>
    <col min="116" max="117" width="0"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4" width="9.140625" hidden="1" customWidth="1"/>
    <col min="195" max="195" width="18.140625" hidden="1" customWidth="1"/>
    <col min="196" max="196" width="15.140625" hidden="1" customWidth="1"/>
    <col min="197" max="197" width="17.85546875" hidden="1" customWidth="1"/>
    <col min="198" max="198" width="29" hidden="1" customWidth="1"/>
    <col min="199" max="199" width="30.28515625" hidden="1" customWidth="1"/>
    <col min="200" max="200" width="35.42578125" hidden="1" customWidth="1"/>
    <col min="201" max="201" width="26.140625" hidden="1" customWidth="1"/>
    <col min="202" max="202" width="22.5703125" hidden="1" customWidth="1"/>
    <col min="203" max="203" width="28" hidden="1" customWidth="1"/>
    <col min="204" max="206" width="0" hidden="1" customWidth="1"/>
    <col min="207" max="207" width="20.28515625" hidden="1" customWidth="1"/>
    <col min="208" max="208" width="36" hidden="1" customWidth="1"/>
    <col min="209" max="209" width="35.42578125" hidden="1" customWidth="1"/>
    <col min="210" max="210" width="33.42578125" hidden="1" customWidth="1"/>
    <col min="211" max="211" width="30.85546875" hidden="1" customWidth="1"/>
    <col min="212" max="214" width="0" hidden="1" customWidth="1"/>
    <col min="215" max="215" width="18.28515625" hidden="1" customWidth="1"/>
    <col min="216" max="239" width="0" hidden="1" customWidth="1"/>
  </cols>
  <sheetData>
    <row r="1" spans="2:248" ht="21.75" thickBot="1" x14ac:dyDescent="0.4">
      <c r="B1" s="315" t="s">
        <v>39</v>
      </c>
      <c r="C1" s="381" t="s">
        <v>59</v>
      </c>
      <c r="D1" s="387"/>
      <c r="E1" s="387"/>
      <c r="F1" s="388"/>
    </row>
    <row r="2" spans="2:248" ht="21" x14ac:dyDescent="0.35">
      <c r="B2" s="382" t="s">
        <v>40</v>
      </c>
      <c r="C2" s="314"/>
      <c r="D2" s="314" t="s">
        <v>73</v>
      </c>
      <c r="E2" s="314"/>
      <c r="F2" s="331"/>
      <c r="H2" s="403" t="s">
        <v>277</v>
      </c>
      <c r="I2" s="387"/>
      <c r="J2" s="388"/>
      <c r="N2" s="315" t="s">
        <v>64</v>
      </c>
      <c r="O2" s="316"/>
      <c r="P2" s="316"/>
      <c r="Q2" s="316"/>
      <c r="R2" s="316"/>
      <c r="S2" s="316"/>
      <c r="T2" s="316"/>
      <c r="U2" s="316"/>
      <c r="V2" s="316"/>
      <c r="W2" s="324"/>
    </row>
    <row r="3" spans="2:248" ht="18.75" x14ac:dyDescent="0.3">
      <c r="B3" s="382" t="s">
        <v>41</v>
      </c>
      <c r="C3" s="314" t="str">
        <f>IF('DATA ENTRY'!B9="mm",'DATA ENTRY'!B10/25.4,'DATA ENTRY'!B10)</f>
        <v>ENTER WIDTH</v>
      </c>
      <c r="D3" s="287" t="e">
        <f>IF('DATA ENTRY'!B12="ACTUAL",'QA1245'!C3,'QA1245'!C3-0.5)</f>
        <v>#VALUE!</v>
      </c>
      <c r="E3" s="314"/>
      <c r="F3" s="331"/>
      <c r="G3" s="175"/>
      <c r="H3" s="330" t="s">
        <v>278</v>
      </c>
      <c r="J3" s="331" t="e">
        <f>D3*D4/144</f>
        <v>#VALUE!</v>
      </c>
      <c r="N3" s="48"/>
      <c r="O3" s="47"/>
      <c r="P3" s="47"/>
      <c r="Q3" s="47"/>
      <c r="R3" s="47"/>
      <c r="S3" s="47"/>
      <c r="T3" s="47"/>
      <c r="U3" s="47"/>
      <c r="V3" s="47"/>
      <c r="W3" s="278"/>
    </row>
    <row r="4" spans="2:248" ht="18.75" x14ac:dyDescent="0.3">
      <c r="B4" s="382" t="s">
        <v>42</v>
      </c>
      <c r="C4" s="314" t="str">
        <f>IF('DATA ENTRY'!B9="mm",'DATA ENTRY'!B11/25.4,'DATA ENTRY'!B11)</f>
        <v>ENTER HEIGHT</v>
      </c>
      <c r="D4" s="287" t="e">
        <f>IF('DATA ENTRY'!B11=527,20.75,IF('DATA ENTRY'!B12="ACTUAL",'QA1245'!C4,'QA1245'!C4-0.5))</f>
        <v>#VALUE!</v>
      </c>
      <c r="E4" s="314"/>
      <c r="F4" s="331"/>
      <c r="H4" s="330" t="s">
        <v>279</v>
      </c>
      <c r="I4" s="314"/>
      <c r="J4" s="331" t="e">
        <f>C5/J3</f>
        <v>#VALUE!</v>
      </c>
      <c r="N4" s="280"/>
      <c r="O4" s="282" t="str">
        <f>C1&amp;"_MODEL"</f>
        <v>QA1245_MODEL</v>
      </c>
      <c r="P4" s="282" t="s">
        <v>114</v>
      </c>
      <c r="Q4" s="282"/>
      <c r="R4" s="282"/>
      <c r="S4" s="282"/>
      <c r="T4" s="282"/>
      <c r="U4" s="282"/>
      <c r="V4" s="361" t="s">
        <v>116</v>
      </c>
      <c r="W4" s="291"/>
    </row>
    <row r="5" spans="2:248" ht="18.75" x14ac:dyDescent="0.3">
      <c r="B5" s="382" t="s">
        <v>43</v>
      </c>
      <c r="C5" s="509" t="str">
        <f>IF('DATA ENTRY'!B9="mm",'DATA ENTRY'!B13*2.1188799727597,'DATA ENTRY'!B13)</f>
        <v>ENTER AIR VOLUME</v>
      </c>
      <c r="D5" s="314"/>
      <c r="E5" s="314"/>
      <c r="F5" s="331"/>
      <c r="H5" s="330"/>
      <c r="I5" s="314"/>
      <c r="J5" s="331"/>
      <c r="N5" s="280" t="s">
        <v>93</v>
      </c>
      <c r="O5" s="282" t="str">
        <f>C1&amp;"_FA"</f>
        <v>QA1245_FA</v>
      </c>
      <c r="P5" s="283" t="e">
        <f>D64</f>
        <v>#VALUE!</v>
      </c>
      <c r="Q5" s="282" t="s">
        <v>45</v>
      </c>
      <c r="R5" s="282"/>
      <c r="S5" s="282"/>
      <c r="T5" s="282"/>
      <c r="U5" s="282"/>
      <c r="V5" s="282" t="str">
        <f>C1&amp;"_W"</f>
        <v>QA1245_W</v>
      </c>
      <c r="W5" s="286" t="e">
        <f>D3</f>
        <v>#VALUE!</v>
      </c>
    </row>
    <row r="6" spans="2:248" ht="18.75" x14ac:dyDescent="0.3">
      <c r="B6" s="382" t="s">
        <v>44</v>
      </c>
      <c r="C6" s="383" t="str">
        <f>'DATA ENTRY'!B14</f>
        <v>SELECT AIR DIRECTION</v>
      </c>
      <c r="D6" s="314"/>
      <c r="E6" s="314"/>
      <c r="F6" s="331"/>
      <c r="H6" s="330"/>
      <c r="I6" s="314"/>
      <c r="J6" s="331"/>
      <c r="N6" s="280" t="s">
        <v>70</v>
      </c>
      <c r="O6" s="282" t="str">
        <f>C1&amp;"_FA%"</f>
        <v>QA1245_FA%</v>
      </c>
      <c r="P6" s="284" t="e">
        <f>D66</f>
        <v>#VALUE!</v>
      </c>
      <c r="Q6" s="282" t="s">
        <v>16</v>
      </c>
      <c r="R6" s="282"/>
      <c r="S6" s="282"/>
      <c r="T6" s="282"/>
      <c r="U6" s="282"/>
      <c r="V6" s="282" t="str">
        <f>C1&amp;"_H"</f>
        <v>QA1245_H</v>
      </c>
      <c r="W6" s="286" t="e">
        <f>D4</f>
        <v>#VALUE!</v>
      </c>
    </row>
    <row r="7" spans="2:248" ht="19.5" thickBot="1" x14ac:dyDescent="0.35">
      <c r="B7" s="330"/>
      <c r="C7" s="314"/>
      <c r="D7" s="314"/>
      <c r="E7" s="314"/>
      <c r="F7" s="331"/>
      <c r="H7" s="543"/>
      <c r="I7" s="544"/>
      <c r="J7" s="545"/>
      <c r="N7" s="280" t="s">
        <v>96</v>
      </c>
      <c r="O7" s="282" t="str">
        <f>C1&amp;"_VEL"</f>
        <v>QA1245_VEL</v>
      </c>
      <c r="P7" s="364" t="e">
        <f>D68</f>
        <v>#VALUE!</v>
      </c>
      <c r="Q7" s="282" t="s">
        <v>0</v>
      </c>
      <c r="R7" s="282"/>
      <c r="S7" s="282"/>
      <c r="T7" s="282"/>
      <c r="U7" s="282"/>
      <c r="V7" s="282" t="str">
        <f>C1&amp;"_SW"</f>
        <v>QA1245_SW</v>
      </c>
      <c r="W7" s="286" t="e">
        <f>C8</f>
        <v>#VALUE!</v>
      </c>
    </row>
    <row r="8" spans="2:248" ht="18.75" x14ac:dyDescent="0.3">
      <c r="B8" s="382" t="s">
        <v>74</v>
      </c>
      <c r="C8" s="314" t="e">
        <f>CEILING(D3/72,1)</f>
        <v>#VALUE!</v>
      </c>
      <c r="D8" s="314"/>
      <c r="E8" s="314" t="s">
        <v>75</v>
      </c>
      <c r="F8" s="331" t="e">
        <f>CEILING(D4/96,1)</f>
        <v>#VALUE!</v>
      </c>
      <c r="N8" s="280" t="s">
        <v>94</v>
      </c>
      <c r="O8" s="282" t="str">
        <f>C1&amp;"_Intake"</f>
        <v>QA1245_Intake</v>
      </c>
      <c r="P8" s="283" t="e">
        <f>D69</f>
        <v>#VALUE!</v>
      </c>
      <c r="Q8" s="282" t="s">
        <v>99</v>
      </c>
      <c r="R8" s="282"/>
      <c r="S8" s="282"/>
      <c r="T8" s="282"/>
      <c r="U8" s="282"/>
      <c r="V8" s="282" t="str">
        <f>C1&amp;"_SH"</f>
        <v>QA1245_SH</v>
      </c>
      <c r="W8" s="286" t="e">
        <f>F8</f>
        <v>#VALUE!</v>
      </c>
    </row>
    <row r="9" spans="2:248" ht="18.75" x14ac:dyDescent="0.3">
      <c r="B9" s="382" t="s">
        <v>72</v>
      </c>
      <c r="C9" s="314" t="e">
        <f>D3/C8</f>
        <v>#VALUE!</v>
      </c>
      <c r="D9" s="314"/>
      <c r="E9" s="314" t="s">
        <v>63</v>
      </c>
      <c r="F9" s="331" t="e">
        <f>D4/F8</f>
        <v>#VALUE!</v>
      </c>
      <c r="N9" s="280" t="s">
        <v>95</v>
      </c>
      <c r="O9" s="282" t="str">
        <f>C1&amp;"_Exhaust"</f>
        <v>QA1245_Exhaust</v>
      </c>
      <c r="P9" s="283" t="e">
        <f>D70</f>
        <v>#VALUE!</v>
      </c>
      <c r="Q9" s="282" t="s">
        <v>99</v>
      </c>
      <c r="R9" s="282"/>
      <c r="S9" s="282"/>
      <c r="T9" s="282"/>
      <c r="U9" s="282"/>
      <c r="V9" s="282"/>
      <c r="W9" s="291"/>
    </row>
    <row r="10" spans="2:248" ht="18.75" x14ac:dyDescent="0.3">
      <c r="B10" s="330"/>
      <c r="C10" s="314"/>
      <c r="D10" s="314"/>
      <c r="E10" s="314"/>
      <c r="F10" s="331"/>
      <c r="N10" s="280" t="s">
        <v>100</v>
      </c>
      <c r="O10" s="282" t="str">
        <f>C1&amp;"_SEC"</f>
        <v>QA1245_SEC</v>
      </c>
      <c r="P10" s="282" t="e">
        <f>C11</f>
        <v>#VALUE!</v>
      </c>
      <c r="Q10" s="282"/>
      <c r="R10" s="282"/>
      <c r="S10" s="282"/>
      <c r="T10" s="282"/>
      <c r="U10" s="282"/>
      <c r="V10" s="282"/>
      <c r="W10" s="291"/>
    </row>
    <row r="11" spans="2:248" ht="18.75" x14ac:dyDescent="0.3">
      <c r="B11" s="382" t="s">
        <v>76</v>
      </c>
      <c r="C11" s="314" t="e">
        <f>C8*F8</f>
        <v>#VALUE!</v>
      </c>
      <c r="D11" s="314"/>
      <c r="E11" s="383" t="s">
        <v>164</v>
      </c>
      <c r="F11" s="384">
        <v>12</v>
      </c>
      <c r="N11" s="280" t="s">
        <v>97</v>
      </c>
      <c r="O11" s="282" t="str">
        <f>C1&amp;"_SECW"</f>
        <v>QA1245_SECW</v>
      </c>
      <c r="P11" s="364" t="e">
        <f>AB79</f>
        <v>#VALUE!</v>
      </c>
      <c r="Q11" s="282" t="s">
        <v>86</v>
      </c>
      <c r="R11" s="282"/>
      <c r="S11" s="282"/>
      <c r="T11" s="282"/>
      <c r="U11" s="282"/>
      <c r="V11" s="282"/>
      <c r="W11" s="291"/>
    </row>
    <row r="12" spans="2:248" ht="18.75" x14ac:dyDescent="0.3">
      <c r="B12" s="330"/>
      <c r="C12" s="314"/>
      <c r="D12" s="314"/>
      <c r="E12" s="383" t="s">
        <v>165</v>
      </c>
      <c r="F12" s="384">
        <v>20.75</v>
      </c>
      <c r="N12" s="280" t="s">
        <v>98</v>
      </c>
      <c r="O12" s="282" t="str">
        <f>C1&amp;"_TW"</f>
        <v>QA1245_TW</v>
      </c>
      <c r="P12" s="364" t="e">
        <f>AB78</f>
        <v>#VALUE!</v>
      </c>
      <c r="Q12" s="282" t="s">
        <v>86</v>
      </c>
      <c r="R12" s="47"/>
      <c r="S12" s="47"/>
      <c r="T12" s="47"/>
      <c r="U12" s="47"/>
      <c r="V12" s="47"/>
      <c r="W12" s="278"/>
    </row>
    <row r="13" spans="2:248" ht="18.75" x14ac:dyDescent="0.3">
      <c r="B13" s="330"/>
      <c r="C13" s="314"/>
      <c r="D13" s="314"/>
      <c r="E13" s="383"/>
      <c r="F13" s="384"/>
      <c r="N13" s="280" t="s">
        <v>280</v>
      </c>
      <c r="O13" s="282" t="str">
        <f>$C$1&amp;"_FACEAREA"</f>
        <v>QA1245_FACEAREA</v>
      </c>
      <c r="P13" s="364" t="e">
        <f>J3</f>
        <v>#VALUE!</v>
      </c>
      <c r="Q13" s="282" t="s">
        <v>45</v>
      </c>
      <c r="R13" s="47"/>
      <c r="S13" s="47"/>
      <c r="T13" s="47"/>
      <c r="U13" s="47"/>
      <c r="V13" s="47"/>
      <c r="W13" s="278"/>
    </row>
    <row r="14" spans="2:248" ht="19.5" thickBot="1" x14ac:dyDescent="0.35">
      <c r="B14" s="330"/>
      <c r="C14" s="314"/>
      <c r="D14" s="314"/>
      <c r="E14" s="383"/>
      <c r="F14" s="384"/>
      <c r="N14" s="281" t="s">
        <v>277</v>
      </c>
      <c r="O14" s="395" t="str">
        <f>$C$1&amp;"_FACEVEL"</f>
        <v>QA1245_FACEVEL</v>
      </c>
      <c r="P14" s="472" t="e">
        <f>J4</f>
        <v>#VALUE!</v>
      </c>
      <c r="Q14" s="395" t="s">
        <v>0</v>
      </c>
      <c r="R14" s="50"/>
      <c r="S14" s="50"/>
      <c r="T14" s="50"/>
      <c r="U14" s="50"/>
      <c r="V14" s="50"/>
      <c r="W14" s="279"/>
    </row>
    <row r="15" spans="2:248" ht="15.75" thickBot="1" x14ac:dyDescent="0.3">
      <c r="B15" s="49"/>
      <c r="C15" s="50"/>
      <c r="D15" s="50"/>
      <c r="E15" s="50"/>
      <c r="F15" s="279"/>
    </row>
    <row r="16" spans="2:24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5"/>
      <c r="W16" s="94"/>
      <c r="X16" s="95"/>
      <c r="AT16" s="886" t="s">
        <v>59</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8"/>
    </row>
    <row r="17" spans="2:248" ht="15.75" thickBot="1" x14ac:dyDescent="0.3">
      <c r="B17" s="66"/>
      <c r="C17" s="68"/>
      <c r="D17" s="68">
        <f>F11</f>
        <v>12</v>
      </c>
      <c r="E17" s="68">
        <f>D17+6</f>
        <v>18</v>
      </c>
      <c r="F17" s="68">
        <f t="shared" ref="F17:G17" si="0">E17+6</f>
        <v>24</v>
      </c>
      <c r="G17" s="68">
        <f t="shared" si="0"/>
        <v>30</v>
      </c>
      <c r="H17" s="68">
        <f>G17+6</f>
        <v>36</v>
      </c>
      <c r="I17" s="68">
        <v>42</v>
      </c>
      <c r="J17" s="68">
        <v>48</v>
      </c>
      <c r="K17" s="68">
        <v>54</v>
      </c>
      <c r="L17" s="68">
        <v>60</v>
      </c>
      <c r="M17" s="68">
        <v>66</v>
      </c>
      <c r="N17" s="68">
        <v>72</v>
      </c>
      <c r="O17" s="68">
        <v>78</v>
      </c>
      <c r="P17" s="68">
        <v>84</v>
      </c>
      <c r="Q17" s="68">
        <v>90</v>
      </c>
      <c r="R17" s="68">
        <v>96</v>
      </c>
      <c r="S17" s="68">
        <v>102</v>
      </c>
      <c r="T17" s="68">
        <v>108</v>
      </c>
      <c r="U17" s="68">
        <v>114</v>
      </c>
      <c r="V17" s="68">
        <v>120</v>
      </c>
      <c r="W17" s="64"/>
      <c r="X17" s="65"/>
      <c r="AT17" s="4"/>
      <c r="AU17" s="5"/>
      <c r="AV17" s="5"/>
      <c r="AW17" s="5"/>
      <c r="AX17" s="6"/>
      <c r="AY17" s="7"/>
      <c r="AZ17" s="7"/>
      <c r="BA17" s="7"/>
      <c r="BB17" s="7"/>
      <c r="BC17" s="7"/>
      <c r="BD17" s="7"/>
      <c r="BE17" s="7"/>
      <c r="BF17" s="7"/>
      <c r="BG17" s="7"/>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5"/>
      <c r="IE17" s="5"/>
      <c r="IF17" s="5"/>
      <c r="IG17" s="5"/>
      <c r="IH17" s="5"/>
      <c r="II17" s="5"/>
      <c r="IJ17" s="5"/>
      <c r="IK17" s="5"/>
      <c r="IL17" s="5"/>
      <c r="IM17" s="5"/>
      <c r="IN17" s="8"/>
    </row>
    <row r="18" spans="2:248" ht="16.5" thickBot="1" x14ac:dyDescent="0.3">
      <c r="B18" s="107" t="s">
        <v>123</v>
      </c>
      <c r="C18" s="104">
        <v>1</v>
      </c>
      <c r="D18" s="105">
        <v>2</v>
      </c>
      <c r="E18" s="106">
        <v>3</v>
      </c>
      <c r="F18" s="106">
        <v>4</v>
      </c>
      <c r="G18" s="106">
        <v>5</v>
      </c>
      <c r="H18" s="106">
        <v>6</v>
      </c>
      <c r="I18" s="106">
        <v>7</v>
      </c>
      <c r="J18" s="106">
        <v>8</v>
      </c>
      <c r="K18" s="106">
        <v>9</v>
      </c>
      <c r="L18" s="106">
        <v>10</v>
      </c>
      <c r="M18" s="106">
        <v>11</v>
      </c>
      <c r="N18" s="106">
        <v>12</v>
      </c>
      <c r="O18" s="106">
        <v>13</v>
      </c>
      <c r="P18" s="106">
        <v>14</v>
      </c>
      <c r="Q18" s="106">
        <v>15</v>
      </c>
      <c r="R18" s="106">
        <v>16</v>
      </c>
      <c r="S18" s="106">
        <v>17</v>
      </c>
      <c r="T18" s="106">
        <v>18</v>
      </c>
      <c r="U18" s="106">
        <v>19</v>
      </c>
      <c r="V18" s="106">
        <v>20</v>
      </c>
      <c r="W18" s="64"/>
      <c r="X18" s="65"/>
      <c r="AT18" s="4"/>
      <c r="AU18" s="889" t="s">
        <v>17</v>
      </c>
      <c r="AV18" s="890"/>
      <c r="AW18" s="209"/>
      <c r="AX18" s="895" t="s">
        <v>18</v>
      </c>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208"/>
      <c r="HY18" s="208"/>
      <c r="HZ18" s="208"/>
      <c r="IA18" s="208"/>
      <c r="IB18" s="208"/>
      <c r="IC18" s="208"/>
      <c r="ID18" s="198"/>
      <c r="IE18" s="200"/>
      <c r="IF18" s="5"/>
      <c r="IG18" s="9"/>
      <c r="IH18" s="9"/>
      <c r="II18" s="9"/>
      <c r="IJ18" s="9"/>
      <c r="IK18" s="9"/>
      <c r="IL18" s="9"/>
      <c r="IM18" s="9"/>
      <c r="IN18" s="8"/>
    </row>
    <row r="19" spans="2:248" ht="15" hidden="1" customHeight="1" thickBot="1" x14ac:dyDescent="0.3">
      <c r="B19" s="103"/>
      <c r="C19" s="101"/>
      <c r="D19" s="99"/>
      <c r="E19" s="100"/>
      <c r="F19" s="100"/>
      <c r="G19" s="100"/>
      <c r="H19" s="100"/>
      <c r="I19" s="100"/>
      <c r="J19" s="100"/>
      <c r="K19" s="100"/>
      <c r="L19" s="100"/>
      <c r="M19" s="100"/>
      <c r="N19" s="100"/>
      <c r="O19" s="100"/>
      <c r="P19" s="100"/>
      <c r="Q19" s="100"/>
      <c r="R19" s="100"/>
      <c r="S19" s="100"/>
      <c r="T19" s="100"/>
      <c r="U19" s="100"/>
      <c r="V19" s="100"/>
      <c r="W19" s="96"/>
      <c r="X19" s="97"/>
      <c r="Y19" s="83"/>
      <c r="Z19" s="83"/>
      <c r="AA19" s="83"/>
      <c r="AT19" s="4"/>
      <c r="AU19" s="891"/>
      <c r="AV19" s="892"/>
      <c r="AW19" s="210"/>
      <c r="AX19" s="897"/>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207"/>
      <c r="HY19" s="207"/>
      <c r="HZ19" s="207"/>
      <c r="IA19" s="207"/>
      <c r="IB19" s="207"/>
      <c r="IC19" s="207"/>
      <c r="ID19" s="199"/>
      <c r="IE19" s="201"/>
      <c r="IF19" s="5"/>
      <c r="IG19" s="899" t="s">
        <v>19</v>
      </c>
      <c r="IH19" s="900"/>
      <c r="II19" s="900"/>
      <c r="IJ19" s="900"/>
      <c r="IK19" s="900"/>
      <c r="IL19" s="900"/>
      <c r="IM19" s="901"/>
      <c r="IN19" s="8"/>
    </row>
    <row r="20" spans="2:248" ht="15.75" thickBot="1" x14ac:dyDescent="0.3">
      <c r="B20" s="103">
        <f>F12</f>
        <v>20.75</v>
      </c>
      <c r="C20" s="102">
        <v>3</v>
      </c>
      <c r="D20" s="98">
        <f t="shared" ref="D20:D33" si="1">AX23/((D$17*B20)/144)</f>
        <v>9.5315642444130266E-2</v>
      </c>
      <c r="E20" s="96">
        <f t="shared" ref="E20:E33" si="2">BH23/((E$17*$B20)/144)</f>
        <v>0.10167001860707228</v>
      </c>
      <c r="F20" s="96">
        <f t="shared" ref="F20:F33" si="3">BR23/((F$17*$B20)/144)</f>
        <v>0.10484720668854329</v>
      </c>
      <c r="G20" s="96">
        <f t="shared" ref="G20:G33" si="4">CB23/((G$17*$B20)/144)</f>
        <v>0.10675351953742589</v>
      </c>
      <c r="H20" s="96">
        <f t="shared" ref="H20:H33" si="5">CL23/((H$17*$B20)/144)</f>
        <v>0.10802439477001428</v>
      </c>
      <c r="I20" s="96">
        <f t="shared" ref="I20:I33" si="6">CV23/((I$17*$B20)/144)</f>
        <v>0.10893216279329174</v>
      </c>
      <c r="J20" s="96">
        <f t="shared" ref="J20:J33" si="7">DF23/((J$17*$B20)/144)</f>
        <v>0.1096129888107498</v>
      </c>
      <c r="K20" s="96">
        <f t="shared" ref="K20:K33" si="8">DP23/((K$17*$B20)/144)</f>
        <v>0.11014252015766163</v>
      </c>
      <c r="L20" s="96">
        <f t="shared" ref="L20:L33" si="9">DZ23/((L$17*$B20)/144)</f>
        <v>0.11056614523519111</v>
      </c>
      <c r="M20" s="96">
        <f t="shared" ref="M20:M33" si="10">EJ23/((M$17*$B20)/144)</f>
        <v>0.11091274757135158</v>
      </c>
      <c r="N20" s="96">
        <f t="shared" ref="N20:N33" si="11">ET23/((N$17*$B20)/144)</f>
        <v>0.11120158285148531</v>
      </c>
      <c r="O20" s="259"/>
      <c r="P20" s="259"/>
      <c r="Q20" s="259"/>
      <c r="R20" s="259"/>
      <c r="S20" s="259"/>
      <c r="T20" s="259"/>
      <c r="U20" s="259"/>
      <c r="V20" s="259"/>
      <c r="W20" s="64"/>
      <c r="X20" s="65"/>
      <c r="Z20" s="83"/>
      <c r="AA20" s="83"/>
      <c r="AT20" s="4"/>
      <c r="AU20" s="893"/>
      <c r="AV20" s="894"/>
      <c r="AW20" s="10"/>
      <c r="AX20" s="11">
        <v>12</v>
      </c>
      <c r="AY20" s="12" t="str">
        <f>"("&amp;ROUND(AX20*25.4/50,0)*50&amp;")"</f>
        <v>(300)</v>
      </c>
      <c r="AZ20" s="13" t="s">
        <v>20</v>
      </c>
      <c r="BA20" s="13" t="s">
        <v>21</v>
      </c>
      <c r="BB20" s="13" t="s">
        <v>22</v>
      </c>
      <c r="BC20" s="13" t="s">
        <v>23</v>
      </c>
      <c r="BD20" s="13" t="s">
        <v>24</v>
      </c>
      <c r="BE20" s="13" t="s">
        <v>25</v>
      </c>
      <c r="BF20" s="13" t="s">
        <v>26</v>
      </c>
      <c r="BG20" s="13" t="s">
        <v>27</v>
      </c>
      <c r="BH20" s="11">
        <f>AX20+6</f>
        <v>18</v>
      </c>
      <c r="BI20" s="12" t="str">
        <f>"("&amp;ROUND(BH20*25.4/50,0)*50&amp;")"</f>
        <v>(450)</v>
      </c>
      <c r="BJ20" s="13" t="s">
        <v>20</v>
      </c>
      <c r="BK20" s="13" t="s">
        <v>21</v>
      </c>
      <c r="BL20" s="13" t="s">
        <v>22</v>
      </c>
      <c r="BM20" s="13" t="s">
        <v>23</v>
      </c>
      <c r="BN20" s="13" t="s">
        <v>24</v>
      </c>
      <c r="BO20" s="13" t="s">
        <v>25</v>
      </c>
      <c r="BP20" s="13" t="s">
        <v>26</v>
      </c>
      <c r="BQ20" s="13" t="s">
        <v>27</v>
      </c>
      <c r="BR20" s="11">
        <f>BH20+6</f>
        <v>24</v>
      </c>
      <c r="BS20" s="12" t="str">
        <f>"("&amp;ROUND(BR20*25.4/50,0)*50&amp;")"</f>
        <v>(600)</v>
      </c>
      <c r="BT20" s="13" t="s">
        <v>20</v>
      </c>
      <c r="BU20" s="13" t="s">
        <v>21</v>
      </c>
      <c r="BV20" s="13" t="s">
        <v>22</v>
      </c>
      <c r="BW20" s="13" t="s">
        <v>23</v>
      </c>
      <c r="BX20" s="13" t="s">
        <v>24</v>
      </c>
      <c r="BY20" s="13" t="s">
        <v>25</v>
      </c>
      <c r="BZ20" s="13" t="s">
        <v>26</v>
      </c>
      <c r="CA20" s="13" t="s">
        <v>27</v>
      </c>
      <c r="CB20" s="11">
        <f>BR20+6</f>
        <v>30</v>
      </c>
      <c r="CC20" s="12" t="str">
        <f>"("&amp;ROUND(CB20*25.4/50,0)*50&amp;")"</f>
        <v>(750)</v>
      </c>
      <c r="CD20" s="13" t="s">
        <v>20</v>
      </c>
      <c r="CE20" s="13" t="s">
        <v>21</v>
      </c>
      <c r="CF20" s="13" t="s">
        <v>22</v>
      </c>
      <c r="CG20" s="13" t="s">
        <v>23</v>
      </c>
      <c r="CH20" s="13" t="s">
        <v>24</v>
      </c>
      <c r="CI20" s="13" t="s">
        <v>25</v>
      </c>
      <c r="CJ20" s="13" t="s">
        <v>26</v>
      </c>
      <c r="CK20" s="13" t="s">
        <v>27</v>
      </c>
      <c r="CL20" s="11">
        <f>CB20+6</f>
        <v>36</v>
      </c>
      <c r="CM20" s="12" t="str">
        <f>"("&amp;ROUND(CL20*25.4/50,0)*50&amp;")"</f>
        <v>(900)</v>
      </c>
      <c r="CN20" s="13" t="s">
        <v>20</v>
      </c>
      <c r="CO20" s="13" t="s">
        <v>21</v>
      </c>
      <c r="CP20" s="13" t="s">
        <v>22</v>
      </c>
      <c r="CQ20" s="13" t="s">
        <v>23</v>
      </c>
      <c r="CR20" s="13" t="s">
        <v>24</v>
      </c>
      <c r="CS20" s="13" t="s">
        <v>25</v>
      </c>
      <c r="CT20" s="13" t="s">
        <v>26</v>
      </c>
      <c r="CU20" s="13" t="s">
        <v>27</v>
      </c>
      <c r="CV20" s="11">
        <f>CL20+6</f>
        <v>42</v>
      </c>
      <c r="CW20" s="12" t="str">
        <f>"("&amp;ROUND(CV20*25.4/50,0)*50&amp;")"</f>
        <v>(1050)</v>
      </c>
      <c r="CX20" s="13" t="s">
        <v>20</v>
      </c>
      <c r="CY20" s="13" t="s">
        <v>21</v>
      </c>
      <c r="CZ20" s="13" t="s">
        <v>22</v>
      </c>
      <c r="DA20" s="13" t="s">
        <v>23</v>
      </c>
      <c r="DB20" s="13" t="s">
        <v>24</v>
      </c>
      <c r="DC20" s="13" t="s">
        <v>25</v>
      </c>
      <c r="DD20" s="13" t="s">
        <v>26</v>
      </c>
      <c r="DE20" s="13" t="s">
        <v>27</v>
      </c>
      <c r="DF20" s="11">
        <f>CV20+6</f>
        <v>48</v>
      </c>
      <c r="DG20" s="12" t="str">
        <f>"("&amp;ROUND(DF20*25.4/50,0)*50&amp;")"</f>
        <v>(1200)</v>
      </c>
      <c r="DH20" s="13" t="s">
        <v>20</v>
      </c>
      <c r="DI20" s="13" t="s">
        <v>21</v>
      </c>
      <c r="DJ20" s="13" t="s">
        <v>22</v>
      </c>
      <c r="DK20" s="13" t="s">
        <v>23</v>
      </c>
      <c r="DL20" s="13" t="s">
        <v>24</v>
      </c>
      <c r="DM20" s="13" t="s">
        <v>25</v>
      </c>
      <c r="DN20" s="13" t="s">
        <v>26</v>
      </c>
      <c r="DO20" s="13" t="s">
        <v>27</v>
      </c>
      <c r="DP20" s="11">
        <f>DF20+6</f>
        <v>54</v>
      </c>
      <c r="DQ20" s="12" t="str">
        <f>"("&amp;ROUND(DP20*25.4/50,0)*50&amp;")"</f>
        <v>(1350)</v>
      </c>
      <c r="DR20" s="13" t="s">
        <v>20</v>
      </c>
      <c r="DS20" s="13" t="s">
        <v>21</v>
      </c>
      <c r="DT20" s="13" t="s">
        <v>22</v>
      </c>
      <c r="DU20" s="13" t="s">
        <v>23</v>
      </c>
      <c r="DV20" s="13" t="s">
        <v>24</v>
      </c>
      <c r="DW20" s="13" t="s">
        <v>25</v>
      </c>
      <c r="DX20" s="13" t="s">
        <v>26</v>
      </c>
      <c r="DY20" s="13" t="s">
        <v>27</v>
      </c>
      <c r="DZ20" s="11">
        <f>DP20+6</f>
        <v>60</v>
      </c>
      <c r="EA20" s="12" t="str">
        <f>"("&amp;ROUND(DZ20*25.4/50,0)*50&amp;")"</f>
        <v>(1500)</v>
      </c>
      <c r="EB20" s="13" t="s">
        <v>20</v>
      </c>
      <c r="EC20" s="13" t="s">
        <v>21</v>
      </c>
      <c r="ED20" s="13" t="s">
        <v>22</v>
      </c>
      <c r="EE20" s="13" t="s">
        <v>23</v>
      </c>
      <c r="EF20" s="13" t="s">
        <v>24</v>
      </c>
      <c r="EG20" s="13" t="s">
        <v>25</v>
      </c>
      <c r="EH20" s="13" t="s">
        <v>26</v>
      </c>
      <c r="EI20" s="13" t="s">
        <v>27</v>
      </c>
      <c r="EJ20" s="11">
        <f>DZ20+6</f>
        <v>66</v>
      </c>
      <c r="EK20" s="12" t="str">
        <f>"("&amp;ROUND(EJ20*25.4/50,0)*50&amp;")"</f>
        <v>(1700)</v>
      </c>
      <c r="EL20" s="13" t="s">
        <v>20</v>
      </c>
      <c r="EM20" s="13" t="s">
        <v>21</v>
      </c>
      <c r="EN20" s="13" t="s">
        <v>22</v>
      </c>
      <c r="EO20" s="13" t="s">
        <v>23</v>
      </c>
      <c r="EP20" s="13" t="s">
        <v>24</v>
      </c>
      <c r="EQ20" s="13" t="s">
        <v>25</v>
      </c>
      <c r="ER20" s="13" t="s">
        <v>26</v>
      </c>
      <c r="ES20" s="13" t="s">
        <v>27</v>
      </c>
      <c r="ET20" s="11">
        <f>EJ20+6</f>
        <v>72</v>
      </c>
      <c r="EU20" s="12" t="str">
        <f>"("&amp;ROUND(ET20*25.4/50,0)*50&amp;")"</f>
        <v>(1850)</v>
      </c>
      <c r="EV20" s="13" t="s">
        <v>20</v>
      </c>
      <c r="EW20" s="13" t="s">
        <v>21</v>
      </c>
      <c r="EX20" s="13" t="s">
        <v>22</v>
      </c>
      <c r="EY20" s="13" t="s">
        <v>23</v>
      </c>
      <c r="EZ20" s="13" t="s">
        <v>24</v>
      </c>
      <c r="FA20" s="13" t="s">
        <v>25</v>
      </c>
      <c r="FB20" s="13" t="s">
        <v>26</v>
      </c>
      <c r="FC20" s="13" t="s">
        <v>27</v>
      </c>
      <c r="FD20" s="11">
        <f>ET20+6</f>
        <v>78</v>
      </c>
      <c r="FE20" s="12" t="str">
        <f>"("&amp;ROUND(FD20*25.4/50,0)*50&amp;")"</f>
        <v>(2000)</v>
      </c>
      <c r="FF20" s="13" t="s">
        <v>20</v>
      </c>
      <c r="FG20" s="13" t="s">
        <v>21</v>
      </c>
      <c r="FH20" s="13" t="s">
        <v>22</v>
      </c>
      <c r="FI20" s="13" t="s">
        <v>23</v>
      </c>
      <c r="FJ20" s="13" t="s">
        <v>24</v>
      </c>
      <c r="FK20" s="13" t="s">
        <v>25</v>
      </c>
      <c r="FL20" s="13" t="s">
        <v>26</v>
      </c>
      <c r="FM20" s="13" t="s">
        <v>27</v>
      </c>
      <c r="FN20" s="11">
        <f>FD20+6</f>
        <v>84</v>
      </c>
      <c r="FO20" s="12" t="str">
        <f>"("&amp;ROUND(FN20*25.4/50,0)*50&amp;")"</f>
        <v>(2150)</v>
      </c>
      <c r="FP20" s="13" t="s">
        <v>20</v>
      </c>
      <c r="FQ20" s="13" t="s">
        <v>21</v>
      </c>
      <c r="FR20" s="13" t="s">
        <v>22</v>
      </c>
      <c r="FS20" s="13" t="s">
        <v>23</v>
      </c>
      <c r="FT20" s="13" t="s">
        <v>24</v>
      </c>
      <c r="FU20" s="13" t="s">
        <v>25</v>
      </c>
      <c r="FV20" s="13" t="s">
        <v>26</v>
      </c>
      <c r="FW20" s="13" t="s">
        <v>27</v>
      </c>
      <c r="FX20" s="11">
        <f>FN20+6</f>
        <v>90</v>
      </c>
      <c r="FY20" s="12" t="str">
        <f>"("&amp;ROUND(FX20*25.4/50,0)*50&amp;")"</f>
        <v>(2300)</v>
      </c>
      <c r="FZ20" s="13" t="s">
        <v>20</v>
      </c>
      <c r="GA20" s="13" t="s">
        <v>21</v>
      </c>
      <c r="GB20" s="13" t="s">
        <v>22</v>
      </c>
      <c r="GC20" s="13" t="s">
        <v>23</v>
      </c>
      <c r="GD20" s="13" t="s">
        <v>24</v>
      </c>
      <c r="GE20" s="13" t="s">
        <v>25</v>
      </c>
      <c r="GF20" s="13" t="s">
        <v>26</v>
      </c>
      <c r="GG20" s="13" t="s">
        <v>27</v>
      </c>
      <c r="GH20" s="11">
        <f>FX20+6</f>
        <v>96</v>
      </c>
      <c r="GI20" s="12" t="str">
        <f>"("&amp;ROUND(GH20*25.4/50,0)*50&amp;")"</f>
        <v>(2450)</v>
      </c>
      <c r="GJ20" s="13" t="s">
        <v>20</v>
      </c>
      <c r="GK20" s="13" t="s">
        <v>21</v>
      </c>
      <c r="GL20" s="13" t="s">
        <v>22</v>
      </c>
      <c r="GM20" s="13" t="s">
        <v>23</v>
      </c>
      <c r="GN20" s="13" t="s">
        <v>24</v>
      </c>
      <c r="GO20" s="13" t="s">
        <v>25</v>
      </c>
      <c r="GP20" s="13" t="s">
        <v>26</v>
      </c>
      <c r="GQ20" s="13" t="s">
        <v>27</v>
      </c>
      <c r="GR20" s="11">
        <f>GH20+6</f>
        <v>102</v>
      </c>
      <c r="GS20" s="12" t="str">
        <f>"("&amp;ROUND(GR20*25.4/50,0)*50&amp;")"</f>
        <v>(2600)</v>
      </c>
      <c r="GT20" s="13" t="s">
        <v>20</v>
      </c>
      <c r="GU20" s="13" t="s">
        <v>21</v>
      </c>
      <c r="GV20" s="13" t="s">
        <v>22</v>
      </c>
      <c r="GW20" s="13" t="s">
        <v>23</v>
      </c>
      <c r="GX20" s="13" t="s">
        <v>24</v>
      </c>
      <c r="GY20" s="13" t="s">
        <v>25</v>
      </c>
      <c r="GZ20" s="13" t="s">
        <v>26</v>
      </c>
      <c r="HA20" s="13" t="s">
        <v>27</v>
      </c>
      <c r="HB20" s="11">
        <f>GR20+6</f>
        <v>108</v>
      </c>
      <c r="HC20" s="12" t="str">
        <f>"("&amp;ROUND(HB20*25.4/50,0)*50&amp;")"</f>
        <v>(2750)</v>
      </c>
      <c r="HD20" s="13" t="s">
        <v>20</v>
      </c>
      <c r="HE20" s="13" t="s">
        <v>21</v>
      </c>
      <c r="HF20" s="13" t="s">
        <v>22</v>
      </c>
      <c r="HG20" s="13" t="s">
        <v>23</v>
      </c>
      <c r="HH20" s="13" t="s">
        <v>24</v>
      </c>
      <c r="HI20" s="13" t="s">
        <v>25</v>
      </c>
      <c r="HJ20" s="13" t="s">
        <v>26</v>
      </c>
      <c r="HK20" s="13" t="s">
        <v>27</v>
      </c>
      <c r="HL20" s="11">
        <f>HB20+6</f>
        <v>114</v>
      </c>
      <c r="HM20" s="12" t="str">
        <f>"("&amp;ROUND(HL20*25.4/50,0)*50&amp;")"</f>
        <v>(2900)</v>
      </c>
      <c r="HN20" s="13" t="s">
        <v>20</v>
      </c>
      <c r="HO20" s="13" t="s">
        <v>21</v>
      </c>
      <c r="HP20" s="13" t="s">
        <v>22</v>
      </c>
      <c r="HQ20" s="13" t="s">
        <v>23</v>
      </c>
      <c r="HR20" s="13" t="s">
        <v>24</v>
      </c>
      <c r="HS20" s="13" t="s">
        <v>25</v>
      </c>
      <c r="HT20" s="13" t="s">
        <v>26</v>
      </c>
      <c r="HU20" s="13" t="s">
        <v>27</v>
      </c>
      <c r="HV20" s="11">
        <f>HL20+6</f>
        <v>120</v>
      </c>
      <c r="HW20" s="12" t="str">
        <f>"("&amp;ROUND(HV20*25.4/50,0)*50&amp;")"</f>
        <v>(3050)</v>
      </c>
      <c r="HX20" s="13" t="s">
        <v>20</v>
      </c>
      <c r="HY20" s="13" t="s">
        <v>21</v>
      </c>
      <c r="HZ20" s="13" t="s">
        <v>22</v>
      </c>
      <c r="IA20" s="13" t="s">
        <v>23</v>
      </c>
      <c r="IB20" s="13" t="s">
        <v>24</v>
      </c>
      <c r="IC20" s="13" t="s">
        <v>25</v>
      </c>
      <c r="ID20" s="13" t="s">
        <v>26</v>
      </c>
      <c r="IE20" s="13" t="s">
        <v>27</v>
      </c>
      <c r="IF20" s="15"/>
      <c r="IG20" s="16" t="s">
        <v>28</v>
      </c>
      <c r="IH20" s="16" t="s">
        <v>29</v>
      </c>
      <c r="II20" s="16" t="s">
        <v>30</v>
      </c>
      <c r="IJ20" s="16" t="s">
        <v>31</v>
      </c>
      <c r="IK20" s="16" t="s">
        <v>32</v>
      </c>
      <c r="IL20" s="16" t="s">
        <v>33</v>
      </c>
      <c r="IM20" s="16" t="s">
        <v>34</v>
      </c>
      <c r="IN20" s="8"/>
    </row>
    <row r="21" spans="2:248" ht="15.75" thickBot="1" x14ac:dyDescent="0.3">
      <c r="B21" s="103">
        <v>24</v>
      </c>
      <c r="C21" s="102">
        <v>4</v>
      </c>
      <c r="D21" s="98">
        <f t="shared" si="1"/>
        <v>0.13756944444444444</v>
      </c>
      <c r="E21" s="96">
        <f t="shared" si="2"/>
        <v>0.14674074074074073</v>
      </c>
      <c r="F21" s="96">
        <f t="shared" si="3"/>
        <v>0.15132638888888886</v>
      </c>
      <c r="G21" s="96">
        <f t="shared" si="4"/>
        <v>0.15407777777777776</v>
      </c>
      <c r="H21" s="96">
        <f t="shared" si="5"/>
        <v>0.15591203703703704</v>
      </c>
      <c r="I21" s="96">
        <f t="shared" si="6"/>
        <v>0.15722222222222221</v>
      </c>
      <c r="J21" s="96">
        <f t="shared" si="7"/>
        <v>0.15820486111111109</v>
      </c>
      <c r="K21" s="96">
        <f t="shared" si="8"/>
        <v>0.15896913580246913</v>
      </c>
      <c r="L21" s="96">
        <f t="shared" si="9"/>
        <v>0.15958055555555556</v>
      </c>
      <c r="M21" s="96">
        <f t="shared" si="10"/>
        <v>0.16008080808080807</v>
      </c>
      <c r="N21" s="96">
        <f t="shared" si="11"/>
        <v>0.16049768518518517</v>
      </c>
      <c r="O21" s="259"/>
      <c r="P21" s="259"/>
      <c r="Q21" s="259"/>
      <c r="R21" s="259"/>
      <c r="S21" s="259"/>
      <c r="T21" s="259"/>
      <c r="U21" s="259"/>
      <c r="V21" s="259"/>
      <c r="W21" s="64"/>
      <c r="X21" s="65"/>
      <c r="Z21" s="83"/>
      <c r="AA21" s="83"/>
      <c r="AT21" s="4"/>
      <c r="AU21" s="10"/>
      <c r="AV21" s="17"/>
      <c r="AW21" s="18"/>
      <c r="AX21" s="11">
        <v>6</v>
      </c>
      <c r="AY21" s="12">
        <f>AX21+1</f>
        <v>7</v>
      </c>
      <c r="AZ21" s="12">
        <f t="shared" ref="AZ21:DK21" si="12">AY21+1</f>
        <v>8</v>
      </c>
      <c r="BA21" s="12">
        <f t="shared" si="12"/>
        <v>9</v>
      </c>
      <c r="BB21" s="12">
        <f t="shared" si="12"/>
        <v>10</v>
      </c>
      <c r="BC21" s="12">
        <f t="shared" si="12"/>
        <v>11</v>
      </c>
      <c r="BD21" s="12">
        <f t="shared" si="12"/>
        <v>12</v>
      </c>
      <c r="BE21" s="12">
        <f t="shared" si="12"/>
        <v>13</v>
      </c>
      <c r="BF21" s="12">
        <f t="shared" si="12"/>
        <v>14</v>
      </c>
      <c r="BG21" s="12">
        <f t="shared" si="12"/>
        <v>15</v>
      </c>
      <c r="BH21" s="12">
        <f>BG21+1</f>
        <v>16</v>
      </c>
      <c r="BI21" s="12">
        <f t="shared" si="12"/>
        <v>17</v>
      </c>
      <c r="BJ21" s="12">
        <f t="shared" si="12"/>
        <v>18</v>
      </c>
      <c r="BK21" s="12">
        <f t="shared" si="12"/>
        <v>19</v>
      </c>
      <c r="BL21" s="12">
        <f t="shared" si="12"/>
        <v>20</v>
      </c>
      <c r="BM21" s="12">
        <f t="shared" si="12"/>
        <v>21</v>
      </c>
      <c r="BN21" s="12">
        <f t="shared" si="12"/>
        <v>22</v>
      </c>
      <c r="BO21" s="12">
        <f t="shared" si="12"/>
        <v>23</v>
      </c>
      <c r="BP21" s="12">
        <f t="shared" si="12"/>
        <v>24</v>
      </c>
      <c r="BQ21" s="12">
        <f t="shared" si="12"/>
        <v>25</v>
      </c>
      <c r="BR21" s="12">
        <f t="shared" si="12"/>
        <v>26</v>
      </c>
      <c r="BS21" s="12">
        <f t="shared" si="12"/>
        <v>27</v>
      </c>
      <c r="BT21" s="12">
        <f t="shared" si="12"/>
        <v>28</v>
      </c>
      <c r="BU21" s="12">
        <f t="shared" si="12"/>
        <v>29</v>
      </c>
      <c r="BV21" s="12">
        <f t="shared" si="12"/>
        <v>30</v>
      </c>
      <c r="BW21" s="12">
        <f t="shared" si="12"/>
        <v>31</v>
      </c>
      <c r="BX21" s="12">
        <f t="shared" si="12"/>
        <v>32</v>
      </c>
      <c r="BY21" s="12">
        <f t="shared" si="12"/>
        <v>33</v>
      </c>
      <c r="BZ21" s="12">
        <f t="shared" si="12"/>
        <v>34</v>
      </c>
      <c r="CA21" s="12">
        <f t="shared" si="12"/>
        <v>35</v>
      </c>
      <c r="CB21" s="12">
        <f t="shared" si="12"/>
        <v>36</v>
      </c>
      <c r="CC21" s="12">
        <f t="shared" si="12"/>
        <v>37</v>
      </c>
      <c r="CD21" s="12">
        <f t="shared" si="12"/>
        <v>38</v>
      </c>
      <c r="CE21" s="12">
        <f t="shared" si="12"/>
        <v>39</v>
      </c>
      <c r="CF21" s="12">
        <f t="shared" si="12"/>
        <v>40</v>
      </c>
      <c r="CG21" s="12">
        <f t="shared" si="12"/>
        <v>41</v>
      </c>
      <c r="CH21" s="12">
        <f t="shared" si="12"/>
        <v>42</v>
      </c>
      <c r="CI21" s="12">
        <f t="shared" si="12"/>
        <v>43</v>
      </c>
      <c r="CJ21" s="12">
        <f t="shared" si="12"/>
        <v>44</v>
      </c>
      <c r="CK21" s="12">
        <f t="shared" si="12"/>
        <v>45</v>
      </c>
      <c r="CL21" s="12">
        <f t="shared" si="12"/>
        <v>46</v>
      </c>
      <c r="CM21" s="12">
        <f t="shared" si="12"/>
        <v>47</v>
      </c>
      <c r="CN21" s="12">
        <f t="shared" si="12"/>
        <v>48</v>
      </c>
      <c r="CO21" s="12">
        <f t="shared" si="12"/>
        <v>49</v>
      </c>
      <c r="CP21" s="12">
        <f t="shared" si="12"/>
        <v>50</v>
      </c>
      <c r="CQ21" s="12">
        <f t="shared" si="12"/>
        <v>51</v>
      </c>
      <c r="CR21" s="12">
        <f t="shared" si="12"/>
        <v>52</v>
      </c>
      <c r="CS21" s="12">
        <f t="shared" si="12"/>
        <v>53</v>
      </c>
      <c r="CT21" s="12">
        <f t="shared" si="12"/>
        <v>54</v>
      </c>
      <c r="CU21" s="12">
        <f t="shared" si="12"/>
        <v>55</v>
      </c>
      <c r="CV21" s="12">
        <f t="shared" si="12"/>
        <v>56</v>
      </c>
      <c r="CW21" s="12">
        <f t="shared" si="12"/>
        <v>57</v>
      </c>
      <c r="CX21" s="12">
        <f t="shared" si="12"/>
        <v>58</v>
      </c>
      <c r="CY21" s="12">
        <f t="shared" si="12"/>
        <v>59</v>
      </c>
      <c r="CZ21" s="12">
        <f t="shared" si="12"/>
        <v>60</v>
      </c>
      <c r="DA21" s="12">
        <f t="shared" si="12"/>
        <v>61</v>
      </c>
      <c r="DB21" s="12">
        <f t="shared" si="12"/>
        <v>62</v>
      </c>
      <c r="DC21" s="12">
        <f t="shared" si="12"/>
        <v>63</v>
      </c>
      <c r="DD21" s="12">
        <f t="shared" si="12"/>
        <v>64</v>
      </c>
      <c r="DE21" s="12">
        <f t="shared" si="12"/>
        <v>65</v>
      </c>
      <c r="DF21" s="12">
        <f t="shared" si="12"/>
        <v>66</v>
      </c>
      <c r="DG21" s="12">
        <f t="shared" si="12"/>
        <v>67</v>
      </c>
      <c r="DH21" s="12">
        <f t="shared" si="12"/>
        <v>68</v>
      </c>
      <c r="DI21" s="12">
        <f t="shared" si="12"/>
        <v>69</v>
      </c>
      <c r="DJ21" s="12">
        <f t="shared" si="12"/>
        <v>70</v>
      </c>
      <c r="DK21" s="12">
        <f t="shared" si="12"/>
        <v>71</v>
      </c>
      <c r="DL21" s="12">
        <f t="shared" ref="DL21:FW21" si="13">DK21+1</f>
        <v>72</v>
      </c>
      <c r="DM21" s="12">
        <f t="shared" si="13"/>
        <v>73</v>
      </c>
      <c r="DN21" s="12">
        <f t="shared" si="13"/>
        <v>74</v>
      </c>
      <c r="DO21" s="12">
        <f t="shared" si="13"/>
        <v>75</v>
      </c>
      <c r="DP21" s="12">
        <f t="shared" si="13"/>
        <v>76</v>
      </c>
      <c r="DQ21" s="12">
        <f t="shared" si="13"/>
        <v>77</v>
      </c>
      <c r="DR21" s="12">
        <f t="shared" si="13"/>
        <v>78</v>
      </c>
      <c r="DS21" s="12">
        <f t="shared" si="13"/>
        <v>79</v>
      </c>
      <c r="DT21" s="12">
        <f t="shared" si="13"/>
        <v>80</v>
      </c>
      <c r="DU21" s="12">
        <f t="shared" si="13"/>
        <v>81</v>
      </c>
      <c r="DV21" s="12">
        <f t="shared" si="13"/>
        <v>82</v>
      </c>
      <c r="DW21" s="12">
        <f t="shared" si="13"/>
        <v>83</v>
      </c>
      <c r="DX21" s="12">
        <f t="shared" si="13"/>
        <v>84</v>
      </c>
      <c r="DY21" s="12">
        <f t="shared" si="13"/>
        <v>85</v>
      </c>
      <c r="DZ21" s="12">
        <f t="shared" si="13"/>
        <v>86</v>
      </c>
      <c r="EA21" s="12">
        <f t="shared" si="13"/>
        <v>87</v>
      </c>
      <c r="EB21" s="12">
        <f t="shared" si="13"/>
        <v>88</v>
      </c>
      <c r="EC21" s="12">
        <f t="shared" si="13"/>
        <v>89</v>
      </c>
      <c r="ED21" s="12">
        <f t="shared" si="13"/>
        <v>90</v>
      </c>
      <c r="EE21" s="12">
        <f t="shared" si="13"/>
        <v>91</v>
      </c>
      <c r="EF21" s="12">
        <f t="shared" si="13"/>
        <v>92</v>
      </c>
      <c r="EG21" s="12">
        <f t="shared" si="13"/>
        <v>93</v>
      </c>
      <c r="EH21" s="12">
        <f t="shared" si="13"/>
        <v>94</v>
      </c>
      <c r="EI21" s="12">
        <f t="shared" si="13"/>
        <v>95</v>
      </c>
      <c r="EJ21" s="12">
        <f t="shared" si="13"/>
        <v>96</v>
      </c>
      <c r="EK21" s="12">
        <f t="shared" si="13"/>
        <v>97</v>
      </c>
      <c r="EL21" s="12">
        <f t="shared" si="13"/>
        <v>98</v>
      </c>
      <c r="EM21" s="12">
        <f t="shared" si="13"/>
        <v>99</v>
      </c>
      <c r="EN21" s="12">
        <f t="shared" si="13"/>
        <v>100</v>
      </c>
      <c r="EO21" s="12">
        <f t="shared" si="13"/>
        <v>101</v>
      </c>
      <c r="EP21" s="12">
        <f t="shared" si="13"/>
        <v>102</v>
      </c>
      <c r="EQ21" s="12">
        <f t="shared" si="13"/>
        <v>103</v>
      </c>
      <c r="ER21" s="12">
        <f t="shared" si="13"/>
        <v>104</v>
      </c>
      <c r="ES21" s="12">
        <f t="shared" si="13"/>
        <v>105</v>
      </c>
      <c r="ET21" s="12">
        <f t="shared" si="13"/>
        <v>106</v>
      </c>
      <c r="EU21" s="12">
        <f t="shared" si="13"/>
        <v>107</v>
      </c>
      <c r="EV21" s="12">
        <f t="shared" si="13"/>
        <v>108</v>
      </c>
      <c r="EW21" s="12">
        <f t="shared" si="13"/>
        <v>109</v>
      </c>
      <c r="EX21" s="12">
        <f t="shared" si="13"/>
        <v>110</v>
      </c>
      <c r="EY21" s="12">
        <f t="shared" si="13"/>
        <v>111</v>
      </c>
      <c r="EZ21" s="12">
        <f t="shared" si="13"/>
        <v>112</v>
      </c>
      <c r="FA21" s="12">
        <f t="shared" si="13"/>
        <v>113</v>
      </c>
      <c r="FB21" s="12">
        <f t="shared" si="13"/>
        <v>114</v>
      </c>
      <c r="FC21" s="12">
        <f t="shared" si="13"/>
        <v>115</v>
      </c>
      <c r="FD21" s="12">
        <f t="shared" si="13"/>
        <v>116</v>
      </c>
      <c r="FE21" s="12">
        <f t="shared" si="13"/>
        <v>117</v>
      </c>
      <c r="FF21" s="12">
        <f t="shared" si="13"/>
        <v>118</v>
      </c>
      <c r="FG21" s="12">
        <f t="shared" si="13"/>
        <v>119</v>
      </c>
      <c r="FH21" s="12">
        <f t="shared" si="13"/>
        <v>120</v>
      </c>
      <c r="FI21" s="12">
        <f t="shared" si="13"/>
        <v>121</v>
      </c>
      <c r="FJ21" s="12">
        <f t="shared" si="13"/>
        <v>122</v>
      </c>
      <c r="FK21" s="12">
        <f t="shared" si="13"/>
        <v>123</v>
      </c>
      <c r="FL21" s="12">
        <f t="shared" si="13"/>
        <v>124</v>
      </c>
      <c r="FM21" s="12">
        <f t="shared" si="13"/>
        <v>125</v>
      </c>
      <c r="FN21" s="12">
        <f t="shared" si="13"/>
        <v>126</v>
      </c>
      <c r="FO21" s="12">
        <f t="shared" si="13"/>
        <v>127</v>
      </c>
      <c r="FP21" s="12">
        <f t="shared" si="13"/>
        <v>128</v>
      </c>
      <c r="FQ21" s="12">
        <f t="shared" si="13"/>
        <v>129</v>
      </c>
      <c r="FR21" s="12">
        <f t="shared" si="13"/>
        <v>130</v>
      </c>
      <c r="FS21" s="12">
        <f t="shared" si="13"/>
        <v>131</v>
      </c>
      <c r="FT21" s="12">
        <f t="shared" si="13"/>
        <v>132</v>
      </c>
      <c r="FU21" s="12">
        <f t="shared" si="13"/>
        <v>133</v>
      </c>
      <c r="FV21" s="12">
        <f t="shared" si="13"/>
        <v>134</v>
      </c>
      <c r="FW21" s="12">
        <f t="shared" si="13"/>
        <v>135</v>
      </c>
      <c r="FX21" s="12">
        <f t="shared" ref="FX21:HW21" si="14">FW21+1</f>
        <v>136</v>
      </c>
      <c r="FY21" s="12">
        <f t="shared" si="14"/>
        <v>137</v>
      </c>
      <c r="FZ21" s="12">
        <f t="shared" si="14"/>
        <v>138</v>
      </c>
      <c r="GA21" s="12">
        <f t="shared" si="14"/>
        <v>139</v>
      </c>
      <c r="GB21" s="12">
        <f t="shared" si="14"/>
        <v>140</v>
      </c>
      <c r="GC21" s="12">
        <f t="shared" si="14"/>
        <v>141</v>
      </c>
      <c r="GD21" s="12">
        <f t="shared" si="14"/>
        <v>142</v>
      </c>
      <c r="GE21" s="12">
        <f t="shared" si="14"/>
        <v>143</v>
      </c>
      <c r="GF21" s="12">
        <f t="shared" si="14"/>
        <v>144</v>
      </c>
      <c r="GG21" s="12">
        <f t="shared" si="14"/>
        <v>145</v>
      </c>
      <c r="GH21" s="12">
        <f t="shared" si="14"/>
        <v>146</v>
      </c>
      <c r="GI21" s="12">
        <f t="shared" si="14"/>
        <v>147</v>
      </c>
      <c r="GJ21" s="12">
        <f t="shared" si="14"/>
        <v>148</v>
      </c>
      <c r="GK21" s="12">
        <f t="shared" si="14"/>
        <v>149</v>
      </c>
      <c r="GL21" s="12">
        <f t="shared" si="14"/>
        <v>150</v>
      </c>
      <c r="GM21" s="12">
        <f t="shared" si="14"/>
        <v>151</v>
      </c>
      <c r="GN21" s="12">
        <f t="shared" si="14"/>
        <v>152</v>
      </c>
      <c r="GO21" s="12">
        <f t="shared" si="14"/>
        <v>153</v>
      </c>
      <c r="GP21" s="12">
        <f t="shared" si="14"/>
        <v>154</v>
      </c>
      <c r="GQ21" s="12">
        <f t="shared" si="14"/>
        <v>155</v>
      </c>
      <c r="GR21" s="12">
        <f t="shared" si="14"/>
        <v>156</v>
      </c>
      <c r="GS21" s="12">
        <f t="shared" si="14"/>
        <v>157</v>
      </c>
      <c r="GT21" s="12">
        <f t="shared" si="14"/>
        <v>158</v>
      </c>
      <c r="GU21" s="12">
        <f t="shared" si="14"/>
        <v>159</v>
      </c>
      <c r="GV21" s="12">
        <f t="shared" si="14"/>
        <v>160</v>
      </c>
      <c r="GW21" s="12">
        <f t="shared" si="14"/>
        <v>161</v>
      </c>
      <c r="GX21" s="12">
        <f t="shared" si="14"/>
        <v>162</v>
      </c>
      <c r="GY21" s="12">
        <f t="shared" si="14"/>
        <v>163</v>
      </c>
      <c r="GZ21" s="12">
        <f t="shared" si="14"/>
        <v>164</v>
      </c>
      <c r="HA21" s="12">
        <f t="shared" si="14"/>
        <v>165</v>
      </c>
      <c r="HB21" s="12">
        <f t="shared" si="14"/>
        <v>166</v>
      </c>
      <c r="HC21" s="12">
        <f t="shared" si="14"/>
        <v>167</v>
      </c>
      <c r="HD21" s="12">
        <f t="shared" si="14"/>
        <v>168</v>
      </c>
      <c r="HE21" s="12">
        <f t="shared" si="14"/>
        <v>169</v>
      </c>
      <c r="HF21" s="12">
        <f t="shared" si="14"/>
        <v>170</v>
      </c>
      <c r="HG21" s="12">
        <f t="shared" si="14"/>
        <v>171</v>
      </c>
      <c r="HH21" s="12">
        <f t="shared" si="14"/>
        <v>172</v>
      </c>
      <c r="HI21" s="12">
        <f t="shared" si="14"/>
        <v>173</v>
      </c>
      <c r="HJ21" s="12">
        <f t="shared" si="14"/>
        <v>174</v>
      </c>
      <c r="HK21" s="12">
        <f t="shared" si="14"/>
        <v>175</v>
      </c>
      <c r="HL21" s="12">
        <f t="shared" si="14"/>
        <v>176</v>
      </c>
      <c r="HM21" s="12">
        <f t="shared" si="14"/>
        <v>177</v>
      </c>
      <c r="HN21" s="12">
        <f t="shared" si="14"/>
        <v>178</v>
      </c>
      <c r="HO21" s="12">
        <f t="shared" si="14"/>
        <v>179</v>
      </c>
      <c r="HP21" s="12">
        <f t="shared" si="14"/>
        <v>180</v>
      </c>
      <c r="HQ21" s="12">
        <f t="shared" si="14"/>
        <v>181</v>
      </c>
      <c r="HR21" s="12">
        <f t="shared" si="14"/>
        <v>182</v>
      </c>
      <c r="HS21" s="12">
        <f t="shared" si="14"/>
        <v>183</v>
      </c>
      <c r="HT21" s="12">
        <f t="shared" si="14"/>
        <v>184</v>
      </c>
      <c r="HU21" s="12">
        <f t="shared" si="14"/>
        <v>185</v>
      </c>
      <c r="HV21" s="12">
        <f t="shared" si="14"/>
        <v>186</v>
      </c>
      <c r="HW21" s="12">
        <f t="shared" si="14"/>
        <v>187</v>
      </c>
      <c r="HX21" s="13"/>
      <c r="HY21" s="13"/>
      <c r="HZ21" s="13"/>
      <c r="IA21" s="13"/>
      <c r="IB21" s="13"/>
      <c r="IC21" s="13"/>
      <c r="ID21" s="13"/>
      <c r="IE21" s="13"/>
      <c r="IF21" s="15"/>
      <c r="IG21" s="16"/>
      <c r="IH21" s="16"/>
      <c r="II21" s="16"/>
      <c r="IJ21" s="16"/>
      <c r="IK21" s="16"/>
      <c r="IL21" s="16"/>
      <c r="IM21" s="16"/>
      <c r="IN21" s="8"/>
    </row>
    <row r="22" spans="2:248" ht="15.75" thickBot="1" x14ac:dyDescent="0.3">
      <c r="B22" s="103">
        <f t="shared" ref="B22:B37" si="15">B21+6</f>
        <v>30</v>
      </c>
      <c r="C22" s="102">
        <v>5</v>
      </c>
      <c r="D22" s="98">
        <f t="shared" si="1"/>
        <v>0.16588888888888889</v>
      </c>
      <c r="E22" s="96">
        <f t="shared" si="2"/>
        <v>0.17694814814814813</v>
      </c>
      <c r="F22" s="96">
        <f t="shared" si="3"/>
        <v>0.18247777777777777</v>
      </c>
      <c r="G22" s="96">
        <f t="shared" si="4"/>
        <v>0.18579555555555555</v>
      </c>
      <c r="H22" s="96">
        <f t="shared" si="5"/>
        <v>0.18800740740740737</v>
      </c>
      <c r="I22" s="96">
        <f t="shared" si="6"/>
        <v>0.18958730158730158</v>
      </c>
      <c r="J22" s="96">
        <f t="shared" si="7"/>
        <v>0.1907722222222222</v>
      </c>
      <c r="K22" s="96">
        <f t="shared" si="8"/>
        <v>0.1916938271604938</v>
      </c>
      <c r="L22" s="96">
        <f t="shared" si="9"/>
        <v>0.19243111111111108</v>
      </c>
      <c r="M22" s="96">
        <f t="shared" si="10"/>
        <v>0.19303434343434339</v>
      </c>
      <c r="N22" s="96">
        <f t="shared" si="11"/>
        <v>0.19353703703703704</v>
      </c>
      <c r="O22" s="259"/>
      <c r="P22" s="259"/>
      <c r="Q22" s="259"/>
      <c r="R22" s="259"/>
      <c r="S22" s="259"/>
      <c r="T22" s="259"/>
      <c r="U22" s="259"/>
      <c r="V22" s="259"/>
      <c r="W22" s="64"/>
      <c r="X22" s="65"/>
      <c r="Z22" s="83"/>
      <c r="AA22" s="83"/>
      <c r="AT22" s="4"/>
      <c r="AU22" s="14"/>
      <c r="AV22" s="12"/>
      <c r="AW22" s="19"/>
      <c r="AX22" s="202"/>
      <c r="AY22" s="203"/>
      <c r="AZ22" s="204"/>
      <c r="BA22" s="204"/>
      <c r="BB22" s="204"/>
      <c r="BC22" s="204"/>
      <c r="BD22" s="204"/>
      <c r="BE22" s="204"/>
      <c r="BF22" s="204"/>
      <c r="BG22" s="205"/>
      <c r="BH22" s="202"/>
      <c r="BI22" s="203"/>
      <c r="BJ22" s="204"/>
      <c r="BK22" s="204"/>
      <c r="BL22" s="204"/>
      <c r="BM22" s="204"/>
      <c r="BN22" s="204"/>
      <c r="BO22" s="204"/>
      <c r="BP22" s="204"/>
      <c r="BQ22" s="205"/>
      <c r="BR22" s="202"/>
      <c r="BS22" s="203"/>
      <c r="BT22" s="204"/>
      <c r="BU22" s="204"/>
      <c r="BV22" s="204"/>
      <c r="BW22" s="204"/>
      <c r="BX22" s="204"/>
      <c r="BY22" s="204"/>
      <c r="BZ22" s="204"/>
      <c r="CA22" s="205"/>
      <c r="CB22" s="202"/>
      <c r="CC22" s="203"/>
      <c r="CD22" s="204"/>
      <c r="CE22" s="204"/>
      <c r="CF22" s="204"/>
      <c r="CG22" s="204"/>
      <c r="CH22" s="204"/>
      <c r="CI22" s="204"/>
      <c r="CJ22" s="204"/>
      <c r="CK22" s="205"/>
      <c r="CL22" s="202"/>
      <c r="CM22" s="203"/>
      <c r="CN22" s="204"/>
      <c r="CO22" s="204"/>
      <c r="CP22" s="204"/>
      <c r="CQ22" s="204"/>
      <c r="CR22" s="204"/>
      <c r="CS22" s="204"/>
      <c r="CT22" s="204"/>
      <c r="CU22" s="205"/>
      <c r="CV22" s="202"/>
      <c r="CW22" s="203"/>
      <c r="CX22" s="204"/>
      <c r="CY22" s="204"/>
      <c r="CZ22" s="204"/>
      <c r="DA22" s="204"/>
      <c r="DB22" s="204"/>
      <c r="DC22" s="204"/>
      <c r="DD22" s="204"/>
      <c r="DE22" s="205"/>
      <c r="DF22" s="202"/>
      <c r="DG22" s="203"/>
      <c r="DH22" s="204"/>
      <c r="DI22" s="204"/>
      <c r="DJ22" s="204"/>
      <c r="DK22" s="204"/>
      <c r="DL22" s="204"/>
      <c r="DM22" s="204"/>
      <c r="DN22" s="204"/>
      <c r="DO22" s="205"/>
      <c r="DP22" s="202"/>
      <c r="DQ22" s="203"/>
      <c r="DR22" s="204"/>
      <c r="DS22" s="204"/>
      <c r="DT22" s="204"/>
      <c r="DU22" s="204"/>
      <c r="DV22" s="204"/>
      <c r="DW22" s="204"/>
      <c r="DX22" s="204"/>
      <c r="DY22" s="205"/>
      <c r="DZ22" s="202"/>
      <c r="EA22" s="203"/>
      <c r="EB22" s="204"/>
      <c r="EC22" s="204"/>
      <c r="ED22" s="204"/>
      <c r="EE22" s="204"/>
      <c r="EF22" s="204"/>
      <c r="EG22" s="204"/>
      <c r="EH22" s="204"/>
      <c r="EI22" s="205"/>
      <c r="EJ22" s="202"/>
      <c r="EK22" s="203"/>
      <c r="EL22" s="204"/>
      <c r="EM22" s="204"/>
      <c r="EN22" s="204"/>
      <c r="EO22" s="204"/>
      <c r="EP22" s="204"/>
      <c r="EQ22" s="204"/>
      <c r="ER22" s="204"/>
      <c r="ES22" s="205"/>
      <c r="ET22" s="202"/>
      <c r="EU22" s="203"/>
      <c r="EV22" s="204"/>
      <c r="EW22" s="204"/>
      <c r="EX22" s="204"/>
      <c r="EY22" s="204"/>
      <c r="EZ22" s="204"/>
      <c r="FA22" s="204"/>
      <c r="FB22" s="204"/>
      <c r="FC22" s="205"/>
      <c r="FD22" s="202"/>
      <c r="FE22" s="203"/>
      <c r="FF22" s="204"/>
      <c r="FG22" s="204"/>
      <c r="FH22" s="204"/>
      <c r="FI22" s="204"/>
      <c r="FJ22" s="204"/>
      <c r="FK22" s="204"/>
      <c r="FL22" s="204"/>
      <c r="FM22" s="205"/>
      <c r="FN22" s="202"/>
      <c r="FO22" s="203"/>
      <c r="FP22" s="204"/>
      <c r="FQ22" s="204"/>
      <c r="FR22" s="204"/>
      <c r="FS22" s="204"/>
      <c r="FT22" s="204"/>
      <c r="FU22" s="204"/>
      <c r="FV22" s="204"/>
      <c r="FW22" s="205"/>
      <c r="FX22" s="202"/>
      <c r="FY22" s="203"/>
      <c r="FZ22" s="204"/>
      <c r="GA22" s="204"/>
      <c r="GB22" s="204"/>
      <c r="GC22" s="204"/>
      <c r="GD22" s="204"/>
      <c r="GE22" s="204"/>
      <c r="GF22" s="204"/>
      <c r="GG22" s="205"/>
      <c r="GH22" s="202"/>
      <c r="GI22" s="203"/>
      <c r="GJ22" s="204"/>
      <c r="GK22" s="204"/>
      <c r="GL22" s="204"/>
      <c r="GM22" s="204"/>
      <c r="GN22" s="204"/>
      <c r="GO22" s="204"/>
      <c r="GP22" s="204"/>
      <c r="GQ22" s="205"/>
      <c r="GR22" s="202"/>
      <c r="GS22" s="203"/>
      <c r="GT22" s="204"/>
      <c r="GU22" s="204"/>
      <c r="GV22" s="204"/>
      <c r="GW22" s="204"/>
      <c r="GX22" s="204"/>
      <c r="GY22" s="204"/>
      <c r="GZ22" s="204"/>
      <c r="HA22" s="205"/>
      <c r="HB22" s="202"/>
      <c r="HC22" s="203"/>
      <c r="HD22" s="204"/>
      <c r="HE22" s="204"/>
      <c r="HF22" s="204"/>
      <c r="HG22" s="204"/>
      <c r="HH22" s="204"/>
      <c r="HI22" s="204"/>
      <c r="HJ22" s="204"/>
      <c r="HK22" s="205"/>
      <c r="HL22" s="202"/>
      <c r="HM22" s="203"/>
      <c r="HN22" s="204"/>
      <c r="HO22" s="204"/>
      <c r="HP22" s="204"/>
      <c r="HQ22" s="204"/>
      <c r="HR22" s="204"/>
      <c r="HS22" s="204"/>
      <c r="HT22" s="204"/>
      <c r="HU22" s="205"/>
      <c r="HV22" s="202"/>
      <c r="HW22" s="203"/>
      <c r="HX22" s="204"/>
      <c r="HY22" s="204"/>
      <c r="HZ22" s="204"/>
      <c r="IA22" s="204"/>
      <c r="IB22" s="204"/>
      <c r="IC22" s="204"/>
      <c r="ID22" s="204"/>
      <c r="IE22" s="205"/>
      <c r="IF22" s="33"/>
      <c r="IG22" s="25"/>
      <c r="IH22" s="26">
        <v>2.0099999999999998</v>
      </c>
      <c r="II22" s="26">
        <v>2.0099999999999998</v>
      </c>
      <c r="IJ22" s="26">
        <v>1.952</v>
      </c>
      <c r="IK22" s="26">
        <v>1</v>
      </c>
      <c r="IL22" s="26">
        <v>1</v>
      </c>
      <c r="IM22" s="26">
        <v>1.125</v>
      </c>
      <c r="IN22" s="8"/>
    </row>
    <row r="23" spans="2:248" ht="15.75" thickBot="1" x14ac:dyDescent="0.3">
      <c r="B23" s="103">
        <f t="shared" si="15"/>
        <v>36</v>
      </c>
      <c r="C23" s="102">
        <v>6</v>
      </c>
      <c r="D23" s="98">
        <f t="shared" si="1"/>
        <v>0.1847685185185185</v>
      </c>
      <c r="E23" s="96">
        <f t="shared" si="2"/>
        <v>0.19708641975308641</v>
      </c>
      <c r="F23" s="96">
        <f t="shared" si="3"/>
        <v>0.20324537037037035</v>
      </c>
      <c r="G23" s="96">
        <f t="shared" si="4"/>
        <v>0.20694074074074073</v>
      </c>
      <c r="H23" s="96">
        <f t="shared" si="5"/>
        <v>0.2094043209876543</v>
      </c>
      <c r="I23" s="96">
        <f t="shared" si="6"/>
        <v>0.21116402116402114</v>
      </c>
      <c r="J23" s="96">
        <f t="shared" si="7"/>
        <v>0.2124837962962963</v>
      </c>
      <c r="K23" s="96">
        <f t="shared" si="8"/>
        <v>0.2135102880658436</v>
      </c>
      <c r="L23" s="96">
        <f t="shared" si="9"/>
        <v>0.21433148148148146</v>
      </c>
      <c r="M23" s="96">
        <f t="shared" si="10"/>
        <v>0.215003367003367</v>
      </c>
      <c r="N23" s="96">
        <f t="shared" si="11"/>
        <v>0.21556327160493827</v>
      </c>
      <c r="O23" s="259"/>
      <c r="P23" s="259"/>
      <c r="Q23" s="259"/>
      <c r="R23" s="259"/>
      <c r="S23" s="259"/>
      <c r="T23" s="259"/>
      <c r="U23" s="259"/>
      <c r="V23" s="259"/>
      <c r="W23" s="64"/>
      <c r="X23" s="65"/>
      <c r="Z23" s="83"/>
      <c r="AA23" s="83"/>
      <c r="AT23" s="4"/>
      <c r="AU23" s="248">
        <f>F12</f>
        <v>20.75</v>
      </c>
      <c r="AV23" s="12" t="str">
        <f t="shared" ref="AV23:AV40" si="16">"("&amp;ROUND(AU23*25.4/50,0)*50&amp;")"</f>
        <v>(550)</v>
      </c>
      <c r="AW23" s="19">
        <f>AW22+1</f>
        <v>1</v>
      </c>
      <c r="AX23" s="20">
        <v>0.16481663172630859</v>
      </c>
      <c r="AY23" s="21" t="str">
        <f t="shared" ref="AY23:AY36" si="17">"("&amp;FIXED(AX23*0.092903,2)&amp;")"</f>
        <v>(0.02)</v>
      </c>
      <c r="AZ23" s="22">
        <v>2</v>
      </c>
      <c r="BA23" s="22">
        <f t="shared" ref="BA23:BA36" si="18">$IK$22*AZ23</f>
        <v>2</v>
      </c>
      <c r="BB23" s="22">
        <v>0</v>
      </c>
      <c r="BC23" s="22">
        <f t="shared" ref="BC23:BC36" si="19">$IM$22*BB23</f>
        <v>0</v>
      </c>
      <c r="BD23" s="22">
        <v>0</v>
      </c>
      <c r="BE23" s="22">
        <f t="shared" ref="BE23:BE36" si="20">$IL$22*BD23</f>
        <v>0</v>
      </c>
      <c r="BF23" s="22">
        <f t="shared" ref="BF23:BF36" si="21">BA23+BC23+BE23</f>
        <v>2</v>
      </c>
      <c r="BG23" s="23">
        <f t="shared" ref="BG23:BG36" si="22">AX$20-BA23-BC23-BE23</f>
        <v>10</v>
      </c>
      <c r="BH23" s="20">
        <v>0.26370661076209373</v>
      </c>
      <c r="BI23" s="21" t="str">
        <f t="shared" ref="BI23:BI36" si="23">"("&amp;ROUND(BH23*0.092903,2)&amp;")"</f>
        <v>(0.02)</v>
      </c>
      <c r="BJ23" s="22">
        <v>2</v>
      </c>
      <c r="BK23" s="22">
        <f t="shared" ref="BK23:BK36" si="24">$IK$22*BJ23</f>
        <v>2</v>
      </c>
      <c r="BL23" s="22">
        <v>0</v>
      </c>
      <c r="BM23" s="22">
        <f t="shared" ref="BM23:BM36" si="25">$IM$22*BL23</f>
        <v>0</v>
      </c>
      <c r="BN23" s="22">
        <v>0</v>
      </c>
      <c r="BO23" s="22">
        <f t="shared" ref="BO23:BO36" si="26">$IL$22*BN23</f>
        <v>0</v>
      </c>
      <c r="BP23" s="22">
        <f t="shared" ref="BP23:BP36" si="27">BK23+BM23+BO23</f>
        <v>2</v>
      </c>
      <c r="BQ23" s="23">
        <f t="shared" ref="BQ23:BQ36" si="28">BH$20-BK23-BM23-BO23</f>
        <v>16</v>
      </c>
      <c r="BR23" s="20">
        <v>0.3625965897978789</v>
      </c>
      <c r="BS23" s="21" t="str">
        <f t="shared" ref="BS23:BS36" si="29">"("&amp;ROUND(BR23*0.092903,2)&amp;")"</f>
        <v>(0.03)</v>
      </c>
      <c r="BT23" s="22">
        <v>2</v>
      </c>
      <c r="BU23" s="22">
        <f t="shared" ref="BU23:BU36" si="30">$IK$22*BT23</f>
        <v>2</v>
      </c>
      <c r="BV23" s="22">
        <v>0</v>
      </c>
      <c r="BW23" s="22">
        <f t="shared" ref="BW23:BW36" si="31">$IM$22*BV23</f>
        <v>0</v>
      </c>
      <c r="BX23" s="22">
        <v>0</v>
      </c>
      <c r="BY23" s="22">
        <f t="shared" ref="BY23:BY36" si="32">$IL$22*BX23</f>
        <v>0</v>
      </c>
      <c r="BZ23" s="22">
        <f t="shared" ref="BZ23:BZ36" si="33">BU23+BW23+BY23</f>
        <v>2</v>
      </c>
      <c r="CA23" s="23">
        <f t="shared" ref="CA23:CA36" si="34">BR$20-BU23-BW23-BY23</f>
        <v>22</v>
      </c>
      <c r="CB23" s="20">
        <v>0.46148656883366401</v>
      </c>
      <c r="CC23" s="21" t="str">
        <f t="shared" ref="CC23:CC36" si="35">"("&amp;ROUND(CB23*0.092903,2)&amp;")"</f>
        <v>(0.04)</v>
      </c>
      <c r="CD23" s="22">
        <v>2</v>
      </c>
      <c r="CE23" s="22">
        <f t="shared" ref="CE23:CE36" si="36">$IK$22*CD23</f>
        <v>2</v>
      </c>
      <c r="CF23" s="22">
        <v>0</v>
      </c>
      <c r="CG23" s="22">
        <f t="shared" ref="CG23:CG36" si="37">$IM$22*CF23</f>
        <v>0</v>
      </c>
      <c r="CH23" s="22">
        <v>0</v>
      </c>
      <c r="CI23" s="22">
        <f t="shared" ref="CI23:CI36" si="38">$IL$22*CH23</f>
        <v>0</v>
      </c>
      <c r="CJ23" s="22">
        <f t="shared" ref="CJ23:CJ36" si="39">CE23+CG23+CI23</f>
        <v>2</v>
      </c>
      <c r="CK23" s="23">
        <f t="shared" ref="CK23:CK36" si="40">CB$20-CE23-CG23-CI23</f>
        <v>28</v>
      </c>
      <c r="CL23" s="20">
        <v>0.56037654786944913</v>
      </c>
      <c r="CM23" s="21" t="str">
        <f t="shared" ref="CM23:CM36" si="41">"("&amp;ROUND(CL23*0.092903,2)&amp;")"</f>
        <v>(0.05)</v>
      </c>
      <c r="CN23" s="22">
        <v>2</v>
      </c>
      <c r="CO23" s="22">
        <f t="shared" ref="CO23:CO36" si="42">$IK$22*CN23</f>
        <v>2</v>
      </c>
      <c r="CP23" s="22">
        <v>0</v>
      </c>
      <c r="CQ23" s="22">
        <f t="shared" ref="CQ23:CQ36" si="43">$IM$22*CP23</f>
        <v>0</v>
      </c>
      <c r="CR23" s="22">
        <v>0</v>
      </c>
      <c r="CS23" s="22">
        <f t="shared" ref="CS23:CS36" si="44">$IL$22*CR23</f>
        <v>0</v>
      </c>
      <c r="CT23" s="22">
        <f t="shared" ref="CT23:CT36" si="45">CO23+CQ23+CS23</f>
        <v>2</v>
      </c>
      <c r="CU23" s="23">
        <f t="shared" ref="CU23:CU36" si="46">CL$20-CO23-CQ23-CS23</f>
        <v>34</v>
      </c>
      <c r="CV23" s="20">
        <v>0.65926652690523435</v>
      </c>
      <c r="CW23" s="21" t="str">
        <f t="shared" ref="CW23:CW36" si="47">"("&amp;ROUND(CV23*0.092903,2)&amp;")"</f>
        <v>(0.06)</v>
      </c>
      <c r="CX23" s="22">
        <v>2</v>
      </c>
      <c r="CY23" s="22">
        <f t="shared" ref="CY23:CY36" si="48">$IK$22*CX23</f>
        <v>2</v>
      </c>
      <c r="CZ23" s="22">
        <v>0</v>
      </c>
      <c r="DA23" s="22">
        <f t="shared" ref="DA23:DA36" si="49">$IM$22*CZ23</f>
        <v>0</v>
      </c>
      <c r="DB23" s="22">
        <v>0</v>
      </c>
      <c r="DC23" s="22">
        <f t="shared" ref="DC23:DC36" si="50">$IL$22*DB23</f>
        <v>0</v>
      </c>
      <c r="DD23" s="22">
        <f t="shared" ref="DD23:DD36" si="51">CY23+DA23+DC23</f>
        <v>2</v>
      </c>
      <c r="DE23" s="23">
        <f t="shared" ref="DE23:DE36" si="52">CV$20-CY23-DA23-DC23</f>
        <v>40</v>
      </c>
      <c r="DF23" s="20">
        <v>0.75815650594101947</v>
      </c>
      <c r="DG23" s="21" t="str">
        <f t="shared" ref="DG23:DG36" si="53">"("&amp;ROUND(DF23*0.092903,2)&amp;")"</f>
        <v>(0.07)</v>
      </c>
      <c r="DH23" s="22">
        <v>2</v>
      </c>
      <c r="DI23" s="22">
        <f t="shared" ref="DI23:DI36" si="54">$IK$22*DH23</f>
        <v>2</v>
      </c>
      <c r="DJ23" s="22">
        <v>0</v>
      </c>
      <c r="DK23" s="22">
        <f t="shared" ref="DK23:DK36" si="55">$IM$22*DJ23</f>
        <v>0</v>
      </c>
      <c r="DL23" s="22">
        <v>0</v>
      </c>
      <c r="DM23" s="22">
        <f t="shared" ref="DM23:DM36" si="56">$IL$22*DL23</f>
        <v>0</v>
      </c>
      <c r="DN23" s="22">
        <f t="shared" ref="DN23:DN36" si="57">DI23+DK23+DM23</f>
        <v>2</v>
      </c>
      <c r="DO23" s="23">
        <f t="shared" ref="DO23:DO36" si="58">DF$20-DI23-DK23-DM23</f>
        <v>46</v>
      </c>
      <c r="DP23" s="20">
        <v>0.85704648497680458</v>
      </c>
      <c r="DQ23" s="21" t="str">
        <f t="shared" ref="DQ23:DQ36" si="59">"("&amp;FIXED(DP23*0.092903,2)&amp;")"</f>
        <v>(0.08)</v>
      </c>
      <c r="DR23" s="22">
        <v>2</v>
      </c>
      <c r="DS23" s="22">
        <f t="shared" ref="DS23:DS36" si="60">$IK$22*DR23</f>
        <v>2</v>
      </c>
      <c r="DT23" s="22">
        <v>0</v>
      </c>
      <c r="DU23" s="22">
        <f t="shared" ref="DU23:DU36" si="61">$IM$22*DT23</f>
        <v>0</v>
      </c>
      <c r="DV23" s="22"/>
      <c r="DW23" s="22">
        <f t="shared" ref="DW23:DW36" si="62">$IL$22*DV23</f>
        <v>0</v>
      </c>
      <c r="DX23" s="22">
        <f t="shared" ref="DX23:DX36" si="63">DS23+DU23+DW23</f>
        <v>2</v>
      </c>
      <c r="DY23" s="23">
        <f t="shared" ref="DY23:DY36" si="64">DP$20-DS23-DU23-DW23</f>
        <v>52</v>
      </c>
      <c r="DZ23" s="20">
        <v>0.9559364640125898</v>
      </c>
      <c r="EA23" s="21" t="str">
        <f t="shared" ref="EA23:EA29" si="65">"("&amp;FIXED(DZ23*0.092903,2)&amp;")"</f>
        <v>(0.09)</v>
      </c>
      <c r="EB23" s="22">
        <v>2</v>
      </c>
      <c r="EC23" s="22">
        <f t="shared" ref="EC23:EC36" si="66">$IK$22*EB23</f>
        <v>2</v>
      </c>
      <c r="ED23" s="22">
        <v>0</v>
      </c>
      <c r="EE23" s="22">
        <f t="shared" ref="EE23:EE36" si="67">$IM$22*ED23</f>
        <v>0</v>
      </c>
      <c r="EF23" s="22"/>
      <c r="EG23" s="22">
        <f t="shared" ref="EG23:EG36" si="68">$IL$22*EF23</f>
        <v>0</v>
      </c>
      <c r="EH23" s="22">
        <f t="shared" ref="EH23:EH36" si="69">EC23+EE23+EG23</f>
        <v>2</v>
      </c>
      <c r="EI23" s="23">
        <f t="shared" ref="EI23:EI36" si="70">DZ$20-EC23-EE23-EG23</f>
        <v>58</v>
      </c>
      <c r="EJ23" s="20">
        <v>1.0548264430483749</v>
      </c>
      <c r="EK23" s="21" t="str">
        <f t="shared" ref="EK23:EK29" si="71">"("&amp;FIXED(EJ23*0.092903,2)&amp;")"</f>
        <v>(0.10)</v>
      </c>
      <c r="EL23" s="22">
        <v>2</v>
      </c>
      <c r="EM23" s="22">
        <f t="shared" ref="EM23:EM36" si="72">$IK$22*EL23</f>
        <v>2</v>
      </c>
      <c r="EN23" s="22">
        <v>0</v>
      </c>
      <c r="EO23" s="22">
        <f t="shared" ref="EO23:EO36" si="73">$IM$22*EN23</f>
        <v>0</v>
      </c>
      <c r="EP23" s="22"/>
      <c r="EQ23" s="22">
        <f t="shared" ref="EQ23:EQ36" si="74">$IL$22*EP23</f>
        <v>0</v>
      </c>
      <c r="ER23" s="22">
        <f t="shared" ref="ER23:ER36" si="75">EM23+EO23+EQ23</f>
        <v>2</v>
      </c>
      <c r="ES23" s="23">
        <f t="shared" ref="ES23:ES36" si="76">EJ$20-EM23-EO23-EQ23</f>
        <v>64</v>
      </c>
      <c r="ET23" s="20">
        <v>1.15371642208416</v>
      </c>
      <c r="EU23" s="21" t="str">
        <f t="shared" ref="EU23:EU36" si="77">"("&amp;FIXED(ET23*0.092903,2)&amp;")"</f>
        <v>(0.11)</v>
      </c>
      <c r="EV23" s="22">
        <v>2</v>
      </c>
      <c r="EW23" s="22">
        <f t="shared" ref="EW23:EW36" si="78">$IK$22*EV23</f>
        <v>2</v>
      </c>
      <c r="EX23" s="22"/>
      <c r="EY23" s="22">
        <f t="shared" ref="EY23:EY36" si="79">$IM$22*EX23</f>
        <v>0</v>
      </c>
      <c r="EZ23" s="22">
        <v>0</v>
      </c>
      <c r="FA23" s="22">
        <f t="shared" ref="FA23:FA36" si="80">$IL$22*EZ23</f>
        <v>0</v>
      </c>
      <c r="FB23" s="22">
        <f t="shared" ref="FB23:FB36" si="81">EW23+EY23+FA23</f>
        <v>2</v>
      </c>
      <c r="FC23" s="23">
        <f t="shared" ref="FC23:FC36" si="82">ET$20-EW23-EY23-FA23</f>
        <v>70</v>
      </c>
      <c r="FD23" s="202"/>
      <c r="FE23" s="203"/>
      <c r="FF23" s="204"/>
      <c r="FG23" s="204"/>
      <c r="FH23" s="204"/>
      <c r="FI23" s="204"/>
      <c r="FJ23" s="204"/>
      <c r="FK23" s="204"/>
      <c r="FL23" s="204"/>
      <c r="FM23" s="205"/>
      <c r="FN23" s="202"/>
      <c r="FO23" s="203"/>
      <c r="FP23" s="204"/>
      <c r="FQ23" s="204"/>
      <c r="FR23" s="204"/>
      <c r="FS23" s="204"/>
      <c r="FT23" s="204"/>
      <c r="FU23" s="204"/>
      <c r="FV23" s="204"/>
      <c r="FW23" s="205"/>
      <c r="FX23" s="202"/>
      <c r="FY23" s="203"/>
      <c r="FZ23" s="204"/>
      <c r="GA23" s="204"/>
      <c r="GB23" s="204"/>
      <c r="GC23" s="204"/>
      <c r="GD23" s="204"/>
      <c r="GE23" s="204"/>
      <c r="GF23" s="204"/>
      <c r="GG23" s="205"/>
      <c r="GH23" s="202"/>
      <c r="GI23" s="203"/>
      <c r="GJ23" s="204"/>
      <c r="GK23" s="204"/>
      <c r="GL23" s="204"/>
      <c r="GM23" s="204"/>
      <c r="GN23" s="204"/>
      <c r="GO23" s="204"/>
      <c r="GP23" s="204"/>
      <c r="GQ23" s="205"/>
      <c r="GR23" s="202"/>
      <c r="GS23" s="203"/>
      <c r="GT23" s="204"/>
      <c r="GU23" s="204"/>
      <c r="GV23" s="204"/>
      <c r="GW23" s="204"/>
      <c r="GX23" s="204"/>
      <c r="GY23" s="204"/>
      <c r="GZ23" s="204"/>
      <c r="HA23" s="205"/>
      <c r="HB23" s="202"/>
      <c r="HC23" s="203"/>
      <c r="HD23" s="204"/>
      <c r="HE23" s="204"/>
      <c r="HF23" s="204"/>
      <c r="HG23" s="204"/>
      <c r="HH23" s="204"/>
      <c r="HI23" s="204"/>
      <c r="HJ23" s="204"/>
      <c r="HK23" s="205"/>
      <c r="HL23" s="202"/>
      <c r="HM23" s="203"/>
      <c r="HN23" s="204"/>
      <c r="HO23" s="204"/>
      <c r="HP23" s="204"/>
      <c r="HQ23" s="204"/>
      <c r="HR23" s="204"/>
      <c r="HS23" s="204"/>
      <c r="HT23" s="204"/>
      <c r="HU23" s="205"/>
      <c r="HV23" s="202"/>
      <c r="HW23" s="203"/>
      <c r="HX23" s="204"/>
      <c r="HY23" s="204"/>
      <c r="HZ23" s="204"/>
      <c r="IA23" s="204"/>
      <c r="IB23" s="204"/>
      <c r="IC23" s="204"/>
      <c r="ID23" s="204"/>
      <c r="IE23" s="205"/>
      <c r="IF23" s="33"/>
      <c r="IG23" s="25">
        <v>0</v>
      </c>
      <c r="IH23" s="26">
        <v>2.0099999999999998</v>
      </c>
      <c r="II23" s="26">
        <v>2.0099999999999998</v>
      </c>
      <c r="IJ23" s="26">
        <v>1.952</v>
      </c>
      <c r="IK23" s="26">
        <v>1</v>
      </c>
      <c r="IL23" s="26">
        <v>1</v>
      </c>
      <c r="IM23" s="26">
        <v>1.125</v>
      </c>
      <c r="IN23" s="8"/>
    </row>
    <row r="24" spans="2:248" ht="15.75" thickBot="1" x14ac:dyDescent="0.3">
      <c r="B24" s="103">
        <f t="shared" si="15"/>
        <v>42</v>
      </c>
      <c r="C24" s="102">
        <v>7</v>
      </c>
      <c r="D24" s="98">
        <f t="shared" si="1"/>
        <v>0.19825396825396821</v>
      </c>
      <c r="E24" s="96">
        <f t="shared" si="2"/>
        <v>0.21147089947089948</v>
      </c>
      <c r="F24" s="96">
        <f t="shared" si="3"/>
        <v>0.21807936507936507</v>
      </c>
      <c r="G24" s="96">
        <f t="shared" si="4"/>
        <v>0.22204444444444441</v>
      </c>
      <c r="H24" s="96">
        <f t="shared" si="5"/>
        <v>0.22468783068783066</v>
      </c>
      <c r="I24" s="96">
        <f t="shared" si="6"/>
        <v>0.22657596371882083</v>
      </c>
      <c r="J24" s="96">
        <f t="shared" si="7"/>
        <v>0.22799206349206344</v>
      </c>
      <c r="K24" s="96">
        <f t="shared" si="8"/>
        <v>0.22909347442680775</v>
      </c>
      <c r="L24" s="96">
        <f t="shared" si="9"/>
        <v>0.22997460317460314</v>
      </c>
      <c r="M24" s="96">
        <f t="shared" si="10"/>
        <v>0.2306955266955267</v>
      </c>
      <c r="N24" s="96">
        <f t="shared" si="11"/>
        <v>0.23129629629629628</v>
      </c>
      <c r="O24" s="259"/>
      <c r="P24" s="259"/>
      <c r="Q24" s="259"/>
      <c r="R24" s="259"/>
      <c r="S24" s="259"/>
      <c r="T24" s="259"/>
      <c r="U24" s="259"/>
      <c r="V24" s="259"/>
      <c r="W24" s="64"/>
      <c r="X24" s="65"/>
      <c r="Z24" s="83"/>
      <c r="AA24" s="83"/>
      <c r="AT24" s="4"/>
      <c r="AU24" s="14">
        <v>24</v>
      </c>
      <c r="AV24" s="12" t="str">
        <f t="shared" si="16"/>
        <v>(600)</v>
      </c>
      <c r="AW24" s="19">
        <f t="shared" ref="AW24:AW40" si="83">AW23+1</f>
        <v>2</v>
      </c>
      <c r="AX24" s="373">
        <f t="shared" ref="AX24:AX36" si="84">($IH24+(($IG24-1)*$II24)+$IJ24)*BG24/144</f>
        <v>0.27513888888888888</v>
      </c>
      <c r="AY24" s="374" t="str">
        <f t="shared" si="17"/>
        <v>(0.03)</v>
      </c>
      <c r="AZ24" s="375">
        <v>2</v>
      </c>
      <c r="BA24" s="375">
        <f t="shared" si="18"/>
        <v>2</v>
      </c>
      <c r="BB24" s="375">
        <v>0</v>
      </c>
      <c r="BC24" s="375">
        <f t="shared" si="19"/>
        <v>0</v>
      </c>
      <c r="BD24" s="375">
        <v>0</v>
      </c>
      <c r="BE24" s="375">
        <f t="shared" si="20"/>
        <v>0</v>
      </c>
      <c r="BF24" s="375">
        <f t="shared" si="21"/>
        <v>2</v>
      </c>
      <c r="BG24" s="376">
        <f t="shared" si="22"/>
        <v>10</v>
      </c>
      <c r="BH24" s="373">
        <f t="shared" ref="BH24:BH36" si="85">($IH24+(($IG24-1)*$II24)+$IJ24)*BQ24/144</f>
        <v>0.44022222222222218</v>
      </c>
      <c r="BI24" s="374" t="str">
        <f t="shared" si="23"/>
        <v>(0.04)</v>
      </c>
      <c r="BJ24" s="375">
        <v>2</v>
      </c>
      <c r="BK24" s="375">
        <f t="shared" si="24"/>
        <v>2</v>
      </c>
      <c r="BL24" s="375">
        <v>0</v>
      </c>
      <c r="BM24" s="375">
        <f t="shared" si="25"/>
        <v>0</v>
      </c>
      <c r="BN24" s="375">
        <v>0</v>
      </c>
      <c r="BO24" s="375">
        <f t="shared" si="26"/>
        <v>0</v>
      </c>
      <c r="BP24" s="375">
        <f t="shared" si="27"/>
        <v>2</v>
      </c>
      <c r="BQ24" s="376">
        <f t="shared" si="28"/>
        <v>16</v>
      </c>
      <c r="BR24" s="373">
        <f t="shared" ref="BR24:BR36" si="86">($IH24+(($IG24-1)*$II24)+$IJ24)*CA24/144</f>
        <v>0.60530555555555543</v>
      </c>
      <c r="BS24" s="374" t="str">
        <f t="shared" si="29"/>
        <v>(0.06)</v>
      </c>
      <c r="BT24" s="375">
        <v>2</v>
      </c>
      <c r="BU24" s="375">
        <f t="shared" si="30"/>
        <v>2</v>
      </c>
      <c r="BV24" s="375">
        <v>0</v>
      </c>
      <c r="BW24" s="375">
        <f t="shared" si="31"/>
        <v>0</v>
      </c>
      <c r="BX24" s="375">
        <v>0</v>
      </c>
      <c r="BY24" s="375">
        <f t="shared" si="32"/>
        <v>0</v>
      </c>
      <c r="BZ24" s="375">
        <f t="shared" si="33"/>
        <v>2</v>
      </c>
      <c r="CA24" s="376">
        <f t="shared" si="34"/>
        <v>22</v>
      </c>
      <c r="CB24" s="373">
        <f t="shared" ref="CB24:CB36" si="87">($IH24+(($IG24-1)*$II24)+$IJ24)*CK24/144</f>
        <v>0.77038888888888879</v>
      </c>
      <c r="CC24" s="374" t="str">
        <f t="shared" si="35"/>
        <v>(0.07)</v>
      </c>
      <c r="CD24" s="375">
        <v>2</v>
      </c>
      <c r="CE24" s="375">
        <f t="shared" si="36"/>
        <v>2</v>
      </c>
      <c r="CF24" s="375">
        <v>0</v>
      </c>
      <c r="CG24" s="375">
        <f t="shared" si="37"/>
        <v>0</v>
      </c>
      <c r="CH24" s="375">
        <v>0</v>
      </c>
      <c r="CI24" s="375">
        <f t="shared" si="38"/>
        <v>0</v>
      </c>
      <c r="CJ24" s="375">
        <f t="shared" si="39"/>
        <v>2</v>
      </c>
      <c r="CK24" s="376">
        <f t="shared" si="40"/>
        <v>28</v>
      </c>
      <c r="CL24" s="373">
        <f t="shared" ref="CL24:CL36" si="88">($IH24+(($IG24-1)*$II24)+$IJ24)*CU24/144</f>
        <v>0.93547222222222226</v>
      </c>
      <c r="CM24" s="374" t="str">
        <f t="shared" si="41"/>
        <v>(0.09)</v>
      </c>
      <c r="CN24" s="375">
        <v>2</v>
      </c>
      <c r="CO24" s="375">
        <f t="shared" si="42"/>
        <v>2</v>
      </c>
      <c r="CP24" s="375">
        <v>0</v>
      </c>
      <c r="CQ24" s="375">
        <f t="shared" si="43"/>
        <v>0</v>
      </c>
      <c r="CR24" s="375">
        <v>0</v>
      </c>
      <c r="CS24" s="375">
        <f t="shared" si="44"/>
        <v>0</v>
      </c>
      <c r="CT24" s="375">
        <f t="shared" si="45"/>
        <v>2</v>
      </c>
      <c r="CU24" s="376">
        <f t="shared" si="46"/>
        <v>34</v>
      </c>
      <c r="CV24" s="373">
        <f t="shared" ref="CV24:CV36" si="89">($IH24+(($IG24-1)*$II24)+$IJ24)*DE24/144</f>
        <v>1.1005555555555555</v>
      </c>
      <c r="CW24" s="374" t="str">
        <f t="shared" si="47"/>
        <v>(0.1)</v>
      </c>
      <c r="CX24" s="375">
        <v>2</v>
      </c>
      <c r="CY24" s="375">
        <f t="shared" si="48"/>
        <v>2</v>
      </c>
      <c r="CZ24" s="375">
        <v>0</v>
      </c>
      <c r="DA24" s="375">
        <f t="shared" si="49"/>
        <v>0</v>
      </c>
      <c r="DB24" s="375">
        <v>0</v>
      </c>
      <c r="DC24" s="375">
        <f t="shared" si="50"/>
        <v>0</v>
      </c>
      <c r="DD24" s="375">
        <f t="shared" si="51"/>
        <v>2</v>
      </c>
      <c r="DE24" s="376">
        <f t="shared" si="52"/>
        <v>40</v>
      </c>
      <c r="DF24" s="373">
        <f t="shared" ref="DF24:DF36" si="90">($IH24+(($IG24-1)*$II24)+$IJ24)*DO24/144</f>
        <v>1.2656388888888888</v>
      </c>
      <c r="DG24" s="374" t="str">
        <f t="shared" si="53"/>
        <v>(0.12)</v>
      </c>
      <c r="DH24" s="375">
        <v>2</v>
      </c>
      <c r="DI24" s="375">
        <f t="shared" si="54"/>
        <v>2</v>
      </c>
      <c r="DJ24" s="375">
        <v>0</v>
      </c>
      <c r="DK24" s="375">
        <f t="shared" si="55"/>
        <v>0</v>
      </c>
      <c r="DL24" s="375">
        <v>0</v>
      </c>
      <c r="DM24" s="375">
        <f t="shared" si="56"/>
        <v>0</v>
      </c>
      <c r="DN24" s="375">
        <f t="shared" si="57"/>
        <v>2</v>
      </c>
      <c r="DO24" s="376">
        <f t="shared" si="58"/>
        <v>46</v>
      </c>
      <c r="DP24" s="373">
        <f t="shared" ref="DP24:DP36" si="91">($IH24+(($IG24-1)*$II24)+$IJ24)*DY24/144</f>
        <v>1.4307222222222222</v>
      </c>
      <c r="DQ24" s="374" t="str">
        <f t="shared" si="59"/>
        <v>(0.13)</v>
      </c>
      <c r="DR24" s="375">
        <v>2</v>
      </c>
      <c r="DS24" s="375">
        <f t="shared" si="60"/>
        <v>2</v>
      </c>
      <c r="DT24" s="375">
        <v>0</v>
      </c>
      <c r="DU24" s="375">
        <f t="shared" si="61"/>
        <v>0</v>
      </c>
      <c r="DV24" s="375"/>
      <c r="DW24" s="375">
        <f t="shared" si="62"/>
        <v>0</v>
      </c>
      <c r="DX24" s="375">
        <f t="shared" si="63"/>
        <v>2</v>
      </c>
      <c r="DY24" s="376">
        <f t="shared" si="64"/>
        <v>52</v>
      </c>
      <c r="DZ24" s="373">
        <f t="shared" ref="DZ24:DZ36" si="92">($IH24+(($IG24-1)*$II24)+$IJ24)*EI24/144</f>
        <v>1.5958055555555555</v>
      </c>
      <c r="EA24" s="374" t="str">
        <f t="shared" si="65"/>
        <v>(0.15)</v>
      </c>
      <c r="EB24" s="375">
        <v>2</v>
      </c>
      <c r="EC24" s="375">
        <f t="shared" si="66"/>
        <v>2</v>
      </c>
      <c r="ED24" s="375">
        <v>0</v>
      </c>
      <c r="EE24" s="375">
        <f t="shared" si="67"/>
        <v>0</v>
      </c>
      <c r="EF24" s="375"/>
      <c r="EG24" s="375">
        <f t="shared" si="68"/>
        <v>0</v>
      </c>
      <c r="EH24" s="375">
        <f t="shared" si="69"/>
        <v>2</v>
      </c>
      <c r="EI24" s="376">
        <f t="shared" si="70"/>
        <v>58</v>
      </c>
      <c r="EJ24" s="373">
        <f t="shared" ref="EJ24:EJ36" si="93">($IH24+(($IG24-1)*$II24)+$IJ24)*ES24/144</f>
        <v>1.7608888888888887</v>
      </c>
      <c r="EK24" s="374" t="str">
        <f t="shared" si="71"/>
        <v>(0.16)</v>
      </c>
      <c r="EL24" s="375">
        <v>2</v>
      </c>
      <c r="EM24" s="375">
        <f t="shared" si="72"/>
        <v>2</v>
      </c>
      <c r="EN24" s="375">
        <v>0</v>
      </c>
      <c r="EO24" s="375">
        <f t="shared" si="73"/>
        <v>0</v>
      </c>
      <c r="EP24" s="375"/>
      <c r="EQ24" s="375">
        <f t="shared" si="74"/>
        <v>0</v>
      </c>
      <c r="ER24" s="375">
        <f t="shared" si="75"/>
        <v>2</v>
      </c>
      <c r="ES24" s="376">
        <f t="shared" si="76"/>
        <v>64</v>
      </c>
      <c r="ET24" s="373">
        <f t="shared" ref="ET24:ET36" si="94">($IH24+(($IG24-1)*$II24)+$IJ24)*FC24/144</f>
        <v>1.925972222222222</v>
      </c>
      <c r="EU24" s="374" t="str">
        <f t="shared" si="77"/>
        <v>(0.18)</v>
      </c>
      <c r="EV24" s="22">
        <v>2</v>
      </c>
      <c r="EW24" s="22">
        <f t="shared" si="78"/>
        <v>2</v>
      </c>
      <c r="EX24" s="22"/>
      <c r="EY24" s="22">
        <f t="shared" si="79"/>
        <v>0</v>
      </c>
      <c r="EZ24" s="22">
        <v>0</v>
      </c>
      <c r="FA24" s="22">
        <f t="shared" si="80"/>
        <v>0</v>
      </c>
      <c r="FB24" s="22">
        <f t="shared" si="81"/>
        <v>2</v>
      </c>
      <c r="FC24" s="23">
        <f t="shared" si="82"/>
        <v>70</v>
      </c>
      <c r="FD24" s="202"/>
      <c r="FE24" s="203"/>
      <c r="FF24" s="204"/>
      <c r="FG24" s="204"/>
      <c r="FH24" s="204"/>
      <c r="FI24" s="204"/>
      <c r="FJ24" s="204"/>
      <c r="FK24" s="204"/>
      <c r="FL24" s="204"/>
      <c r="FM24" s="205"/>
      <c r="FN24" s="202"/>
      <c r="FO24" s="203"/>
      <c r="FP24" s="204"/>
      <c r="FQ24" s="204"/>
      <c r="FR24" s="204"/>
      <c r="FS24" s="204"/>
      <c r="FT24" s="204"/>
      <c r="FU24" s="204"/>
      <c r="FV24" s="204"/>
      <c r="FW24" s="205"/>
      <c r="FX24" s="202"/>
      <c r="FY24" s="203"/>
      <c r="FZ24" s="204"/>
      <c r="GA24" s="204"/>
      <c r="GB24" s="204"/>
      <c r="GC24" s="204"/>
      <c r="GD24" s="204"/>
      <c r="GE24" s="204"/>
      <c r="GF24" s="204"/>
      <c r="GG24" s="205"/>
      <c r="GH24" s="202"/>
      <c r="GI24" s="203"/>
      <c r="GJ24" s="204"/>
      <c r="GK24" s="204"/>
      <c r="GL24" s="204"/>
      <c r="GM24" s="204"/>
      <c r="GN24" s="204"/>
      <c r="GO24" s="204"/>
      <c r="GP24" s="204"/>
      <c r="GQ24" s="205"/>
      <c r="GR24" s="202"/>
      <c r="GS24" s="203"/>
      <c r="GT24" s="204"/>
      <c r="GU24" s="204"/>
      <c r="GV24" s="204"/>
      <c r="GW24" s="204"/>
      <c r="GX24" s="204"/>
      <c r="GY24" s="204"/>
      <c r="GZ24" s="204"/>
      <c r="HA24" s="205"/>
      <c r="HB24" s="202"/>
      <c r="HC24" s="203"/>
      <c r="HD24" s="204"/>
      <c r="HE24" s="204"/>
      <c r="HF24" s="204"/>
      <c r="HG24" s="204"/>
      <c r="HH24" s="204"/>
      <c r="HI24" s="204"/>
      <c r="HJ24" s="204"/>
      <c r="HK24" s="205"/>
      <c r="HL24" s="202"/>
      <c r="HM24" s="203"/>
      <c r="HN24" s="204"/>
      <c r="HO24" s="204"/>
      <c r="HP24" s="204"/>
      <c r="HQ24" s="204"/>
      <c r="HR24" s="204"/>
      <c r="HS24" s="204"/>
      <c r="HT24" s="204"/>
      <c r="HU24" s="205"/>
      <c r="HV24" s="202"/>
      <c r="HW24" s="203"/>
      <c r="HX24" s="204"/>
      <c r="HY24" s="204"/>
      <c r="HZ24" s="204"/>
      <c r="IA24" s="204"/>
      <c r="IB24" s="204"/>
      <c r="IC24" s="204"/>
      <c r="ID24" s="204"/>
      <c r="IE24" s="205"/>
      <c r="IF24" s="33"/>
      <c r="IG24" s="25">
        <v>1</v>
      </c>
      <c r="IH24" s="26">
        <v>2.0099999999999998</v>
      </c>
      <c r="II24" s="26">
        <v>2.0099999999999998</v>
      </c>
      <c r="IJ24" s="26">
        <v>1.952</v>
      </c>
      <c r="IK24" s="26">
        <v>1</v>
      </c>
      <c r="IL24" s="26">
        <v>1</v>
      </c>
      <c r="IM24" s="26">
        <v>1.125</v>
      </c>
      <c r="IN24" s="8"/>
    </row>
    <row r="25" spans="2:248" ht="15.75" thickBot="1" x14ac:dyDescent="0.3">
      <c r="B25" s="103">
        <f t="shared" si="15"/>
        <v>48</v>
      </c>
      <c r="C25" s="102">
        <v>8</v>
      </c>
      <c r="D25" s="98">
        <f t="shared" si="1"/>
        <v>0.20836805555555551</v>
      </c>
      <c r="E25" s="96">
        <f t="shared" si="2"/>
        <v>0.22225925925925924</v>
      </c>
      <c r="F25" s="96">
        <f t="shared" si="3"/>
        <v>0.2292048611111111</v>
      </c>
      <c r="G25" s="96">
        <f t="shared" si="4"/>
        <v>0.23337222222222223</v>
      </c>
      <c r="H25" s="96">
        <f t="shared" si="5"/>
        <v>0.23615046296296294</v>
      </c>
      <c r="I25" s="96">
        <f t="shared" si="6"/>
        <v>0.23813492063492059</v>
      </c>
      <c r="J25" s="96">
        <f t="shared" si="7"/>
        <v>0.23962326388888888</v>
      </c>
      <c r="K25" s="96">
        <f t="shared" si="8"/>
        <v>0.24078086419753081</v>
      </c>
      <c r="L25" s="96">
        <f t="shared" si="9"/>
        <v>0.24170694444444446</v>
      </c>
      <c r="M25" s="96">
        <f t="shared" si="10"/>
        <v>0.24246464646464644</v>
      </c>
      <c r="N25" s="96">
        <f t="shared" si="11"/>
        <v>0.2430960648148148</v>
      </c>
      <c r="O25" s="259"/>
      <c r="P25" s="259"/>
      <c r="Q25" s="259"/>
      <c r="R25" s="259"/>
      <c r="S25" s="259"/>
      <c r="T25" s="259"/>
      <c r="U25" s="259"/>
      <c r="V25" s="259"/>
      <c r="W25" s="64"/>
      <c r="X25" s="65"/>
      <c r="Z25" s="83"/>
      <c r="AA25" s="83"/>
      <c r="AT25" s="4"/>
      <c r="AU25" s="27">
        <f t="shared" ref="AU25:AU40" si="95">AU24+6</f>
        <v>30</v>
      </c>
      <c r="AV25" s="28" t="str">
        <f t="shared" si="16"/>
        <v>(750)</v>
      </c>
      <c r="AW25" s="19">
        <f t="shared" si="83"/>
        <v>3</v>
      </c>
      <c r="AX25" s="373">
        <f t="shared" si="84"/>
        <v>0.41472222222222221</v>
      </c>
      <c r="AY25" s="374" t="str">
        <f t="shared" si="17"/>
        <v>(0.04)</v>
      </c>
      <c r="AZ25" s="375">
        <v>2</v>
      </c>
      <c r="BA25" s="375">
        <f t="shared" si="18"/>
        <v>2</v>
      </c>
      <c r="BB25" s="375">
        <v>0</v>
      </c>
      <c r="BC25" s="375">
        <f t="shared" si="19"/>
        <v>0</v>
      </c>
      <c r="BD25" s="375">
        <v>0</v>
      </c>
      <c r="BE25" s="375">
        <f t="shared" si="20"/>
        <v>0</v>
      </c>
      <c r="BF25" s="375">
        <f t="shared" si="21"/>
        <v>2</v>
      </c>
      <c r="BG25" s="376">
        <f t="shared" si="22"/>
        <v>10</v>
      </c>
      <c r="BH25" s="373">
        <f t="shared" si="85"/>
        <v>0.66355555555555545</v>
      </c>
      <c r="BI25" s="374" t="str">
        <f t="shared" si="23"/>
        <v>(0.06)</v>
      </c>
      <c r="BJ25" s="375">
        <v>2</v>
      </c>
      <c r="BK25" s="375">
        <f t="shared" si="24"/>
        <v>2</v>
      </c>
      <c r="BL25" s="375">
        <v>0</v>
      </c>
      <c r="BM25" s="375">
        <f t="shared" si="25"/>
        <v>0</v>
      </c>
      <c r="BN25" s="375">
        <v>0</v>
      </c>
      <c r="BO25" s="375">
        <f t="shared" si="26"/>
        <v>0</v>
      </c>
      <c r="BP25" s="375">
        <f t="shared" si="27"/>
        <v>2</v>
      </c>
      <c r="BQ25" s="376">
        <f t="shared" si="28"/>
        <v>16</v>
      </c>
      <c r="BR25" s="373">
        <f t="shared" si="86"/>
        <v>0.9123888888888888</v>
      </c>
      <c r="BS25" s="374" t="str">
        <f t="shared" si="29"/>
        <v>(0.08)</v>
      </c>
      <c r="BT25" s="375">
        <v>2</v>
      </c>
      <c r="BU25" s="375">
        <f t="shared" si="30"/>
        <v>2</v>
      </c>
      <c r="BV25" s="375">
        <v>0</v>
      </c>
      <c r="BW25" s="375">
        <f t="shared" si="31"/>
        <v>0</v>
      </c>
      <c r="BX25" s="375">
        <v>0</v>
      </c>
      <c r="BY25" s="375">
        <f t="shared" si="32"/>
        <v>0</v>
      </c>
      <c r="BZ25" s="375">
        <f t="shared" si="33"/>
        <v>2</v>
      </c>
      <c r="CA25" s="376">
        <f t="shared" si="34"/>
        <v>22</v>
      </c>
      <c r="CB25" s="373">
        <f t="shared" si="87"/>
        <v>1.1612222222222222</v>
      </c>
      <c r="CC25" s="374" t="str">
        <f t="shared" si="35"/>
        <v>(0.11)</v>
      </c>
      <c r="CD25" s="375">
        <v>2</v>
      </c>
      <c r="CE25" s="375">
        <f t="shared" si="36"/>
        <v>2</v>
      </c>
      <c r="CF25" s="375">
        <v>0</v>
      </c>
      <c r="CG25" s="375">
        <f t="shared" si="37"/>
        <v>0</v>
      </c>
      <c r="CH25" s="375">
        <v>0</v>
      </c>
      <c r="CI25" s="375">
        <f t="shared" si="38"/>
        <v>0</v>
      </c>
      <c r="CJ25" s="375">
        <f t="shared" si="39"/>
        <v>2</v>
      </c>
      <c r="CK25" s="376">
        <f t="shared" si="40"/>
        <v>28</v>
      </c>
      <c r="CL25" s="373">
        <f t="shared" si="88"/>
        <v>1.4100555555555554</v>
      </c>
      <c r="CM25" s="374" t="str">
        <f t="shared" si="41"/>
        <v>(0.13)</v>
      </c>
      <c r="CN25" s="375">
        <v>2</v>
      </c>
      <c r="CO25" s="375">
        <f t="shared" si="42"/>
        <v>2</v>
      </c>
      <c r="CP25" s="375">
        <v>0</v>
      </c>
      <c r="CQ25" s="375">
        <f t="shared" si="43"/>
        <v>0</v>
      </c>
      <c r="CR25" s="375">
        <v>0</v>
      </c>
      <c r="CS25" s="375">
        <f t="shared" si="44"/>
        <v>0</v>
      </c>
      <c r="CT25" s="375">
        <f t="shared" si="45"/>
        <v>2</v>
      </c>
      <c r="CU25" s="376">
        <f t="shared" si="46"/>
        <v>34</v>
      </c>
      <c r="CV25" s="373">
        <f t="shared" si="89"/>
        <v>1.6588888888888889</v>
      </c>
      <c r="CW25" s="374" t="str">
        <f t="shared" si="47"/>
        <v>(0.15)</v>
      </c>
      <c r="CX25" s="375">
        <v>2</v>
      </c>
      <c r="CY25" s="375">
        <f t="shared" si="48"/>
        <v>2</v>
      </c>
      <c r="CZ25" s="375">
        <v>0</v>
      </c>
      <c r="DA25" s="375">
        <f t="shared" si="49"/>
        <v>0</v>
      </c>
      <c r="DB25" s="375">
        <v>0</v>
      </c>
      <c r="DC25" s="375">
        <f t="shared" si="50"/>
        <v>0</v>
      </c>
      <c r="DD25" s="375">
        <f t="shared" si="51"/>
        <v>2</v>
      </c>
      <c r="DE25" s="376">
        <f t="shared" si="52"/>
        <v>40</v>
      </c>
      <c r="DF25" s="373">
        <f t="shared" si="90"/>
        <v>1.9077222222222221</v>
      </c>
      <c r="DG25" s="374" t="str">
        <f t="shared" si="53"/>
        <v>(0.18)</v>
      </c>
      <c r="DH25" s="375">
        <v>2</v>
      </c>
      <c r="DI25" s="375">
        <f t="shared" si="54"/>
        <v>2</v>
      </c>
      <c r="DJ25" s="375">
        <v>0</v>
      </c>
      <c r="DK25" s="375">
        <f t="shared" si="55"/>
        <v>0</v>
      </c>
      <c r="DL25" s="375">
        <v>0</v>
      </c>
      <c r="DM25" s="375">
        <f t="shared" si="56"/>
        <v>0</v>
      </c>
      <c r="DN25" s="375">
        <f t="shared" si="57"/>
        <v>2</v>
      </c>
      <c r="DO25" s="376">
        <f t="shared" si="58"/>
        <v>46</v>
      </c>
      <c r="DP25" s="373">
        <f t="shared" si="91"/>
        <v>2.1565555555555553</v>
      </c>
      <c r="DQ25" s="374" t="str">
        <f t="shared" si="59"/>
        <v>(0.20)</v>
      </c>
      <c r="DR25" s="375">
        <v>2</v>
      </c>
      <c r="DS25" s="375">
        <f t="shared" si="60"/>
        <v>2</v>
      </c>
      <c r="DT25" s="375">
        <v>0</v>
      </c>
      <c r="DU25" s="375">
        <f t="shared" si="61"/>
        <v>0</v>
      </c>
      <c r="DV25" s="375"/>
      <c r="DW25" s="375">
        <f t="shared" si="62"/>
        <v>0</v>
      </c>
      <c r="DX25" s="375">
        <f t="shared" si="63"/>
        <v>2</v>
      </c>
      <c r="DY25" s="376">
        <f t="shared" si="64"/>
        <v>52</v>
      </c>
      <c r="DZ25" s="373">
        <f t="shared" si="92"/>
        <v>2.4053888888888886</v>
      </c>
      <c r="EA25" s="374" t="str">
        <f t="shared" si="65"/>
        <v>(0.22)</v>
      </c>
      <c r="EB25" s="375">
        <v>2</v>
      </c>
      <c r="EC25" s="375">
        <f t="shared" si="66"/>
        <v>2</v>
      </c>
      <c r="ED25" s="375">
        <v>0</v>
      </c>
      <c r="EE25" s="375">
        <f t="shared" si="67"/>
        <v>0</v>
      </c>
      <c r="EF25" s="375"/>
      <c r="EG25" s="375">
        <f t="shared" si="68"/>
        <v>0</v>
      </c>
      <c r="EH25" s="375">
        <f t="shared" si="69"/>
        <v>2</v>
      </c>
      <c r="EI25" s="376">
        <f t="shared" si="70"/>
        <v>58</v>
      </c>
      <c r="EJ25" s="373">
        <f t="shared" si="93"/>
        <v>2.6542222222222218</v>
      </c>
      <c r="EK25" s="374" t="str">
        <f t="shared" si="71"/>
        <v>(0.25)</v>
      </c>
      <c r="EL25" s="375">
        <v>2</v>
      </c>
      <c r="EM25" s="375">
        <f t="shared" si="72"/>
        <v>2</v>
      </c>
      <c r="EN25" s="375">
        <v>0</v>
      </c>
      <c r="EO25" s="375">
        <f t="shared" si="73"/>
        <v>0</v>
      </c>
      <c r="EP25" s="375"/>
      <c r="EQ25" s="375">
        <f t="shared" si="74"/>
        <v>0</v>
      </c>
      <c r="ER25" s="375">
        <f t="shared" si="75"/>
        <v>2</v>
      </c>
      <c r="ES25" s="376">
        <f t="shared" si="76"/>
        <v>64</v>
      </c>
      <c r="ET25" s="373">
        <f t="shared" si="94"/>
        <v>2.9030555555555555</v>
      </c>
      <c r="EU25" s="374" t="str">
        <f t="shared" si="77"/>
        <v>(0.27)</v>
      </c>
      <c r="EV25" s="22">
        <v>2</v>
      </c>
      <c r="EW25" s="22">
        <f t="shared" si="78"/>
        <v>2</v>
      </c>
      <c r="EX25" s="30"/>
      <c r="EY25" s="22">
        <f t="shared" si="79"/>
        <v>0</v>
      </c>
      <c r="EZ25" s="30">
        <v>0</v>
      </c>
      <c r="FA25" s="22">
        <f t="shared" si="80"/>
        <v>0</v>
      </c>
      <c r="FB25" s="22">
        <f t="shared" si="81"/>
        <v>2</v>
      </c>
      <c r="FC25" s="23">
        <f t="shared" si="82"/>
        <v>70</v>
      </c>
      <c r="FD25" s="202"/>
      <c r="FE25" s="203"/>
      <c r="FF25" s="204"/>
      <c r="FG25" s="204"/>
      <c r="FH25" s="204"/>
      <c r="FI25" s="204"/>
      <c r="FJ25" s="204"/>
      <c r="FK25" s="204"/>
      <c r="FL25" s="204"/>
      <c r="FM25" s="205"/>
      <c r="FN25" s="202"/>
      <c r="FO25" s="203"/>
      <c r="FP25" s="204"/>
      <c r="FQ25" s="204"/>
      <c r="FR25" s="204"/>
      <c r="FS25" s="204"/>
      <c r="FT25" s="204"/>
      <c r="FU25" s="204"/>
      <c r="FV25" s="204"/>
      <c r="FW25" s="205"/>
      <c r="FX25" s="202"/>
      <c r="FY25" s="203"/>
      <c r="FZ25" s="204"/>
      <c r="GA25" s="204"/>
      <c r="GB25" s="204"/>
      <c r="GC25" s="204"/>
      <c r="GD25" s="204"/>
      <c r="GE25" s="204"/>
      <c r="GF25" s="204"/>
      <c r="GG25" s="205"/>
      <c r="GH25" s="202"/>
      <c r="GI25" s="203"/>
      <c r="GJ25" s="204"/>
      <c r="GK25" s="204"/>
      <c r="GL25" s="204"/>
      <c r="GM25" s="204"/>
      <c r="GN25" s="204"/>
      <c r="GO25" s="204"/>
      <c r="GP25" s="204"/>
      <c r="GQ25" s="205"/>
      <c r="GR25" s="202"/>
      <c r="GS25" s="203"/>
      <c r="GT25" s="204"/>
      <c r="GU25" s="204"/>
      <c r="GV25" s="204"/>
      <c r="GW25" s="204"/>
      <c r="GX25" s="204"/>
      <c r="GY25" s="204"/>
      <c r="GZ25" s="204"/>
      <c r="HA25" s="205"/>
      <c r="HB25" s="202"/>
      <c r="HC25" s="203"/>
      <c r="HD25" s="204"/>
      <c r="HE25" s="204"/>
      <c r="HF25" s="204"/>
      <c r="HG25" s="204"/>
      <c r="HH25" s="204"/>
      <c r="HI25" s="204"/>
      <c r="HJ25" s="204"/>
      <c r="HK25" s="205"/>
      <c r="HL25" s="202"/>
      <c r="HM25" s="203"/>
      <c r="HN25" s="204"/>
      <c r="HO25" s="204"/>
      <c r="HP25" s="204"/>
      <c r="HQ25" s="204"/>
      <c r="HR25" s="204"/>
      <c r="HS25" s="204"/>
      <c r="HT25" s="204"/>
      <c r="HU25" s="205"/>
      <c r="HV25" s="202"/>
      <c r="HW25" s="203"/>
      <c r="HX25" s="204"/>
      <c r="HY25" s="204"/>
      <c r="HZ25" s="204"/>
      <c r="IA25" s="204"/>
      <c r="IB25" s="204"/>
      <c r="IC25" s="204"/>
      <c r="ID25" s="204"/>
      <c r="IE25" s="205"/>
      <c r="IF25" s="33"/>
      <c r="IG25" s="25">
        <v>2</v>
      </c>
      <c r="IH25" s="26">
        <v>2.0099999999999998</v>
      </c>
      <c r="II25" s="26">
        <v>2.0099999999999998</v>
      </c>
      <c r="IJ25" s="26">
        <v>1.952</v>
      </c>
      <c r="IK25" s="26">
        <v>1</v>
      </c>
      <c r="IL25" s="26">
        <v>1</v>
      </c>
      <c r="IM25" s="26">
        <v>1.125</v>
      </c>
      <c r="IN25" s="8"/>
    </row>
    <row r="26" spans="2:248" ht="15.75" thickBot="1" x14ac:dyDescent="0.3">
      <c r="B26" s="103">
        <f t="shared" si="15"/>
        <v>54</v>
      </c>
      <c r="C26" s="102">
        <v>9</v>
      </c>
      <c r="D26" s="98">
        <f t="shared" si="1"/>
        <v>0.21623456790123452</v>
      </c>
      <c r="E26" s="96">
        <f t="shared" si="2"/>
        <v>0.23065020576131687</v>
      </c>
      <c r="F26" s="96">
        <f t="shared" si="3"/>
        <v>0.23785802469135797</v>
      </c>
      <c r="G26" s="96">
        <f t="shared" si="4"/>
        <v>0.24218271604938271</v>
      </c>
      <c r="H26" s="96">
        <f t="shared" si="5"/>
        <v>0.24506584362139916</v>
      </c>
      <c r="I26" s="96">
        <f t="shared" si="6"/>
        <v>0.24712522045855373</v>
      </c>
      <c r="J26" s="96">
        <f t="shared" si="7"/>
        <v>0.24866975308641973</v>
      </c>
      <c r="K26" s="96">
        <f t="shared" si="8"/>
        <v>0.24987105624142661</v>
      </c>
      <c r="L26" s="96">
        <f t="shared" si="9"/>
        <v>0.25083209876543205</v>
      </c>
      <c r="M26" s="96">
        <f t="shared" si="10"/>
        <v>0.25161840628507293</v>
      </c>
      <c r="N26" s="96">
        <f t="shared" si="11"/>
        <v>0.25227366255144035</v>
      </c>
      <c r="O26" s="259"/>
      <c r="P26" s="259"/>
      <c r="Q26" s="259"/>
      <c r="R26" s="259"/>
      <c r="S26" s="259"/>
      <c r="T26" s="259"/>
      <c r="U26" s="259"/>
      <c r="V26" s="259"/>
      <c r="W26" s="64"/>
      <c r="X26" s="65"/>
      <c r="Z26" s="83"/>
      <c r="AA26" s="83"/>
      <c r="AT26" s="4"/>
      <c r="AU26" s="14">
        <f t="shared" si="95"/>
        <v>36</v>
      </c>
      <c r="AV26" s="12" t="str">
        <f t="shared" si="16"/>
        <v>(900)</v>
      </c>
      <c r="AW26" s="19">
        <f t="shared" si="83"/>
        <v>4</v>
      </c>
      <c r="AX26" s="373">
        <f t="shared" si="84"/>
        <v>0.5543055555555555</v>
      </c>
      <c r="AY26" s="374" t="str">
        <f t="shared" si="17"/>
        <v>(0.05)</v>
      </c>
      <c r="AZ26" s="375">
        <v>2</v>
      </c>
      <c r="BA26" s="375">
        <f t="shared" si="18"/>
        <v>2</v>
      </c>
      <c r="BB26" s="375">
        <v>0</v>
      </c>
      <c r="BC26" s="375">
        <f t="shared" si="19"/>
        <v>0</v>
      </c>
      <c r="BD26" s="375">
        <v>0</v>
      </c>
      <c r="BE26" s="375">
        <f t="shared" si="20"/>
        <v>0</v>
      </c>
      <c r="BF26" s="375">
        <f t="shared" si="21"/>
        <v>2</v>
      </c>
      <c r="BG26" s="376">
        <f t="shared" si="22"/>
        <v>10</v>
      </c>
      <c r="BH26" s="373">
        <f t="shared" si="85"/>
        <v>0.88688888888888884</v>
      </c>
      <c r="BI26" s="374" t="str">
        <f t="shared" si="23"/>
        <v>(0.08)</v>
      </c>
      <c r="BJ26" s="375">
        <v>2</v>
      </c>
      <c r="BK26" s="375">
        <f t="shared" si="24"/>
        <v>2</v>
      </c>
      <c r="BL26" s="375">
        <v>0</v>
      </c>
      <c r="BM26" s="375">
        <f t="shared" si="25"/>
        <v>0</v>
      </c>
      <c r="BN26" s="375">
        <v>0</v>
      </c>
      <c r="BO26" s="375">
        <f t="shared" si="26"/>
        <v>0</v>
      </c>
      <c r="BP26" s="375">
        <f t="shared" si="27"/>
        <v>2</v>
      </c>
      <c r="BQ26" s="376">
        <f t="shared" si="28"/>
        <v>16</v>
      </c>
      <c r="BR26" s="373">
        <f t="shared" si="86"/>
        <v>1.2194722222222221</v>
      </c>
      <c r="BS26" s="374" t="str">
        <f t="shared" si="29"/>
        <v>(0.11)</v>
      </c>
      <c r="BT26" s="375">
        <v>2</v>
      </c>
      <c r="BU26" s="375">
        <f t="shared" si="30"/>
        <v>2</v>
      </c>
      <c r="BV26" s="375">
        <v>0</v>
      </c>
      <c r="BW26" s="375">
        <f t="shared" si="31"/>
        <v>0</v>
      </c>
      <c r="BX26" s="375">
        <v>0</v>
      </c>
      <c r="BY26" s="375">
        <f t="shared" si="32"/>
        <v>0</v>
      </c>
      <c r="BZ26" s="375">
        <f t="shared" si="33"/>
        <v>2</v>
      </c>
      <c r="CA26" s="376">
        <f t="shared" si="34"/>
        <v>22</v>
      </c>
      <c r="CB26" s="373">
        <f t="shared" si="87"/>
        <v>1.5520555555555555</v>
      </c>
      <c r="CC26" s="374" t="str">
        <f t="shared" si="35"/>
        <v>(0.14)</v>
      </c>
      <c r="CD26" s="375">
        <v>2</v>
      </c>
      <c r="CE26" s="375">
        <f t="shared" si="36"/>
        <v>2</v>
      </c>
      <c r="CF26" s="375">
        <v>0</v>
      </c>
      <c r="CG26" s="375">
        <f t="shared" si="37"/>
        <v>0</v>
      </c>
      <c r="CH26" s="375">
        <v>0</v>
      </c>
      <c r="CI26" s="375">
        <f t="shared" si="38"/>
        <v>0</v>
      </c>
      <c r="CJ26" s="375">
        <f t="shared" si="39"/>
        <v>2</v>
      </c>
      <c r="CK26" s="376">
        <f t="shared" si="40"/>
        <v>28</v>
      </c>
      <c r="CL26" s="373">
        <f t="shared" si="88"/>
        <v>1.8846388888888888</v>
      </c>
      <c r="CM26" s="374" t="str">
        <f t="shared" si="41"/>
        <v>(0.18)</v>
      </c>
      <c r="CN26" s="375">
        <v>2</v>
      </c>
      <c r="CO26" s="375">
        <f t="shared" si="42"/>
        <v>2</v>
      </c>
      <c r="CP26" s="375">
        <v>0</v>
      </c>
      <c r="CQ26" s="375">
        <f t="shared" si="43"/>
        <v>0</v>
      </c>
      <c r="CR26" s="375">
        <v>0</v>
      </c>
      <c r="CS26" s="375">
        <f t="shared" si="44"/>
        <v>0</v>
      </c>
      <c r="CT26" s="375">
        <f t="shared" si="45"/>
        <v>2</v>
      </c>
      <c r="CU26" s="376">
        <f t="shared" si="46"/>
        <v>34</v>
      </c>
      <c r="CV26" s="373">
        <f t="shared" si="89"/>
        <v>2.217222222222222</v>
      </c>
      <c r="CW26" s="374" t="str">
        <f t="shared" si="47"/>
        <v>(0.21)</v>
      </c>
      <c r="CX26" s="375">
        <v>2</v>
      </c>
      <c r="CY26" s="375">
        <f t="shared" si="48"/>
        <v>2</v>
      </c>
      <c r="CZ26" s="375">
        <v>0</v>
      </c>
      <c r="DA26" s="375">
        <f t="shared" si="49"/>
        <v>0</v>
      </c>
      <c r="DB26" s="375">
        <v>0</v>
      </c>
      <c r="DC26" s="375">
        <f t="shared" si="50"/>
        <v>0</v>
      </c>
      <c r="DD26" s="375">
        <f t="shared" si="51"/>
        <v>2</v>
      </c>
      <c r="DE26" s="376">
        <f t="shared" si="52"/>
        <v>40</v>
      </c>
      <c r="DF26" s="373">
        <f t="shared" si="90"/>
        <v>2.5498055555555554</v>
      </c>
      <c r="DG26" s="374" t="str">
        <f t="shared" si="53"/>
        <v>(0.24)</v>
      </c>
      <c r="DH26" s="375">
        <v>2</v>
      </c>
      <c r="DI26" s="375">
        <f t="shared" si="54"/>
        <v>2</v>
      </c>
      <c r="DJ26" s="375">
        <v>0</v>
      </c>
      <c r="DK26" s="375">
        <f t="shared" si="55"/>
        <v>0</v>
      </c>
      <c r="DL26" s="375">
        <v>0</v>
      </c>
      <c r="DM26" s="375">
        <f t="shared" si="56"/>
        <v>0</v>
      </c>
      <c r="DN26" s="375">
        <f t="shared" si="57"/>
        <v>2</v>
      </c>
      <c r="DO26" s="376">
        <f t="shared" si="58"/>
        <v>46</v>
      </c>
      <c r="DP26" s="373">
        <f t="shared" si="91"/>
        <v>2.8823888888888884</v>
      </c>
      <c r="DQ26" s="374" t="str">
        <f t="shared" si="59"/>
        <v>(0.27)</v>
      </c>
      <c r="DR26" s="375">
        <v>2</v>
      </c>
      <c r="DS26" s="375">
        <f t="shared" si="60"/>
        <v>2</v>
      </c>
      <c r="DT26" s="375">
        <v>0</v>
      </c>
      <c r="DU26" s="375">
        <f t="shared" si="61"/>
        <v>0</v>
      </c>
      <c r="DV26" s="375"/>
      <c r="DW26" s="375">
        <f t="shared" si="62"/>
        <v>0</v>
      </c>
      <c r="DX26" s="375">
        <f t="shared" si="63"/>
        <v>2</v>
      </c>
      <c r="DY26" s="376">
        <f t="shared" si="64"/>
        <v>52</v>
      </c>
      <c r="DZ26" s="373">
        <f t="shared" si="92"/>
        <v>3.2149722222222219</v>
      </c>
      <c r="EA26" s="374" t="str">
        <f t="shared" si="65"/>
        <v>(0.30)</v>
      </c>
      <c r="EB26" s="375">
        <v>2</v>
      </c>
      <c r="EC26" s="375">
        <f t="shared" si="66"/>
        <v>2</v>
      </c>
      <c r="ED26" s="375">
        <v>0</v>
      </c>
      <c r="EE26" s="375">
        <f t="shared" si="67"/>
        <v>0</v>
      </c>
      <c r="EF26" s="375"/>
      <c r="EG26" s="375">
        <f t="shared" si="68"/>
        <v>0</v>
      </c>
      <c r="EH26" s="375">
        <f t="shared" si="69"/>
        <v>2</v>
      </c>
      <c r="EI26" s="376">
        <f t="shared" si="70"/>
        <v>58</v>
      </c>
      <c r="EJ26" s="373">
        <f t="shared" si="93"/>
        <v>3.5475555555555554</v>
      </c>
      <c r="EK26" s="374" t="str">
        <f t="shared" si="71"/>
        <v>(0.33)</v>
      </c>
      <c r="EL26" s="375">
        <v>2</v>
      </c>
      <c r="EM26" s="375">
        <f t="shared" si="72"/>
        <v>2</v>
      </c>
      <c r="EN26" s="375">
        <v>0</v>
      </c>
      <c r="EO26" s="375">
        <f t="shared" si="73"/>
        <v>0</v>
      </c>
      <c r="EP26" s="375"/>
      <c r="EQ26" s="375">
        <f t="shared" si="74"/>
        <v>0</v>
      </c>
      <c r="ER26" s="375">
        <f t="shared" si="75"/>
        <v>2</v>
      </c>
      <c r="ES26" s="376">
        <f t="shared" si="76"/>
        <v>64</v>
      </c>
      <c r="ET26" s="373">
        <f t="shared" si="94"/>
        <v>3.8801388888888888</v>
      </c>
      <c r="EU26" s="374" t="str">
        <f t="shared" si="77"/>
        <v>(0.36)</v>
      </c>
      <c r="EV26" s="22">
        <v>2</v>
      </c>
      <c r="EW26" s="22">
        <f t="shared" si="78"/>
        <v>2</v>
      </c>
      <c r="EX26" s="22"/>
      <c r="EY26" s="22">
        <f t="shared" si="79"/>
        <v>0</v>
      </c>
      <c r="EZ26" s="22">
        <v>0</v>
      </c>
      <c r="FA26" s="22">
        <f t="shared" si="80"/>
        <v>0</v>
      </c>
      <c r="FB26" s="22">
        <f t="shared" si="81"/>
        <v>2</v>
      </c>
      <c r="FC26" s="23">
        <f t="shared" si="82"/>
        <v>70</v>
      </c>
      <c r="FD26" s="202"/>
      <c r="FE26" s="203"/>
      <c r="FF26" s="204"/>
      <c r="FG26" s="204"/>
      <c r="FH26" s="204"/>
      <c r="FI26" s="204"/>
      <c r="FJ26" s="204"/>
      <c r="FK26" s="204"/>
      <c r="FL26" s="204"/>
      <c r="FM26" s="205"/>
      <c r="FN26" s="202"/>
      <c r="FO26" s="203"/>
      <c r="FP26" s="204"/>
      <c r="FQ26" s="204"/>
      <c r="FR26" s="204"/>
      <c r="FS26" s="204"/>
      <c r="FT26" s="204"/>
      <c r="FU26" s="204"/>
      <c r="FV26" s="204"/>
      <c r="FW26" s="205"/>
      <c r="FX26" s="202"/>
      <c r="FY26" s="203"/>
      <c r="FZ26" s="204"/>
      <c r="GA26" s="204"/>
      <c r="GB26" s="204"/>
      <c r="GC26" s="204"/>
      <c r="GD26" s="204"/>
      <c r="GE26" s="204"/>
      <c r="GF26" s="204"/>
      <c r="GG26" s="205"/>
      <c r="GH26" s="202"/>
      <c r="GI26" s="203"/>
      <c r="GJ26" s="204"/>
      <c r="GK26" s="204"/>
      <c r="GL26" s="204"/>
      <c r="GM26" s="204"/>
      <c r="GN26" s="204"/>
      <c r="GO26" s="204"/>
      <c r="GP26" s="204"/>
      <c r="GQ26" s="205"/>
      <c r="GR26" s="202"/>
      <c r="GS26" s="203"/>
      <c r="GT26" s="204"/>
      <c r="GU26" s="204"/>
      <c r="GV26" s="204"/>
      <c r="GW26" s="204"/>
      <c r="GX26" s="204"/>
      <c r="GY26" s="204"/>
      <c r="GZ26" s="204"/>
      <c r="HA26" s="205"/>
      <c r="HB26" s="202"/>
      <c r="HC26" s="203"/>
      <c r="HD26" s="204"/>
      <c r="HE26" s="204"/>
      <c r="HF26" s="204"/>
      <c r="HG26" s="204"/>
      <c r="HH26" s="204"/>
      <c r="HI26" s="204"/>
      <c r="HJ26" s="204"/>
      <c r="HK26" s="205"/>
      <c r="HL26" s="202"/>
      <c r="HM26" s="203"/>
      <c r="HN26" s="204"/>
      <c r="HO26" s="204"/>
      <c r="HP26" s="204"/>
      <c r="HQ26" s="204"/>
      <c r="HR26" s="204"/>
      <c r="HS26" s="204"/>
      <c r="HT26" s="204"/>
      <c r="HU26" s="205"/>
      <c r="HV26" s="202"/>
      <c r="HW26" s="203"/>
      <c r="HX26" s="204"/>
      <c r="HY26" s="204"/>
      <c r="HZ26" s="204"/>
      <c r="IA26" s="204"/>
      <c r="IB26" s="204"/>
      <c r="IC26" s="204"/>
      <c r="ID26" s="204"/>
      <c r="IE26" s="205"/>
      <c r="IF26" s="33"/>
      <c r="IG26" s="25">
        <v>3</v>
      </c>
      <c r="IH26" s="26">
        <v>2.0099999999999998</v>
      </c>
      <c r="II26" s="26">
        <v>2.0099999999999998</v>
      </c>
      <c r="IJ26" s="26">
        <v>1.952</v>
      </c>
      <c r="IK26" s="26">
        <v>1</v>
      </c>
      <c r="IL26" s="26">
        <v>1</v>
      </c>
      <c r="IM26" s="26">
        <v>1.125</v>
      </c>
      <c r="IN26" s="8"/>
    </row>
    <row r="27" spans="2:248" ht="15.75" thickBot="1" x14ac:dyDescent="0.3">
      <c r="B27" s="103">
        <f t="shared" si="15"/>
        <v>60</v>
      </c>
      <c r="C27" s="102">
        <v>10</v>
      </c>
      <c r="D27" s="98">
        <f t="shared" si="1"/>
        <v>0.22252777777777774</v>
      </c>
      <c r="E27" s="96">
        <f t="shared" si="2"/>
        <v>0.23736296296296294</v>
      </c>
      <c r="F27" s="96">
        <f t="shared" si="3"/>
        <v>0.24478055555555556</v>
      </c>
      <c r="G27" s="96">
        <f t="shared" si="4"/>
        <v>0.24923111111111113</v>
      </c>
      <c r="H27" s="96">
        <f t="shared" si="5"/>
        <v>0.25219814814814812</v>
      </c>
      <c r="I27" s="96">
        <f t="shared" si="6"/>
        <v>0.25431746031746028</v>
      </c>
      <c r="J27" s="96">
        <f t="shared" si="7"/>
        <v>0.25590694444444445</v>
      </c>
      <c r="K27" s="96">
        <f t="shared" si="8"/>
        <v>0.25714320987654321</v>
      </c>
      <c r="L27" s="96">
        <f t="shared" si="9"/>
        <v>0.25813222222222221</v>
      </c>
      <c r="M27" s="96">
        <f t="shared" si="10"/>
        <v>0.25894141414141414</v>
      </c>
      <c r="N27" s="96">
        <f t="shared" si="11"/>
        <v>0.25961574074074073</v>
      </c>
      <c r="O27" s="259"/>
      <c r="P27" s="259"/>
      <c r="Q27" s="259"/>
      <c r="R27" s="259"/>
      <c r="S27" s="259"/>
      <c r="T27" s="259"/>
      <c r="U27" s="259"/>
      <c r="V27" s="259"/>
      <c r="W27" s="64"/>
      <c r="X27" s="65"/>
      <c r="Z27" s="83"/>
      <c r="AA27" s="83"/>
      <c r="AT27" s="4"/>
      <c r="AU27" s="14">
        <f t="shared" si="95"/>
        <v>42</v>
      </c>
      <c r="AV27" s="12" t="str">
        <f t="shared" si="16"/>
        <v>(1050)</v>
      </c>
      <c r="AW27" s="19">
        <f t="shared" si="83"/>
        <v>5</v>
      </c>
      <c r="AX27" s="373">
        <f t="shared" si="84"/>
        <v>0.69388888888888878</v>
      </c>
      <c r="AY27" s="374" t="str">
        <f t="shared" si="17"/>
        <v>(0.06)</v>
      </c>
      <c r="AZ27" s="375">
        <v>2</v>
      </c>
      <c r="BA27" s="375">
        <f t="shared" si="18"/>
        <v>2</v>
      </c>
      <c r="BB27" s="375">
        <v>0</v>
      </c>
      <c r="BC27" s="375">
        <f t="shared" si="19"/>
        <v>0</v>
      </c>
      <c r="BD27" s="375">
        <v>0</v>
      </c>
      <c r="BE27" s="375">
        <f t="shared" si="20"/>
        <v>0</v>
      </c>
      <c r="BF27" s="375">
        <f t="shared" si="21"/>
        <v>2</v>
      </c>
      <c r="BG27" s="376">
        <f t="shared" si="22"/>
        <v>10</v>
      </c>
      <c r="BH27" s="373">
        <f t="shared" si="85"/>
        <v>1.1102222222222222</v>
      </c>
      <c r="BI27" s="374" t="str">
        <f t="shared" si="23"/>
        <v>(0.1)</v>
      </c>
      <c r="BJ27" s="375">
        <v>2</v>
      </c>
      <c r="BK27" s="375">
        <f t="shared" si="24"/>
        <v>2</v>
      </c>
      <c r="BL27" s="375">
        <v>0</v>
      </c>
      <c r="BM27" s="375">
        <f t="shared" si="25"/>
        <v>0</v>
      </c>
      <c r="BN27" s="375">
        <v>0</v>
      </c>
      <c r="BO27" s="375">
        <f t="shared" si="26"/>
        <v>0</v>
      </c>
      <c r="BP27" s="375">
        <f t="shared" si="27"/>
        <v>2</v>
      </c>
      <c r="BQ27" s="376">
        <f t="shared" si="28"/>
        <v>16</v>
      </c>
      <c r="BR27" s="373">
        <f t="shared" si="86"/>
        <v>1.5265555555555554</v>
      </c>
      <c r="BS27" s="374" t="str">
        <f t="shared" si="29"/>
        <v>(0.14)</v>
      </c>
      <c r="BT27" s="375">
        <v>2</v>
      </c>
      <c r="BU27" s="375">
        <f t="shared" si="30"/>
        <v>2</v>
      </c>
      <c r="BV27" s="375">
        <v>0</v>
      </c>
      <c r="BW27" s="375">
        <f t="shared" si="31"/>
        <v>0</v>
      </c>
      <c r="BX27" s="375">
        <v>0</v>
      </c>
      <c r="BY27" s="375">
        <f t="shared" si="32"/>
        <v>0</v>
      </c>
      <c r="BZ27" s="375">
        <f t="shared" si="33"/>
        <v>2</v>
      </c>
      <c r="CA27" s="376">
        <f t="shared" si="34"/>
        <v>22</v>
      </c>
      <c r="CB27" s="373">
        <f t="shared" si="87"/>
        <v>1.9428888888888887</v>
      </c>
      <c r="CC27" s="374" t="str">
        <f t="shared" si="35"/>
        <v>(0.18)</v>
      </c>
      <c r="CD27" s="375">
        <v>2</v>
      </c>
      <c r="CE27" s="375">
        <f t="shared" si="36"/>
        <v>2</v>
      </c>
      <c r="CF27" s="375">
        <v>0</v>
      </c>
      <c r="CG27" s="375">
        <f t="shared" si="37"/>
        <v>0</v>
      </c>
      <c r="CH27" s="375">
        <v>0</v>
      </c>
      <c r="CI27" s="375">
        <f t="shared" si="38"/>
        <v>0</v>
      </c>
      <c r="CJ27" s="375">
        <f t="shared" si="39"/>
        <v>2</v>
      </c>
      <c r="CK27" s="376">
        <f t="shared" si="40"/>
        <v>28</v>
      </c>
      <c r="CL27" s="373">
        <f t="shared" si="88"/>
        <v>2.3592222222222219</v>
      </c>
      <c r="CM27" s="374" t="str">
        <f t="shared" si="41"/>
        <v>(0.22)</v>
      </c>
      <c r="CN27" s="375">
        <v>2</v>
      </c>
      <c r="CO27" s="375">
        <f t="shared" si="42"/>
        <v>2</v>
      </c>
      <c r="CP27" s="375">
        <v>0</v>
      </c>
      <c r="CQ27" s="375">
        <f t="shared" si="43"/>
        <v>0</v>
      </c>
      <c r="CR27" s="375">
        <v>0</v>
      </c>
      <c r="CS27" s="375">
        <f t="shared" si="44"/>
        <v>0</v>
      </c>
      <c r="CT27" s="375">
        <f t="shared" si="45"/>
        <v>2</v>
      </c>
      <c r="CU27" s="376">
        <f t="shared" si="46"/>
        <v>34</v>
      </c>
      <c r="CV27" s="373">
        <f t="shared" si="89"/>
        <v>2.7755555555555551</v>
      </c>
      <c r="CW27" s="374" t="str">
        <f t="shared" si="47"/>
        <v>(0.26)</v>
      </c>
      <c r="CX27" s="375">
        <v>2</v>
      </c>
      <c r="CY27" s="375">
        <f t="shared" si="48"/>
        <v>2</v>
      </c>
      <c r="CZ27" s="375">
        <v>0</v>
      </c>
      <c r="DA27" s="375">
        <f t="shared" si="49"/>
        <v>0</v>
      </c>
      <c r="DB27" s="375">
        <v>0</v>
      </c>
      <c r="DC27" s="375">
        <f t="shared" si="50"/>
        <v>0</v>
      </c>
      <c r="DD27" s="375">
        <f t="shared" si="51"/>
        <v>2</v>
      </c>
      <c r="DE27" s="376">
        <f t="shared" si="52"/>
        <v>40</v>
      </c>
      <c r="DF27" s="373">
        <f t="shared" si="90"/>
        <v>3.1918888888888883</v>
      </c>
      <c r="DG27" s="374" t="str">
        <f t="shared" si="53"/>
        <v>(0.3)</v>
      </c>
      <c r="DH27" s="375">
        <v>2</v>
      </c>
      <c r="DI27" s="375">
        <f t="shared" si="54"/>
        <v>2</v>
      </c>
      <c r="DJ27" s="375">
        <v>0</v>
      </c>
      <c r="DK27" s="375">
        <f t="shared" si="55"/>
        <v>0</v>
      </c>
      <c r="DL27" s="375">
        <v>0</v>
      </c>
      <c r="DM27" s="375">
        <f t="shared" si="56"/>
        <v>0</v>
      </c>
      <c r="DN27" s="375">
        <f t="shared" si="57"/>
        <v>2</v>
      </c>
      <c r="DO27" s="376">
        <f t="shared" si="58"/>
        <v>46</v>
      </c>
      <c r="DP27" s="373">
        <f t="shared" si="91"/>
        <v>3.608222222222222</v>
      </c>
      <c r="DQ27" s="374" t="str">
        <f t="shared" si="59"/>
        <v>(0.34)</v>
      </c>
      <c r="DR27" s="375">
        <v>2</v>
      </c>
      <c r="DS27" s="375">
        <f t="shared" si="60"/>
        <v>2</v>
      </c>
      <c r="DT27" s="375">
        <v>0</v>
      </c>
      <c r="DU27" s="375">
        <f t="shared" si="61"/>
        <v>0</v>
      </c>
      <c r="DV27" s="375"/>
      <c r="DW27" s="375">
        <f t="shared" si="62"/>
        <v>0</v>
      </c>
      <c r="DX27" s="375">
        <f t="shared" si="63"/>
        <v>2</v>
      </c>
      <c r="DY27" s="376">
        <f t="shared" si="64"/>
        <v>52</v>
      </c>
      <c r="DZ27" s="373">
        <f t="shared" si="92"/>
        <v>4.0245555555555548</v>
      </c>
      <c r="EA27" s="374" t="str">
        <f t="shared" si="65"/>
        <v>(0.37)</v>
      </c>
      <c r="EB27" s="375">
        <v>2</v>
      </c>
      <c r="EC27" s="375">
        <f t="shared" si="66"/>
        <v>2</v>
      </c>
      <c r="ED27" s="375">
        <v>0</v>
      </c>
      <c r="EE27" s="375">
        <f t="shared" si="67"/>
        <v>0</v>
      </c>
      <c r="EF27" s="375"/>
      <c r="EG27" s="375">
        <f t="shared" si="68"/>
        <v>0</v>
      </c>
      <c r="EH27" s="375">
        <f t="shared" si="69"/>
        <v>2</v>
      </c>
      <c r="EI27" s="376">
        <f t="shared" si="70"/>
        <v>58</v>
      </c>
      <c r="EJ27" s="373">
        <f t="shared" si="93"/>
        <v>4.4408888888888889</v>
      </c>
      <c r="EK27" s="374" t="str">
        <f t="shared" si="71"/>
        <v>(0.41)</v>
      </c>
      <c r="EL27" s="375">
        <v>2</v>
      </c>
      <c r="EM27" s="375">
        <f t="shared" si="72"/>
        <v>2</v>
      </c>
      <c r="EN27" s="375">
        <v>0</v>
      </c>
      <c r="EO27" s="375">
        <f t="shared" si="73"/>
        <v>0</v>
      </c>
      <c r="EP27" s="375"/>
      <c r="EQ27" s="375">
        <f t="shared" si="74"/>
        <v>0</v>
      </c>
      <c r="ER27" s="375">
        <f t="shared" si="75"/>
        <v>2</v>
      </c>
      <c r="ES27" s="376">
        <f t="shared" si="76"/>
        <v>64</v>
      </c>
      <c r="ET27" s="373">
        <f t="shared" si="94"/>
        <v>4.8572222222222221</v>
      </c>
      <c r="EU27" s="374" t="str">
        <f t="shared" si="77"/>
        <v>(0.45)</v>
      </c>
      <c r="EV27" s="22">
        <v>2</v>
      </c>
      <c r="EW27" s="22">
        <f t="shared" si="78"/>
        <v>2</v>
      </c>
      <c r="EX27" s="22"/>
      <c r="EY27" s="22">
        <f t="shared" si="79"/>
        <v>0</v>
      </c>
      <c r="EZ27" s="22">
        <v>0</v>
      </c>
      <c r="FA27" s="22">
        <f t="shared" si="80"/>
        <v>0</v>
      </c>
      <c r="FB27" s="22">
        <f t="shared" si="81"/>
        <v>2</v>
      </c>
      <c r="FC27" s="23">
        <f t="shared" si="82"/>
        <v>70</v>
      </c>
      <c r="FD27" s="202"/>
      <c r="FE27" s="203"/>
      <c r="FF27" s="204"/>
      <c r="FG27" s="204"/>
      <c r="FH27" s="204"/>
      <c r="FI27" s="204"/>
      <c r="FJ27" s="204"/>
      <c r="FK27" s="204"/>
      <c r="FL27" s="204"/>
      <c r="FM27" s="205"/>
      <c r="FN27" s="202"/>
      <c r="FO27" s="203"/>
      <c r="FP27" s="204"/>
      <c r="FQ27" s="204"/>
      <c r="FR27" s="204"/>
      <c r="FS27" s="204"/>
      <c r="FT27" s="204"/>
      <c r="FU27" s="204"/>
      <c r="FV27" s="204"/>
      <c r="FW27" s="205"/>
      <c r="FX27" s="202"/>
      <c r="FY27" s="203"/>
      <c r="FZ27" s="204"/>
      <c r="GA27" s="204"/>
      <c r="GB27" s="204"/>
      <c r="GC27" s="204"/>
      <c r="GD27" s="204"/>
      <c r="GE27" s="204"/>
      <c r="GF27" s="204"/>
      <c r="GG27" s="205"/>
      <c r="GH27" s="202"/>
      <c r="GI27" s="203"/>
      <c r="GJ27" s="204"/>
      <c r="GK27" s="204"/>
      <c r="GL27" s="204"/>
      <c r="GM27" s="204"/>
      <c r="GN27" s="204"/>
      <c r="GO27" s="204"/>
      <c r="GP27" s="204"/>
      <c r="GQ27" s="205"/>
      <c r="GR27" s="202"/>
      <c r="GS27" s="203"/>
      <c r="GT27" s="204"/>
      <c r="GU27" s="204"/>
      <c r="GV27" s="204"/>
      <c r="GW27" s="204"/>
      <c r="GX27" s="204"/>
      <c r="GY27" s="204"/>
      <c r="GZ27" s="204"/>
      <c r="HA27" s="205"/>
      <c r="HB27" s="202"/>
      <c r="HC27" s="203"/>
      <c r="HD27" s="204"/>
      <c r="HE27" s="204"/>
      <c r="HF27" s="204"/>
      <c r="HG27" s="204"/>
      <c r="HH27" s="204"/>
      <c r="HI27" s="204"/>
      <c r="HJ27" s="204"/>
      <c r="HK27" s="205"/>
      <c r="HL27" s="202"/>
      <c r="HM27" s="203"/>
      <c r="HN27" s="204"/>
      <c r="HO27" s="204"/>
      <c r="HP27" s="204"/>
      <c r="HQ27" s="204"/>
      <c r="HR27" s="204"/>
      <c r="HS27" s="204"/>
      <c r="HT27" s="204"/>
      <c r="HU27" s="205"/>
      <c r="HV27" s="202"/>
      <c r="HW27" s="203"/>
      <c r="HX27" s="204"/>
      <c r="HY27" s="204"/>
      <c r="HZ27" s="204"/>
      <c r="IA27" s="204"/>
      <c r="IB27" s="204"/>
      <c r="IC27" s="204"/>
      <c r="ID27" s="204"/>
      <c r="IE27" s="205"/>
      <c r="IF27" s="33"/>
      <c r="IG27" s="25">
        <v>4</v>
      </c>
      <c r="IH27" s="26">
        <v>2.0099999999999998</v>
      </c>
      <c r="II27" s="26">
        <v>2.0099999999999998</v>
      </c>
      <c r="IJ27" s="26">
        <v>1.952</v>
      </c>
      <c r="IK27" s="26">
        <v>1</v>
      </c>
      <c r="IL27" s="26">
        <v>1</v>
      </c>
      <c r="IM27" s="26">
        <v>1.125</v>
      </c>
      <c r="IN27" s="8"/>
    </row>
    <row r="28" spans="2:248" ht="15.75" thickBot="1" x14ac:dyDescent="0.3">
      <c r="B28" s="103">
        <f t="shared" si="15"/>
        <v>66</v>
      </c>
      <c r="C28" s="102">
        <v>11</v>
      </c>
      <c r="D28" s="98">
        <f t="shared" si="1"/>
        <v>0.22767676767676762</v>
      </c>
      <c r="E28" s="96">
        <f t="shared" si="2"/>
        <v>0.24285521885521882</v>
      </c>
      <c r="F28" s="96">
        <f t="shared" si="3"/>
        <v>0.25044444444444441</v>
      </c>
      <c r="G28" s="96">
        <f t="shared" si="4"/>
        <v>0.25499797979797978</v>
      </c>
      <c r="H28" s="96">
        <f t="shared" si="5"/>
        <v>0.25803367003366995</v>
      </c>
      <c r="I28" s="96">
        <f t="shared" si="6"/>
        <v>0.26020202020202016</v>
      </c>
      <c r="J28" s="96">
        <f t="shared" si="7"/>
        <v>0.2618282828282828</v>
      </c>
      <c r="K28" s="96">
        <f t="shared" si="8"/>
        <v>0.26309315375982034</v>
      </c>
      <c r="L28" s="96">
        <f t="shared" si="9"/>
        <v>0.26410505050505045</v>
      </c>
      <c r="M28" s="96">
        <f t="shared" si="10"/>
        <v>0.26493296602387506</v>
      </c>
      <c r="N28" s="96">
        <f t="shared" si="11"/>
        <v>0.26562289562289559</v>
      </c>
      <c r="O28" s="259"/>
      <c r="P28" s="259"/>
      <c r="Q28" s="259"/>
      <c r="R28" s="259"/>
      <c r="S28" s="259"/>
      <c r="T28" s="259"/>
      <c r="U28" s="259"/>
      <c r="V28" s="259"/>
      <c r="W28" s="64"/>
      <c r="X28" s="65"/>
      <c r="Z28" s="83"/>
      <c r="AA28" s="83"/>
      <c r="AT28" s="4"/>
      <c r="AU28" s="14">
        <f t="shared" si="95"/>
        <v>48</v>
      </c>
      <c r="AV28" s="12" t="str">
        <f t="shared" si="16"/>
        <v>(1200)</v>
      </c>
      <c r="AW28" s="19">
        <f t="shared" si="83"/>
        <v>6</v>
      </c>
      <c r="AX28" s="373">
        <f t="shared" si="84"/>
        <v>0.83347222222222206</v>
      </c>
      <c r="AY28" s="374" t="str">
        <f t="shared" si="17"/>
        <v>(0.08)</v>
      </c>
      <c r="AZ28" s="375">
        <v>2</v>
      </c>
      <c r="BA28" s="375">
        <f t="shared" si="18"/>
        <v>2</v>
      </c>
      <c r="BB28" s="375">
        <v>0</v>
      </c>
      <c r="BC28" s="375">
        <f t="shared" si="19"/>
        <v>0</v>
      </c>
      <c r="BD28" s="375">
        <v>0</v>
      </c>
      <c r="BE28" s="375">
        <f t="shared" si="20"/>
        <v>0</v>
      </c>
      <c r="BF28" s="375">
        <f t="shared" si="21"/>
        <v>2</v>
      </c>
      <c r="BG28" s="376">
        <f t="shared" si="22"/>
        <v>10</v>
      </c>
      <c r="BH28" s="373">
        <f t="shared" si="85"/>
        <v>1.3335555555555554</v>
      </c>
      <c r="BI28" s="374" t="str">
        <f t="shared" si="23"/>
        <v>(0.12)</v>
      </c>
      <c r="BJ28" s="375">
        <v>2</v>
      </c>
      <c r="BK28" s="375">
        <f t="shared" si="24"/>
        <v>2</v>
      </c>
      <c r="BL28" s="375">
        <v>0</v>
      </c>
      <c r="BM28" s="375">
        <f t="shared" si="25"/>
        <v>0</v>
      </c>
      <c r="BN28" s="375">
        <v>0</v>
      </c>
      <c r="BO28" s="375">
        <f t="shared" si="26"/>
        <v>0</v>
      </c>
      <c r="BP28" s="375">
        <f t="shared" si="27"/>
        <v>2</v>
      </c>
      <c r="BQ28" s="376">
        <f t="shared" si="28"/>
        <v>16</v>
      </c>
      <c r="BR28" s="373">
        <f t="shared" si="86"/>
        <v>1.8336388888888888</v>
      </c>
      <c r="BS28" s="374" t="str">
        <f t="shared" si="29"/>
        <v>(0.17)</v>
      </c>
      <c r="BT28" s="375">
        <v>2</v>
      </c>
      <c r="BU28" s="375">
        <f t="shared" si="30"/>
        <v>2</v>
      </c>
      <c r="BV28" s="375">
        <v>0</v>
      </c>
      <c r="BW28" s="375">
        <f t="shared" si="31"/>
        <v>0</v>
      </c>
      <c r="BX28" s="375">
        <v>0</v>
      </c>
      <c r="BY28" s="375">
        <f t="shared" si="32"/>
        <v>0</v>
      </c>
      <c r="BZ28" s="375">
        <f t="shared" si="33"/>
        <v>2</v>
      </c>
      <c r="CA28" s="376">
        <f t="shared" si="34"/>
        <v>22</v>
      </c>
      <c r="CB28" s="373">
        <f t="shared" si="87"/>
        <v>2.3337222222222223</v>
      </c>
      <c r="CC28" s="374" t="str">
        <f t="shared" si="35"/>
        <v>(0.22)</v>
      </c>
      <c r="CD28" s="375">
        <v>2</v>
      </c>
      <c r="CE28" s="375">
        <f t="shared" si="36"/>
        <v>2</v>
      </c>
      <c r="CF28" s="375">
        <v>0</v>
      </c>
      <c r="CG28" s="375">
        <f t="shared" si="37"/>
        <v>0</v>
      </c>
      <c r="CH28" s="375">
        <v>0</v>
      </c>
      <c r="CI28" s="375">
        <f t="shared" si="38"/>
        <v>0</v>
      </c>
      <c r="CJ28" s="375">
        <f t="shared" si="39"/>
        <v>2</v>
      </c>
      <c r="CK28" s="376">
        <f t="shared" si="40"/>
        <v>28</v>
      </c>
      <c r="CL28" s="373">
        <f t="shared" si="88"/>
        <v>2.8338055555555552</v>
      </c>
      <c r="CM28" s="374" t="str">
        <f t="shared" si="41"/>
        <v>(0.26)</v>
      </c>
      <c r="CN28" s="375">
        <v>2</v>
      </c>
      <c r="CO28" s="375">
        <f t="shared" si="42"/>
        <v>2</v>
      </c>
      <c r="CP28" s="375">
        <v>0</v>
      </c>
      <c r="CQ28" s="375">
        <f t="shared" si="43"/>
        <v>0</v>
      </c>
      <c r="CR28" s="375">
        <v>0</v>
      </c>
      <c r="CS28" s="375">
        <f t="shared" si="44"/>
        <v>0</v>
      </c>
      <c r="CT28" s="375">
        <f t="shared" si="45"/>
        <v>2</v>
      </c>
      <c r="CU28" s="376">
        <f t="shared" si="46"/>
        <v>34</v>
      </c>
      <c r="CV28" s="373">
        <f t="shared" si="89"/>
        <v>3.3338888888888882</v>
      </c>
      <c r="CW28" s="374" t="str">
        <f t="shared" si="47"/>
        <v>(0.31)</v>
      </c>
      <c r="CX28" s="375">
        <v>2</v>
      </c>
      <c r="CY28" s="375">
        <f t="shared" si="48"/>
        <v>2</v>
      </c>
      <c r="CZ28" s="375">
        <v>0</v>
      </c>
      <c r="DA28" s="375">
        <f t="shared" si="49"/>
        <v>0</v>
      </c>
      <c r="DB28" s="375">
        <v>0</v>
      </c>
      <c r="DC28" s="375">
        <f t="shared" si="50"/>
        <v>0</v>
      </c>
      <c r="DD28" s="375">
        <f t="shared" si="51"/>
        <v>2</v>
      </c>
      <c r="DE28" s="376">
        <f t="shared" si="52"/>
        <v>40</v>
      </c>
      <c r="DF28" s="377">
        <f t="shared" si="90"/>
        <v>3.8339722222222221</v>
      </c>
      <c r="DG28" s="378" t="str">
        <f t="shared" si="53"/>
        <v>(0.36)</v>
      </c>
      <c r="DH28" s="375">
        <v>2</v>
      </c>
      <c r="DI28" s="375">
        <f t="shared" si="54"/>
        <v>2</v>
      </c>
      <c r="DJ28" s="375">
        <v>0</v>
      </c>
      <c r="DK28" s="375">
        <f t="shared" si="55"/>
        <v>0</v>
      </c>
      <c r="DL28" s="375">
        <v>0</v>
      </c>
      <c r="DM28" s="375">
        <f t="shared" si="56"/>
        <v>0</v>
      </c>
      <c r="DN28" s="375">
        <f t="shared" si="57"/>
        <v>2</v>
      </c>
      <c r="DO28" s="376">
        <f t="shared" si="58"/>
        <v>46</v>
      </c>
      <c r="DP28" s="373">
        <f t="shared" si="91"/>
        <v>4.3340555555555547</v>
      </c>
      <c r="DQ28" s="374" t="str">
        <f t="shared" si="59"/>
        <v>(0.40)</v>
      </c>
      <c r="DR28" s="375">
        <v>2</v>
      </c>
      <c r="DS28" s="375">
        <f t="shared" si="60"/>
        <v>2</v>
      </c>
      <c r="DT28" s="375">
        <v>0</v>
      </c>
      <c r="DU28" s="375">
        <f t="shared" si="61"/>
        <v>0</v>
      </c>
      <c r="DV28" s="375"/>
      <c r="DW28" s="375">
        <f t="shared" si="62"/>
        <v>0</v>
      </c>
      <c r="DX28" s="375">
        <f t="shared" si="63"/>
        <v>2</v>
      </c>
      <c r="DY28" s="376">
        <f t="shared" si="64"/>
        <v>52</v>
      </c>
      <c r="DZ28" s="373">
        <f t="shared" si="92"/>
        <v>4.834138888888889</v>
      </c>
      <c r="EA28" s="374" t="str">
        <f t="shared" si="65"/>
        <v>(0.45)</v>
      </c>
      <c r="EB28" s="375">
        <v>2</v>
      </c>
      <c r="EC28" s="375">
        <f t="shared" si="66"/>
        <v>2</v>
      </c>
      <c r="ED28" s="375">
        <v>0</v>
      </c>
      <c r="EE28" s="375">
        <f t="shared" si="67"/>
        <v>0</v>
      </c>
      <c r="EF28" s="375"/>
      <c r="EG28" s="375">
        <f t="shared" si="68"/>
        <v>0</v>
      </c>
      <c r="EH28" s="375">
        <f t="shared" si="69"/>
        <v>2</v>
      </c>
      <c r="EI28" s="376">
        <f t="shared" si="70"/>
        <v>58</v>
      </c>
      <c r="EJ28" s="373">
        <f t="shared" si="93"/>
        <v>5.3342222222222215</v>
      </c>
      <c r="EK28" s="374" t="str">
        <f t="shared" si="71"/>
        <v>(0.50)</v>
      </c>
      <c r="EL28" s="375">
        <v>2</v>
      </c>
      <c r="EM28" s="375">
        <f t="shared" si="72"/>
        <v>2</v>
      </c>
      <c r="EN28" s="375">
        <v>0</v>
      </c>
      <c r="EO28" s="375">
        <f t="shared" si="73"/>
        <v>0</v>
      </c>
      <c r="EP28" s="375"/>
      <c r="EQ28" s="375">
        <f t="shared" si="74"/>
        <v>0</v>
      </c>
      <c r="ER28" s="375">
        <f t="shared" si="75"/>
        <v>2</v>
      </c>
      <c r="ES28" s="376">
        <f t="shared" si="76"/>
        <v>64</v>
      </c>
      <c r="ET28" s="373">
        <f t="shared" si="94"/>
        <v>5.834305555555555</v>
      </c>
      <c r="EU28" s="374" t="str">
        <f t="shared" si="77"/>
        <v>(0.54)</v>
      </c>
      <c r="EV28" s="22">
        <v>2</v>
      </c>
      <c r="EW28" s="22">
        <f t="shared" si="78"/>
        <v>2</v>
      </c>
      <c r="EX28" s="22"/>
      <c r="EY28" s="22">
        <f t="shared" si="79"/>
        <v>0</v>
      </c>
      <c r="EZ28" s="22">
        <v>0</v>
      </c>
      <c r="FA28" s="22">
        <f t="shared" si="80"/>
        <v>0</v>
      </c>
      <c r="FB28" s="22">
        <f t="shared" si="81"/>
        <v>2</v>
      </c>
      <c r="FC28" s="23">
        <f t="shared" si="82"/>
        <v>70</v>
      </c>
      <c r="FD28" s="202"/>
      <c r="FE28" s="203"/>
      <c r="FF28" s="204"/>
      <c r="FG28" s="204"/>
      <c r="FH28" s="204"/>
      <c r="FI28" s="204"/>
      <c r="FJ28" s="204"/>
      <c r="FK28" s="204"/>
      <c r="FL28" s="204"/>
      <c r="FM28" s="205"/>
      <c r="FN28" s="202"/>
      <c r="FO28" s="203"/>
      <c r="FP28" s="204"/>
      <c r="FQ28" s="204"/>
      <c r="FR28" s="204"/>
      <c r="FS28" s="204"/>
      <c r="FT28" s="204"/>
      <c r="FU28" s="204"/>
      <c r="FV28" s="204"/>
      <c r="FW28" s="205"/>
      <c r="FX28" s="202"/>
      <c r="FY28" s="203"/>
      <c r="FZ28" s="204"/>
      <c r="GA28" s="204"/>
      <c r="GB28" s="204"/>
      <c r="GC28" s="204"/>
      <c r="GD28" s="204"/>
      <c r="GE28" s="204"/>
      <c r="GF28" s="204"/>
      <c r="GG28" s="205"/>
      <c r="GH28" s="202"/>
      <c r="GI28" s="203"/>
      <c r="GJ28" s="204"/>
      <c r="GK28" s="204"/>
      <c r="GL28" s="204"/>
      <c r="GM28" s="204"/>
      <c r="GN28" s="204"/>
      <c r="GO28" s="204"/>
      <c r="GP28" s="204"/>
      <c r="GQ28" s="205"/>
      <c r="GR28" s="202"/>
      <c r="GS28" s="203"/>
      <c r="GT28" s="204"/>
      <c r="GU28" s="204"/>
      <c r="GV28" s="204"/>
      <c r="GW28" s="204"/>
      <c r="GX28" s="204"/>
      <c r="GY28" s="204"/>
      <c r="GZ28" s="204"/>
      <c r="HA28" s="205"/>
      <c r="HB28" s="202"/>
      <c r="HC28" s="203"/>
      <c r="HD28" s="204"/>
      <c r="HE28" s="204"/>
      <c r="HF28" s="204"/>
      <c r="HG28" s="204"/>
      <c r="HH28" s="204"/>
      <c r="HI28" s="204"/>
      <c r="HJ28" s="204"/>
      <c r="HK28" s="205"/>
      <c r="HL28" s="202"/>
      <c r="HM28" s="203"/>
      <c r="HN28" s="204"/>
      <c r="HO28" s="204"/>
      <c r="HP28" s="204"/>
      <c r="HQ28" s="204"/>
      <c r="HR28" s="204"/>
      <c r="HS28" s="204"/>
      <c r="HT28" s="204"/>
      <c r="HU28" s="205"/>
      <c r="HV28" s="202"/>
      <c r="HW28" s="203"/>
      <c r="HX28" s="204"/>
      <c r="HY28" s="204"/>
      <c r="HZ28" s="204"/>
      <c r="IA28" s="204"/>
      <c r="IB28" s="204"/>
      <c r="IC28" s="204"/>
      <c r="ID28" s="204"/>
      <c r="IE28" s="205"/>
      <c r="IF28" s="33"/>
      <c r="IG28" s="25">
        <v>5</v>
      </c>
      <c r="IH28" s="26">
        <v>2.0099999999999998</v>
      </c>
      <c r="II28" s="26">
        <v>2.0099999999999998</v>
      </c>
      <c r="IJ28" s="26">
        <v>1.952</v>
      </c>
      <c r="IK28" s="26">
        <v>1</v>
      </c>
      <c r="IL28" s="26">
        <v>1</v>
      </c>
      <c r="IM28" s="26">
        <v>1.125</v>
      </c>
      <c r="IN28" s="8"/>
    </row>
    <row r="29" spans="2:248" ht="15.75" thickBot="1" x14ac:dyDescent="0.3">
      <c r="B29" s="103">
        <f t="shared" si="15"/>
        <v>72</v>
      </c>
      <c r="C29" s="102">
        <v>12</v>
      </c>
      <c r="D29" s="98">
        <f t="shared" si="1"/>
        <v>0.23196759259259256</v>
      </c>
      <c r="E29" s="96">
        <f t="shared" si="2"/>
        <v>0.24743209876543204</v>
      </c>
      <c r="F29" s="96">
        <f t="shared" si="3"/>
        <v>0.25516435185185177</v>
      </c>
      <c r="G29" s="96">
        <f t="shared" si="4"/>
        <v>0.25980370370370365</v>
      </c>
      <c r="H29" s="96">
        <f t="shared" si="5"/>
        <v>0.26289660493827149</v>
      </c>
      <c r="I29" s="96">
        <f t="shared" si="6"/>
        <v>0.26510582010582007</v>
      </c>
      <c r="J29" s="96">
        <f t="shared" si="7"/>
        <v>0.26676273148148139</v>
      </c>
      <c r="K29" s="96">
        <f t="shared" si="8"/>
        <v>0.26805144032921802</v>
      </c>
      <c r="L29" s="96">
        <f t="shared" si="9"/>
        <v>0.26908240740740735</v>
      </c>
      <c r="M29" s="96">
        <f t="shared" si="10"/>
        <v>0.2699259259259259</v>
      </c>
      <c r="N29" s="96">
        <f t="shared" si="11"/>
        <v>0.27062885802469128</v>
      </c>
      <c r="O29" s="259"/>
      <c r="P29" s="259"/>
      <c r="Q29" s="259"/>
      <c r="R29" s="259"/>
      <c r="S29" s="259"/>
      <c r="T29" s="259"/>
      <c r="U29" s="259"/>
      <c r="V29" s="259"/>
      <c r="W29" s="64"/>
      <c r="X29" s="65"/>
      <c r="Z29" s="83"/>
      <c r="AA29" s="83"/>
      <c r="AT29" s="4"/>
      <c r="AU29" s="14">
        <f t="shared" si="95"/>
        <v>54</v>
      </c>
      <c r="AV29" s="12" t="str">
        <f t="shared" si="16"/>
        <v>(1350)</v>
      </c>
      <c r="AW29" s="19">
        <f t="shared" si="83"/>
        <v>7</v>
      </c>
      <c r="AX29" s="373">
        <f t="shared" si="84"/>
        <v>0.97305555555555534</v>
      </c>
      <c r="AY29" s="374" t="str">
        <f t="shared" si="17"/>
        <v>(0.09)</v>
      </c>
      <c r="AZ29" s="375">
        <v>2</v>
      </c>
      <c r="BA29" s="375">
        <f t="shared" si="18"/>
        <v>2</v>
      </c>
      <c r="BB29" s="375">
        <v>0</v>
      </c>
      <c r="BC29" s="375">
        <f t="shared" si="19"/>
        <v>0</v>
      </c>
      <c r="BD29" s="375">
        <v>0</v>
      </c>
      <c r="BE29" s="375">
        <f t="shared" si="20"/>
        <v>0</v>
      </c>
      <c r="BF29" s="375">
        <f t="shared" si="21"/>
        <v>2</v>
      </c>
      <c r="BG29" s="376">
        <f t="shared" si="22"/>
        <v>10</v>
      </c>
      <c r="BH29" s="373">
        <f t="shared" si="85"/>
        <v>1.5568888888888888</v>
      </c>
      <c r="BI29" s="374" t="str">
        <f t="shared" si="23"/>
        <v>(0.14)</v>
      </c>
      <c r="BJ29" s="375">
        <v>2</v>
      </c>
      <c r="BK29" s="375">
        <f t="shared" si="24"/>
        <v>2</v>
      </c>
      <c r="BL29" s="375">
        <v>0</v>
      </c>
      <c r="BM29" s="375">
        <f t="shared" si="25"/>
        <v>0</v>
      </c>
      <c r="BN29" s="375">
        <v>0</v>
      </c>
      <c r="BO29" s="375">
        <f t="shared" si="26"/>
        <v>0</v>
      </c>
      <c r="BP29" s="375">
        <f t="shared" si="27"/>
        <v>2</v>
      </c>
      <c r="BQ29" s="376">
        <f t="shared" si="28"/>
        <v>16</v>
      </c>
      <c r="BR29" s="373">
        <f t="shared" si="86"/>
        <v>2.1407222222222217</v>
      </c>
      <c r="BS29" s="374" t="str">
        <f t="shared" si="29"/>
        <v>(0.2)</v>
      </c>
      <c r="BT29" s="375">
        <v>2</v>
      </c>
      <c r="BU29" s="375">
        <f t="shared" si="30"/>
        <v>2</v>
      </c>
      <c r="BV29" s="375">
        <v>0</v>
      </c>
      <c r="BW29" s="375">
        <f t="shared" si="31"/>
        <v>0</v>
      </c>
      <c r="BX29" s="375">
        <v>0</v>
      </c>
      <c r="BY29" s="375">
        <f t="shared" si="32"/>
        <v>0</v>
      </c>
      <c r="BZ29" s="375">
        <f t="shared" si="33"/>
        <v>2</v>
      </c>
      <c r="CA29" s="376">
        <f t="shared" si="34"/>
        <v>22</v>
      </c>
      <c r="CB29" s="373">
        <f t="shared" si="87"/>
        <v>2.7245555555555554</v>
      </c>
      <c r="CC29" s="374" t="str">
        <f t="shared" si="35"/>
        <v>(0.25)</v>
      </c>
      <c r="CD29" s="375">
        <v>2</v>
      </c>
      <c r="CE29" s="375">
        <f t="shared" si="36"/>
        <v>2</v>
      </c>
      <c r="CF29" s="375">
        <v>0</v>
      </c>
      <c r="CG29" s="375">
        <f t="shared" si="37"/>
        <v>0</v>
      </c>
      <c r="CH29" s="375">
        <v>0</v>
      </c>
      <c r="CI29" s="375">
        <f t="shared" si="38"/>
        <v>0</v>
      </c>
      <c r="CJ29" s="375">
        <f t="shared" si="39"/>
        <v>2</v>
      </c>
      <c r="CK29" s="376">
        <f t="shared" si="40"/>
        <v>28</v>
      </c>
      <c r="CL29" s="373">
        <f t="shared" si="88"/>
        <v>3.3083888888888886</v>
      </c>
      <c r="CM29" s="374" t="str">
        <f t="shared" si="41"/>
        <v>(0.31)</v>
      </c>
      <c r="CN29" s="375">
        <v>2</v>
      </c>
      <c r="CO29" s="375">
        <f t="shared" si="42"/>
        <v>2</v>
      </c>
      <c r="CP29" s="375">
        <v>0</v>
      </c>
      <c r="CQ29" s="375">
        <f t="shared" si="43"/>
        <v>0</v>
      </c>
      <c r="CR29" s="375">
        <v>0</v>
      </c>
      <c r="CS29" s="375">
        <f t="shared" si="44"/>
        <v>0</v>
      </c>
      <c r="CT29" s="375">
        <f t="shared" si="45"/>
        <v>2</v>
      </c>
      <c r="CU29" s="376">
        <f t="shared" si="46"/>
        <v>34</v>
      </c>
      <c r="CV29" s="373">
        <f t="shared" si="89"/>
        <v>3.8922222222222214</v>
      </c>
      <c r="CW29" s="374" t="str">
        <f t="shared" si="47"/>
        <v>(0.36)</v>
      </c>
      <c r="CX29" s="375">
        <v>2</v>
      </c>
      <c r="CY29" s="375">
        <f t="shared" si="48"/>
        <v>2</v>
      </c>
      <c r="CZ29" s="375">
        <v>0</v>
      </c>
      <c r="DA29" s="375">
        <f t="shared" si="49"/>
        <v>0</v>
      </c>
      <c r="DB29" s="375">
        <v>0</v>
      </c>
      <c r="DC29" s="375">
        <f t="shared" si="50"/>
        <v>0</v>
      </c>
      <c r="DD29" s="375">
        <f t="shared" si="51"/>
        <v>2</v>
      </c>
      <c r="DE29" s="376">
        <f t="shared" si="52"/>
        <v>40</v>
      </c>
      <c r="DF29" s="373">
        <f t="shared" si="90"/>
        <v>4.476055555555555</v>
      </c>
      <c r="DG29" s="374" t="str">
        <f t="shared" si="53"/>
        <v>(0.42)</v>
      </c>
      <c r="DH29" s="375">
        <v>2</v>
      </c>
      <c r="DI29" s="375">
        <f t="shared" si="54"/>
        <v>2</v>
      </c>
      <c r="DJ29" s="375">
        <v>0</v>
      </c>
      <c r="DK29" s="375">
        <f t="shared" si="55"/>
        <v>0</v>
      </c>
      <c r="DL29" s="375">
        <v>0</v>
      </c>
      <c r="DM29" s="375">
        <f t="shared" si="56"/>
        <v>0</v>
      </c>
      <c r="DN29" s="375">
        <f t="shared" si="57"/>
        <v>2</v>
      </c>
      <c r="DO29" s="376">
        <f t="shared" si="58"/>
        <v>46</v>
      </c>
      <c r="DP29" s="373">
        <f t="shared" si="91"/>
        <v>5.0598888888888887</v>
      </c>
      <c r="DQ29" s="374" t="str">
        <f t="shared" si="59"/>
        <v>(0.47)</v>
      </c>
      <c r="DR29" s="375">
        <v>2</v>
      </c>
      <c r="DS29" s="375">
        <f t="shared" si="60"/>
        <v>2</v>
      </c>
      <c r="DT29" s="375">
        <v>0</v>
      </c>
      <c r="DU29" s="375">
        <f t="shared" si="61"/>
        <v>0</v>
      </c>
      <c r="DV29" s="375"/>
      <c r="DW29" s="375">
        <f t="shared" si="62"/>
        <v>0</v>
      </c>
      <c r="DX29" s="375">
        <f t="shared" si="63"/>
        <v>2</v>
      </c>
      <c r="DY29" s="376">
        <f t="shared" si="64"/>
        <v>52</v>
      </c>
      <c r="DZ29" s="373">
        <f t="shared" si="92"/>
        <v>5.6437222222222214</v>
      </c>
      <c r="EA29" s="374" t="str">
        <f t="shared" si="65"/>
        <v>(0.52)</v>
      </c>
      <c r="EB29" s="375">
        <v>2</v>
      </c>
      <c r="EC29" s="375">
        <f t="shared" si="66"/>
        <v>2</v>
      </c>
      <c r="ED29" s="375">
        <v>0</v>
      </c>
      <c r="EE29" s="375">
        <f t="shared" si="67"/>
        <v>0</v>
      </c>
      <c r="EF29" s="375"/>
      <c r="EG29" s="375">
        <f t="shared" si="68"/>
        <v>0</v>
      </c>
      <c r="EH29" s="375">
        <f t="shared" si="69"/>
        <v>2</v>
      </c>
      <c r="EI29" s="376">
        <f t="shared" si="70"/>
        <v>58</v>
      </c>
      <c r="EJ29" s="373">
        <f t="shared" si="93"/>
        <v>6.2275555555555551</v>
      </c>
      <c r="EK29" s="374" t="str">
        <f t="shared" si="71"/>
        <v>(0.58)</v>
      </c>
      <c r="EL29" s="375">
        <v>2</v>
      </c>
      <c r="EM29" s="375">
        <f t="shared" si="72"/>
        <v>2</v>
      </c>
      <c r="EN29" s="375">
        <v>0</v>
      </c>
      <c r="EO29" s="375">
        <f t="shared" si="73"/>
        <v>0</v>
      </c>
      <c r="EP29" s="375"/>
      <c r="EQ29" s="375">
        <f t="shared" si="74"/>
        <v>0</v>
      </c>
      <c r="ER29" s="375">
        <f t="shared" si="75"/>
        <v>2</v>
      </c>
      <c r="ES29" s="376">
        <f t="shared" si="76"/>
        <v>64</v>
      </c>
      <c r="ET29" s="373">
        <f t="shared" si="94"/>
        <v>6.8113888888888887</v>
      </c>
      <c r="EU29" s="374" t="str">
        <f t="shared" si="77"/>
        <v>(0.63)</v>
      </c>
      <c r="EV29" s="22">
        <v>2</v>
      </c>
      <c r="EW29" s="22">
        <f t="shared" si="78"/>
        <v>2</v>
      </c>
      <c r="EX29" s="22"/>
      <c r="EY29" s="22">
        <f t="shared" si="79"/>
        <v>0</v>
      </c>
      <c r="EZ29" s="22">
        <v>0</v>
      </c>
      <c r="FA29" s="22">
        <f t="shared" si="80"/>
        <v>0</v>
      </c>
      <c r="FB29" s="22">
        <f t="shared" si="81"/>
        <v>2</v>
      </c>
      <c r="FC29" s="23">
        <f t="shared" si="82"/>
        <v>70</v>
      </c>
      <c r="FD29" s="202"/>
      <c r="FE29" s="203"/>
      <c r="FF29" s="204"/>
      <c r="FG29" s="204"/>
      <c r="FH29" s="204"/>
      <c r="FI29" s="204"/>
      <c r="FJ29" s="204"/>
      <c r="FK29" s="204"/>
      <c r="FL29" s="204"/>
      <c r="FM29" s="205"/>
      <c r="FN29" s="202"/>
      <c r="FO29" s="203"/>
      <c r="FP29" s="204"/>
      <c r="FQ29" s="204"/>
      <c r="FR29" s="204"/>
      <c r="FS29" s="204"/>
      <c r="FT29" s="204"/>
      <c r="FU29" s="204"/>
      <c r="FV29" s="204"/>
      <c r="FW29" s="205"/>
      <c r="FX29" s="202"/>
      <c r="FY29" s="203"/>
      <c r="FZ29" s="204"/>
      <c r="GA29" s="204"/>
      <c r="GB29" s="204"/>
      <c r="GC29" s="204"/>
      <c r="GD29" s="204"/>
      <c r="GE29" s="204"/>
      <c r="GF29" s="204"/>
      <c r="GG29" s="205"/>
      <c r="GH29" s="202"/>
      <c r="GI29" s="203"/>
      <c r="GJ29" s="204"/>
      <c r="GK29" s="204"/>
      <c r="GL29" s="204"/>
      <c r="GM29" s="204"/>
      <c r="GN29" s="204"/>
      <c r="GO29" s="204"/>
      <c r="GP29" s="204"/>
      <c r="GQ29" s="205"/>
      <c r="GR29" s="202"/>
      <c r="GS29" s="203"/>
      <c r="GT29" s="204"/>
      <c r="GU29" s="204"/>
      <c r="GV29" s="204"/>
      <c r="GW29" s="204"/>
      <c r="GX29" s="204"/>
      <c r="GY29" s="204"/>
      <c r="GZ29" s="204"/>
      <c r="HA29" s="205"/>
      <c r="HB29" s="202"/>
      <c r="HC29" s="203"/>
      <c r="HD29" s="204"/>
      <c r="HE29" s="204"/>
      <c r="HF29" s="204"/>
      <c r="HG29" s="204"/>
      <c r="HH29" s="204"/>
      <c r="HI29" s="204"/>
      <c r="HJ29" s="204"/>
      <c r="HK29" s="205"/>
      <c r="HL29" s="202"/>
      <c r="HM29" s="203"/>
      <c r="HN29" s="204"/>
      <c r="HO29" s="204"/>
      <c r="HP29" s="204"/>
      <c r="HQ29" s="204"/>
      <c r="HR29" s="204"/>
      <c r="HS29" s="204"/>
      <c r="HT29" s="204"/>
      <c r="HU29" s="205"/>
      <c r="HV29" s="202"/>
      <c r="HW29" s="203"/>
      <c r="HX29" s="204"/>
      <c r="HY29" s="204"/>
      <c r="HZ29" s="204"/>
      <c r="IA29" s="204"/>
      <c r="IB29" s="204"/>
      <c r="IC29" s="204"/>
      <c r="ID29" s="204"/>
      <c r="IE29" s="205"/>
      <c r="IF29" s="33"/>
      <c r="IG29" s="25">
        <v>6</v>
      </c>
      <c r="IH29" s="26">
        <v>2.0099999999999998</v>
      </c>
      <c r="II29" s="26">
        <v>2.0099999999999998</v>
      </c>
      <c r="IJ29" s="26">
        <v>1.952</v>
      </c>
      <c r="IK29" s="26">
        <v>1</v>
      </c>
      <c r="IL29" s="26">
        <v>1</v>
      </c>
      <c r="IM29" s="26">
        <v>1.125</v>
      </c>
      <c r="IN29" s="8"/>
    </row>
    <row r="30" spans="2:248" ht="15.75" thickBot="1" x14ac:dyDescent="0.3">
      <c r="B30" s="103">
        <f t="shared" si="15"/>
        <v>78</v>
      </c>
      <c r="C30" s="102">
        <v>13</v>
      </c>
      <c r="D30" s="98">
        <f t="shared" si="1"/>
        <v>0.23559829059829054</v>
      </c>
      <c r="E30" s="96">
        <f t="shared" si="2"/>
        <v>0.25130484330484321</v>
      </c>
      <c r="F30" s="96">
        <f t="shared" si="3"/>
        <v>0.25915811965811958</v>
      </c>
      <c r="G30" s="96">
        <f t="shared" si="4"/>
        <v>0.26387008547008539</v>
      </c>
      <c r="H30" s="96">
        <f t="shared" si="5"/>
        <v>0.26701139601139595</v>
      </c>
      <c r="I30" s="96">
        <f t="shared" si="6"/>
        <v>0.26925518925518915</v>
      </c>
      <c r="J30" s="96">
        <f t="shared" si="7"/>
        <v>0.27093803418803408</v>
      </c>
      <c r="K30" s="96">
        <f t="shared" si="8"/>
        <v>0.27224691358024683</v>
      </c>
      <c r="L30" s="96">
        <f t="shared" si="9"/>
        <v>0.27329401709401702</v>
      </c>
      <c r="M30" s="96">
        <f t="shared" si="10"/>
        <v>0.27415073815073804</v>
      </c>
      <c r="N30" s="96">
        <f t="shared" si="11"/>
        <v>0.27486467236467227</v>
      </c>
      <c r="O30" s="259"/>
      <c r="P30" s="259"/>
      <c r="Q30" s="259"/>
      <c r="R30" s="259"/>
      <c r="S30" s="259"/>
      <c r="T30" s="259"/>
      <c r="U30" s="259"/>
      <c r="V30" s="260"/>
      <c r="W30" s="64"/>
      <c r="X30" s="65"/>
      <c r="Z30" s="83"/>
      <c r="AA30" s="83"/>
      <c r="AT30" s="4"/>
      <c r="AU30" s="27">
        <f t="shared" si="95"/>
        <v>60</v>
      </c>
      <c r="AV30" s="28" t="str">
        <f t="shared" si="16"/>
        <v>(1500)</v>
      </c>
      <c r="AW30" s="19">
        <f t="shared" si="83"/>
        <v>8</v>
      </c>
      <c r="AX30" s="373">
        <f t="shared" si="84"/>
        <v>1.1126388888888887</v>
      </c>
      <c r="AY30" s="374" t="str">
        <f>"("&amp;FIXED(AX30*0.092903,2)&amp;")"</f>
        <v>(0.10)</v>
      </c>
      <c r="AZ30" s="375">
        <v>2</v>
      </c>
      <c r="BA30" s="375">
        <f t="shared" si="18"/>
        <v>2</v>
      </c>
      <c r="BB30" s="375">
        <v>0</v>
      </c>
      <c r="BC30" s="375">
        <f t="shared" si="19"/>
        <v>0</v>
      </c>
      <c r="BD30" s="375">
        <v>0</v>
      </c>
      <c r="BE30" s="375">
        <f t="shared" si="20"/>
        <v>0</v>
      </c>
      <c r="BF30" s="375">
        <f t="shared" si="21"/>
        <v>2</v>
      </c>
      <c r="BG30" s="376">
        <f t="shared" si="22"/>
        <v>10</v>
      </c>
      <c r="BH30" s="373">
        <f t="shared" si="85"/>
        <v>1.7802222222222222</v>
      </c>
      <c r="BI30" s="374" t="str">
        <f t="shared" si="23"/>
        <v>(0.17)</v>
      </c>
      <c r="BJ30" s="375">
        <v>2</v>
      </c>
      <c r="BK30" s="375">
        <f t="shared" si="24"/>
        <v>2</v>
      </c>
      <c r="BL30" s="375">
        <v>0</v>
      </c>
      <c r="BM30" s="375">
        <f t="shared" si="25"/>
        <v>0</v>
      </c>
      <c r="BN30" s="375">
        <v>0</v>
      </c>
      <c r="BO30" s="375">
        <f t="shared" si="26"/>
        <v>0</v>
      </c>
      <c r="BP30" s="375">
        <f t="shared" si="27"/>
        <v>2</v>
      </c>
      <c r="BQ30" s="376">
        <f t="shared" si="28"/>
        <v>16</v>
      </c>
      <c r="BR30" s="373">
        <f t="shared" si="86"/>
        <v>2.4478055555555556</v>
      </c>
      <c r="BS30" s="374" t="str">
        <f t="shared" si="29"/>
        <v>(0.23)</v>
      </c>
      <c r="BT30" s="375">
        <v>2</v>
      </c>
      <c r="BU30" s="375">
        <f t="shared" si="30"/>
        <v>2</v>
      </c>
      <c r="BV30" s="375">
        <v>0</v>
      </c>
      <c r="BW30" s="375">
        <f t="shared" si="31"/>
        <v>0</v>
      </c>
      <c r="BX30" s="375">
        <v>0</v>
      </c>
      <c r="BY30" s="375">
        <f t="shared" si="32"/>
        <v>0</v>
      </c>
      <c r="BZ30" s="375">
        <f t="shared" si="33"/>
        <v>2</v>
      </c>
      <c r="CA30" s="376">
        <f t="shared" si="34"/>
        <v>22</v>
      </c>
      <c r="CB30" s="373">
        <f t="shared" si="87"/>
        <v>3.115388888888889</v>
      </c>
      <c r="CC30" s="374" t="str">
        <f t="shared" si="35"/>
        <v>(0.29)</v>
      </c>
      <c r="CD30" s="375">
        <v>2</v>
      </c>
      <c r="CE30" s="375">
        <f t="shared" si="36"/>
        <v>2</v>
      </c>
      <c r="CF30" s="375">
        <v>0</v>
      </c>
      <c r="CG30" s="375">
        <f t="shared" si="37"/>
        <v>0</v>
      </c>
      <c r="CH30" s="375">
        <v>0</v>
      </c>
      <c r="CI30" s="375">
        <f t="shared" si="38"/>
        <v>0</v>
      </c>
      <c r="CJ30" s="375">
        <f t="shared" si="39"/>
        <v>2</v>
      </c>
      <c r="CK30" s="376">
        <f t="shared" si="40"/>
        <v>28</v>
      </c>
      <c r="CL30" s="373">
        <f t="shared" si="88"/>
        <v>3.782972222222222</v>
      </c>
      <c r="CM30" s="374" t="str">
        <f t="shared" si="41"/>
        <v>(0.35)</v>
      </c>
      <c r="CN30" s="375">
        <v>2</v>
      </c>
      <c r="CO30" s="375">
        <f t="shared" si="42"/>
        <v>2</v>
      </c>
      <c r="CP30" s="375">
        <v>0</v>
      </c>
      <c r="CQ30" s="375">
        <f t="shared" si="43"/>
        <v>0</v>
      </c>
      <c r="CR30" s="375">
        <v>0</v>
      </c>
      <c r="CS30" s="375">
        <f t="shared" si="44"/>
        <v>0</v>
      </c>
      <c r="CT30" s="375">
        <f t="shared" si="45"/>
        <v>2</v>
      </c>
      <c r="CU30" s="376">
        <f t="shared" si="46"/>
        <v>34</v>
      </c>
      <c r="CV30" s="373">
        <f t="shared" si="89"/>
        <v>4.4505555555555549</v>
      </c>
      <c r="CW30" s="374" t="str">
        <f t="shared" si="47"/>
        <v>(0.41)</v>
      </c>
      <c r="CX30" s="375">
        <v>2</v>
      </c>
      <c r="CY30" s="375">
        <f t="shared" si="48"/>
        <v>2</v>
      </c>
      <c r="CZ30" s="375">
        <v>0</v>
      </c>
      <c r="DA30" s="375">
        <f t="shared" si="49"/>
        <v>0</v>
      </c>
      <c r="DB30" s="375">
        <v>0</v>
      </c>
      <c r="DC30" s="375">
        <f t="shared" si="50"/>
        <v>0</v>
      </c>
      <c r="DD30" s="375">
        <f t="shared" si="51"/>
        <v>2</v>
      </c>
      <c r="DE30" s="376">
        <f t="shared" si="52"/>
        <v>40</v>
      </c>
      <c r="DF30" s="373">
        <f t="shared" si="90"/>
        <v>5.1181388888888888</v>
      </c>
      <c r="DG30" s="374" t="str">
        <f t="shared" si="53"/>
        <v>(0.48)</v>
      </c>
      <c r="DH30" s="375">
        <v>2</v>
      </c>
      <c r="DI30" s="375">
        <f t="shared" si="54"/>
        <v>2</v>
      </c>
      <c r="DJ30" s="375">
        <v>0</v>
      </c>
      <c r="DK30" s="375">
        <f t="shared" si="55"/>
        <v>0</v>
      </c>
      <c r="DL30" s="375">
        <v>0</v>
      </c>
      <c r="DM30" s="375">
        <f t="shared" si="56"/>
        <v>0</v>
      </c>
      <c r="DN30" s="375">
        <f t="shared" si="57"/>
        <v>2</v>
      </c>
      <c r="DO30" s="376">
        <f t="shared" si="58"/>
        <v>46</v>
      </c>
      <c r="DP30" s="373">
        <f t="shared" si="91"/>
        <v>5.7857222222222218</v>
      </c>
      <c r="DQ30" s="374" t="str">
        <f>"("&amp;FIXED(DP30*0.092903,2)&amp;")"</f>
        <v>(0.54)</v>
      </c>
      <c r="DR30" s="375">
        <v>2</v>
      </c>
      <c r="DS30" s="375">
        <f t="shared" si="60"/>
        <v>2</v>
      </c>
      <c r="DT30" s="375">
        <v>0</v>
      </c>
      <c r="DU30" s="375">
        <f t="shared" si="61"/>
        <v>0</v>
      </c>
      <c r="DV30" s="375"/>
      <c r="DW30" s="375">
        <f t="shared" si="62"/>
        <v>0</v>
      </c>
      <c r="DX30" s="375">
        <f t="shared" si="63"/>
        <v>2</v>
      </c>
      <c r="DY30" s="376">
        <f t="shared" si="64"/>
        <v>52</v>
      </c>
      <c r="DZ30" s="373">
        <f t="shared" si="92"/>
        <v>6.4533055555555556</v>
      </c>
      <c r="EA30" s="374" t="str">
        <f>"("&amp;FIXED(DZ30*0.092903,2)&amp;")"</f>
        <v>(0.60)</v>
      </c>
      <c r="EB30" s="375">
        <v>2</v>
      </c>
      <c r="EC30" s="375">
        <f t="shared" si="66"/>
        <v>2</v>
      </c>
      <c r="ED30" s="375">
        <v>0</v>
      </c>
      <c r="EE30" s="375">
        <f t="shared" si="67"/>
        <v>0</v>
      </c>
      <c r="EF30" s="375"/>
      <c r="EG30" s="375">
        <f t="shared" si="68"/>
        <v>0</v>
      </c>
      <c r="EH30" s="375">
        <f t="shared" si="69"/>
        <v>2</v>
      </c>
      <c r="EI30" s="376">
        <f t="shared" si="70"/>
        <v>58</v>
      </c>
      <c r="EJ30" s="373">
        <f t="shared" si="93"/>
        <v>7.1208888888888886</v>
      </c>
      <c r="EK30" s="374" t="str">
        <f>"("&amp;FIXED(EJ30*0.092903,2)&amp;")"</f>
        <v>(0.66)</v>
      </c>
      <c r="EL30" s="375">
        <v>2</v>
      </c>
      <c r="EM30" s="375">
        <f t="shared" si="72"/>
        <v>2</v>
      </c>
      <c r="EN30" s="375">
        <v>0</v>
      </c>
      <c r="EO30" s="375">
        <f t="shared" si="73"/>
        <v>0</v>
      </c>
      <c r="EP30" s="375"/>
      <c r="EQ30" s="375">
        <f t="shared" si="74"/>
        <v>0</v>
      </c>
      <c r="ER30" s="375">
        <f t="shared" si="75"/>
        <v>2</v>
      </c>
      <c r="ES30" s="376">
        <f t="shared" si="76"/>
        <v>64</v>
      </c>
      <c r="ET30" s="373">
        <f t="shared" si="94"/>
        <v>7.7884722222222216</v>
      </c>
      <c r="EU30" s="374" t="str">
        <f>"("&amp;FIXED(ET30*0.092903,2)&amp;")"</f>
        <v>(0.72)</v>
      </c>
      <c r="EV30" s="22">
        <v>2</v>
      </c>
      <c r="EW30" s="22">
        <f t="shared" si="78"/>
        <v>2</v>
      </c>
      <c r="EX30" s="30"/>
      <c r="EY30" s="22">
        <f t="shared" si="79"/>
        <v>0</v>
      </c>
      <c r="EZ30" s="30">
        <v>0</v>
      </c>
      <c r="FA30" s="22">
        <f t="shared" si="80"/>
        <v>0</v>
      </c>
      <c r="FB30" s="22">
        <f t="shared" si="81"/>
        <v>2</v>
      </c>
      <c r="FC30" s="23">
        <f t="shared" si="82"/>
        <v>70</v>
      </c>
      <c r="FD30" s="202"/>
      <c r="FE30" s="203"/>
      <c r="FF30" s="204"/>
      <c r="FG30" s="204"/>
      <c r="FH30" s="204"/>
      <c r="FI30" s="204"/>
      <c r="FJ30" s="204"/>
      <c r="FK30" s="204"/>
      <c r="FL30" s="204"/>
      <c r="FM30" s="205"/>
      <c r="FN30" s="202"/>
      <c r="FO30" s="203"/>
      <c r="FP30" s="204"/>
      <c r="FQ30" s="204"/>
      <c r="FR30" s="204"/>
      <c r="FS30" s="204"/>
      <c r="FT30" s="204"/>
      <c r="FU30" s="204"/>
      <c r="FV30" s="204"/>
      <c r="FW30" s="205"/>
      <c r="FX30" s="202"/>
      <c r="FY30" s="203"/>
      <c r="FZ30" s="204"/>
      <c r="GA30" s="204"/>
      <c r="GB30" s="204"/>
      <c r="GC30" s="204"/>
      <c r="GD30" s="204"/>
      <c r="GE30" s="204"/>
      <c r="GF30" s="204"/>
      <c r="GG30" s="205"/>
      <c r="GH30" s="202"/>
      <c r="GI30" s="203"/>
      <c r="GJ30" s="204"/>
      <c r="GK30" s="204"/>
      <c r="GL30" s="204"/>
      <c r="GM30" s="204"/>
      <c r="GN30" s="204"/>
      <c r="GO30" s="204"/>
      <c r="GP30" s="204"/>
      <c r="GQ30" s="205"/>
      <c r="GR30" s="202"/>
      <c r="GS30" s="203"/>
      <c r="GT30" s="204"/>
      <c r="GU30" s="204"/>
      <c r="GV30" s="204"/>
      <c r="GW30" s="204"/>
      <c r="GX30" s="204"/>
      <c r="GY30" s="204"/>
      <c r="GZ30" s="204"/>
      <c r="HA30" s="205"/>
      <c r="HB30" s="202"/>
      <c r="HC30" s="203"/>
      <c r="HD30" s="204"/>
      <c r="HE30" s="204"/>
      <c r="HF30" s="204"/>
      <c r="HG30" s="204"/>
      <c r="HH30" s="204"/>
      <c r="HI30" s="204"/>
      <c r="HJ30" s="204"/>
      <c r="HK30" s="205"/>
      <c r="HL30" s="202"/>
      <c r="HM30" s="203"/>
      <c r="HN30" s="204"/>
      <c r="HO30" s="204"/>
      <c r="HP30" s="204"/>
      <c r="HQ30" s="204"/>
      <c r="HR30" s="204"/>
      <c r="HS30" s="204"/>
      <c r="HT30" s="204"/>
      <c r="HU30" s="205"/>
      <c r="HV30" s="202"/>
      <c r="HW30" s="203"/>
      <c r="HX30" s="204"/>
      <c r="HY30" s="204"/>
      <c r="HZ30" s="204"/>
      <c r="IA30" s="204"/>
      <c r="IB30" s="204"/>
      <c r="IC30" s="204"/>
      <c r="ID30" s="204"/>
      <c r="IE30" s="205"/>
      <c r="IF30" s="33"/>
      <c r="IG30" s="25">
        <v>7</v>
      </c>
      <c r="IH30" s="26">
        <v>2.0099999999999998</v>
      </c>
      <c r="II30" s="26">
        <v>2.0099999999999998</v>
      </c>
      <c r="IJ30" s="26">
        <v>1.952</v>
      </c>
      <c r="IK30" s="26">
        <v>1</v>
      </c>
      <c r="IL30" s="26">
        <v>1</v>
      </c>
      <c r="IM30" s="26">
        <v>1.125</v>
      </c>
      <c r="IN30" s="8"/>
    </row>
    <row r="31" spans="2:248" ht="15.75" thickBot="1" x14ac:dyDescent="0.3">
      <c r="B31" s="103">
        <f t="shared" si="15"/>
        <v>84</v>
      </c>
      <c r="C31" s="102">
        <v>14</v>
      </c>
      <c r="D31" s="98">
        <f t="shared" si="1"/>
        <v>0.23871031746031743</v>
      </c>
      <c r="E31" s="96">
        <f t="shared" si="2"/>
        <v>0.25462433862433859</v>
      </c>
      <c r="F31" s="96">
        <f t="shared" si="3"/>
        <v>0.26258134920634918</v>
      </c>
      <c r="G31" s="96">
        <f t="shared" si="4"/>
        <v>0.26735555555555551</v>
      </c>
      <c r="H31" s="96">
        <f t="shared" si="5"/>
        <v>0.27053835978835977</v>
      </c>
      <c r="I31" s="96">
        <f t="shared" si="6"/>
        <v>0.27281179138321993</v>
      </c>
      <c r="J31" s="96">
        <f t="shared" si="7"/>
        <v>0.27451686507936507</v>
      </c>
      <c r="K31" s="96">
        <f t="shared" si="8"/>
        <v>0.27584303350970019</v>
      </c>
      <c r="L31" s="96">
        <f t="shared" si="9"/>
        <v>0.27690396825396818</v>
      </c>
      <c r="M31" s="96">
        <f t="shared" si="10"/>
        <v>0.27777200577200573</v>
      </c>
      <c r="N31" s="96">
        <f t="shared" si="11"/>
        <v>0.27849537037037037</v>
      </c>
      <c r="O31" s="259"/>
      <c r="P31" s="260"/>
      <c r="Q31" s="260"/>
      <c r="R31" s="260"/>
      <c r="S31" s="260"/>
      <c r="T31" s="260"/>
      <c r="U31" s="260"/>
      <c r="V31" s="260"/>
      <c r="W31" s="64"/>
      <c r="X31" s="65"/>
      <c r="AT31" s="4"/>
      <c r="AU31" s="14">
        <f t="shared" si="95"/>
        <v>66</v>
      </c>
      <c r="AV31" s="12" t="str">
        <f t="shared" si="16"/>
        <v>(1700)</v>
      </c>
      <c r="AW31" s="19">
        <f t="shared" si="83"/>
        <v>9</v>
      </c>
      <c r="AX31" s="373">
        <f t="shared" si="84"/>
        <v>1.2522222222222219</v>
      </c>
      <c r="AY31" s="374" t="str">
        <f t="shared" si="17"/>
        <v>(0.12)</v>
      </c>
      <c r="AZ31" s="375">
        <v>2</v>
      </c>
      <c r="BA31" s="375">
        <f t="shared" si="18"/>
        <v>2</v>
      </c>
      <c r="BB31" s="375">
        <v>0</v>
      </c>
      <c r="BC31" s="375">
        <f t="shared" si="19"/>
        <v>0</v>
      </c>
      <c r="BD31" s="375">
        <v>0</v>
      </c>
      <c r="BE31" s="375">
        <f t="shared" si="20"/>
        <v>0</v>
      </c>
      <c r="BF31" s="375">
        <f t="shared" si="21"/>
        <v>2</v>
      </c>
      <c r="BG31" s="376">
        <f t="shared" si="22"/>
        <v>10</v>
      </c>
      <c r="BH31" s="373">
        <f t="shared" si="85"/>
        <v>2.0035555555555553</v>
      </c>
      <c r="BI31" s="374" t="str">
        <f t="shared" si="23"/>
        <v>(0.19)</v>
      </c>
      <c r="BJ31" s="375">
        <v>2</v>
      </c>
      <c r="BK31" s="375">
        <f t="shared" si="24"/>
        <v>2</v>
      </c>
      <c r="BL31" s="375">
        <v>0</v>
      </c>
      <c r="BM31" s="375">
        <f t="shared" si="25"/>
        <v>0</v>
      </c>
      <c r="BN31" s="375">
        <v>0</v>
      </c>
      <c r="BO31" s="375">
        <f t="shared" si="26"/>
        <v>0</v>
      </c>
      <c r="BP31" s="375">
        <f t="shared" si="27"/>
        <v>2</v>
      </c>
      <c r="BQ31" s="376">
        <f t="shared" si="28"/>
        <v>16</v>
      </c>
      <c r="BR31" s="373">
        <f t="shared" si="86"/>
        <v>2.7548888888888885</v>
      </c>
      <c r="BS31" s="374" t="str">
        <f t="shared" si="29"/>
        <v>(0.26)</v>
      </c>
      <c r="BT31" s="375">
        <v>2</v>
      </c>
      <c r="BU31" s="375">
        <f t="shared" si="30"/>
        <v>2</v>
      </c>
      <c r="BV31" s="375">
        <v>0</v>
      </c>
      <c r="BW31" s="375">
        <f t="shared" si="31"/>
        <v>0</v>
      </c>
      <c r="BX31" s="375">
        <v>0</v>
      </c>
      <c r="BY31" s="375">
        <f t="shared" si="32"/>
        <v>0</v>
      </c>
      <c r="BZ31" s="375">
        <f t="shared" si="33"/>
        <v>2</v>
      </c>
      <c r="CA31" s="376">
        <f t="shared" si="34"/>
        <v>22</v>
      </c>
      <c r="CB31" s="373">
        <f t="shared" si="87"/>
        <v>3.5062222222222217</v>
      </c>
      <c r="CC31" s="374" t="str">
        <f t="shared" si="35"/>
        <v>(0.33)</v>
      </c>
      <c r="CD31" s="375">
        <v>2</v>
      </c>
      <c r="CE31" s="375">
        <f t="shared" si="36"/>
        <v>2</v>
      </c>
      <c r="CF31" s="375">
        <v>0</v>
      </c>
      <c r="CG31" s="375">
        <f t="shared" si="37"/>
        <v>0</v>
      </c>
      <c r="CH31" s="375">
        <v>0</v>
      </c>
      <c r="CI31" s="375">
        <f t="shared" si="38"/>
        <v>0</v>
      </c>
      <c r="CJ31" s="375">
        <f t="shared" si="39"/>
        <v>2</v>
      </c>
      <c r="CK31" s="376">
        <f t="shared" si="40"/>
        <v>28</v>
      </c>
      <c r="CL31" s="373">
        <f t="shared" si="88"/>
        <v>4.2575555555555544</v>
      </c>
      <c r="CM31" s="374" t="str">
        <f t="shared" si="41"/>
        <v>(0.4)</v>
      </c>
      <c r="CN31" s="375">
        <v>2</v>
      </c>
      <c r="CO31" s="375">
        <f t="shared" si="42"/>
        <v>2</v>
      </c>
      <c r="CP31" s="375">
        <v>0</v>
      </c>
      <c r="CQ31" s="375">
        <f t="shared" si="43"/>
        <v>0</v>
      </c>
      <c r="CR31" s="375">
        <v>0</v>
      </c>
      <c r="CS31" s="375">
        <f t="shared" si="44"/>
        <v>0</v>
      </c>
      <c r="CT31" s="375">
        <f t="shared" si="45"/>
        <v>2</v>
      </c>
      <c r="CU31" s="376">
        <f t="shared" si="46"/>
        <v>34</v>
      </c>
      <c r="CV31" s="373">
        <f t="shared" si="89"/>
        <v>5.0088888888888876</v>
      </c>
      <c r="CW31" s="374" t="str">
        <f t="shared" si="47"/>
        <v>(0.47)</v>
      </c>
      <c r="CX31" s="375">
        <v>2</v>
      </c>
      <c r="CY31" s="375">
        <f t="shared" si="48"/>
        <v>2</v>
      </c>
      <c r="CZ31" s="375">
        <v>0</v>
      </c>
      <c r="DA31" s="375">
        <f t="shared" si="49"/>
        <v>0</v>
      </c>
      <c r="DB31" s="375">
        <v>0</v>
      </c>
      <c r="DC31" s="375">
        <f t="shared" si="50"/>
        <v>0</v>
      </c>
      <c r="DD31" s="375">
        <f t="shared" si="51"/>
        <v>2</v>
      </c>
      <c r="DE31" s="376">
        <f t="shared" si="52"/>
        <v>40</v>
      </c>
      <c r="DF31" s="373">
        <f t="shared" si="90"/>
        <v>5.7602222222222217</v>
      </c>
      <c r="DG31" s="374" t="str">
        <f t="shared" si="53"/>
        <v>(0.54)</v>
      </c>
      <c r="DH31" s="375">
        <v>2</v>
      </c>
      <c r="DI31" s="375">
        <f t="shared" si="54"/>
        <v>2</v>
      </c>
      <c r="DJ31" s="375">
        <v>0</v>
      </c>
      <c r="DK31" s="375">
        <f t="shared" si="55"/>
        <v>0</v>
      </c>
      <c r="DL31" s="375">
        <v>0</v>
      </c>
      <c r="DM31" s="375">
        <f t="shared" si="56"/>
        <v>0</v>
      </c>
      <c r="DN31" s="375">
        <f t="shared" si="57"/>
        <v>2</v>
      </c>
      <c r="DO31" s="376">
        <f t="shared" si="58"/>
        <v>46</v>
      </c>
      <c r="DP31" s="373">
        <f t="shared" si="91"/>
        <v>6.511555555555554</v>
      </c>
      <c r="DQ31" s="374" t="str">
        <f t="shared" si="59"/>
        <v>(0.60)</v>
      </c>
      <c r="DR31" s="375">
        <v>2</v>
      </c>
      <c r="DS31" s="375">
        <f t="shared" si="60"/>
        <v>2</v>
      </c>
      <c r="DT31" s="375">
        <v>0</v>
      </c>
      <c r="DU31" s="375">
        <f t="shared" si="61"/>
        <v>0</v>
      </c>
      <c r="DV31" s="375"/>
      <c r="DW31" s="375">
        <f t="shared" si="62"/>
        <v>0</v>
      </c>
      <c r="DX31" s="375">
        <f t="shared" si="63"/>
        <v>2</v>
      </c>
      <c r="DY31" s="376">
        <f t="shared" si="64"/>
        <v>52</v>
      </c>
      <c r="DZ31" s="373">
        <f t="shared" si="92"/>
        <v>7.2628888888888872</v>
      </c>
      <c r="EA31" s="374" t="str">
        <f t="shared" ref="EA31:EA36" si="96">"("&amp;FIXED(DZ31*0.092903,2)&amp;")"</f>
        <v>(0.67)</v>
      </c>
      <c r="EB31" s="375">
        <v>2</v>
      </c>
      <c r="EC31" s="375">
        <f t="shared" si="66"/>
        <v>2</v>
      </c>
      <c r="ED31" s="375">
        <v>0</v>
      </c>
      <c r="EE31" s="375">
        <f t="shared" si="67"/>
        <v>0</v>
      </c>
      <c r="EF31" s="375"/>
      <c r="EG31" s="375">
        <f t="shared" si="68"/>
        <v>0</v>
      </c>
      <c r="EH31" s="375">
        <f t="shared" si="69"/>
        <v>2</v>
      </c>
      <c r="EI31" s="376">
        <f t="shared" si="70"/>
        <v>58</v>
      </c>
      <c r="EJ31" s="373">
        <f t="shared" si="93"/>
        <v>8.0142222222222212</v>
      </c>
      <c r="EK31" s="374" t="str">
        <f t="shared" ref="EK31:EK36" si="97">"("&amp;FIXED(EJ31*0.092903,2)&amp;")"</f>
        <v>(0.74)</v>
      </c>
      <c r="EL31" s="375">
        <v>2</v>
      </c>
      <c r="EM31" s="375">
        <f t="shared" si="72"/>
        <v>2</v>
      </c>
      <c r="EN31" s="375">
        <v>0</v>
      </c>
      <c r="EO31" s="375">
        <f t="shared" si="73"/>
        <v>0</v>
      </c>
      <c r="EP31" s="375"/>
      <c r="EQ31" s="375">
        <f t="shared" si="74"/>
        <v>0</v>
      </c>
      <c r="ER31" s="375">
        <f t="shared" si="75"/>
        <v>2</v>
      </c>
      <c r="ES31" s="376">
        <f t="shared" si="76"/>
        <v>64</v>
      </c>
      <c r="ET31" s="373">
        <f t="shared" si="94"/>
        <v>8.7655555555555544</v>
      </c>
      <c r="EU31" s="374" t="str">
        <f t="shared" si="77"/>
        <v>(0.81)</v>
      </c>
      <c r="EV31" s="22">
        <v>2</v>
      </c>
      <c r="EW31" s="22">
        <f t="shared" si="78"/>
        <v>2</v>
      </c>
      <c r="EX31" s="22"/>
      <c r="EY31" s="22">
        <f t="shared" si="79"/>
        <v>0</v>
      </c>
      <c r="EZ31" s="22">
        <v>0</v>
      </c>
      <c r="FA31" s="22">
        <f t="shared" si="80"/>
        <v>0</v>
      </c>
      <c r="FB31" s="22">
        <f t="shared" si="81"/>
        <v>2</v>
      </c>
      <c r="FC31" s="23">
        <f t="shared" si="82"/>
        <v>70</v>
      </c>
      <c r="FD31" s="202"/>
      <c r="FE31" s="203"/>
      <c r="FF31" s="204"/>
      <c r="FG31" s="204"/>
      <c r="FH31" s="204"/>
      <c r="FI31" s="204"/>
      <c r="FJ31" s="204"/>
      <c r="FK31" s="204"/>
      <c r="FL31" s="204"/>
      <c r="FM31" s="205"/>
      <c r="FN31" s="202"/>
      <c r="FO31" s="203"/>
      <c r="FP31" s="204"/>
      <c r="FQ31" s="204"/>
      <c r="FR31" s="204"/>
      <c r="FS31" s="204"/>
      <c r="FT31" s="204"/>
      <c r="FU31" s="204"/>
      <c r="FV31" s="204"/>
      <c r="FW31" s="205"/>
      <c r="FX31" s="202"/>
      <c r="FY31" s="203"/>
      <c r="FZ31" s="204"/>
      <c r="GA31" s="204"/>
      <c r="GB31" s="204"/>
      <c r="GC31" s="204"/>
      <c r="GD31" s="204"/>
      <c r="GE31" s="204"/>
      <c r="GF31" s="204"/>
      <c r="GG31" s="205"/>
      <c r="GH31" s="202"/>
      <c r="GI31" s="203"/>
      <c r="GJ31" s="204"/>
      <c r="GK31" s="204"/>
      <c r="GL31" s="204"/>
      <c r="GM31" s="204"/>
      <c r="GN31" s="204"/>
      <c r="GO31" s="204"/>
      <c r="GP31" s="204"/>
      <c r="GQ31" s="205"/>
      <c r="GR31" s="202"/>
      <c r="GS31" s="203"/>
      <c r="GT31" s="204"/>
      <c r="GU31" s="204"/>
      <c r="GV31" s="204"/>
      <c r="GW31" s="204"/>
      <c r="GX31" s="204"/>
      <c r="GY31" s="204"/>
      <c r="GZ31" s="204"/>
      <c r="HA31" s="205"/>
      <c r="HB31" s="202"/>
      <c r="HC31" s="203"/>
      <c r="HD31" s="204"/>
      <c r="HE31" s="204"/>
      <c r="HF31" s="204"/>
      <c r="HG31" s="204"/>
      <c r="HH31" s="204"/>
      <c r="HI31" s="204"/>
      <c r="HJ31" s="204"/>
      <c r="HK31" s="205"/>
      <c r="HL31" s="202"/>
      <c r="HM31" s="203"/>
      <c r="HN31" s="204"/>
      <c r="HO31" s="204"/>
      <c r="HP31" s="204"/>
      <c r="HQ31" s="204"/>
      <c r="HR31" s="204"/>
      <c r="HS31" s="204"/>
      <c r="HT31" s="204"/>
      <c r="HU31" s="205"/>
      <c r="HV31" s="202"/>
      <c r="HW31" s="203"/>
      <c r="HX31" s="204"/>
      <c r="HY31" s="204"/>
      <c r="HZ31" s="204"/>
      <c r="IA31" s="204"/>
      <c r="IB31" s="204"/>
      <c r="IC31" s="204"/>
      <c r="ID31" s="204"/>
      <c r="IE31" s="205"/>
      <c r="IF31" s="33"/>
      <c r="IG31" s="25">
        <v>8</v>
      </c>
      <c r="IH31" s="26">
        <v>2.0099999999999998</v>
      </c>
      <c r="II31" s="26">
        <v>2.0099999999999998</v>
      </c>
      <c r="IJ31" s="26">
        <v>1.952</v>
      </c>
      <c r="IK31" s="26">
        <v>1</v>
      </c>
      <c r="IL31" s="26">
        <v>1</v>
      </c>
      <c r="IM31" s="26">
        <v>1.125</v>
      </c>
      <c r="IN31" s="8"/>
    </row>
    <row r="32" spans="2:248" ht="15.75" thickBot="1" x14ac:dyDescent="0.3">
      <c r="B32" s="103">
        <f t="shared" si="15"/>
        <v>90</v>
      </c>
      <c r="C32" s="102">
        <v>15</v>
      </c>
      <c r="D32" s="98">
        <f t="shared" si="1"/>
        <v>0.24140740740740738</v>
      </c>
      <c r="E32" s="96">
        <f t="shared" si="2"/>
        <v>0.25750123456790119</v>
      </c>
      <c r="F32" s="96">
        <f t="shared" si="3"/>
        <v>0.26554814814814814</v>
      </c>
      <c r="G32" s="96">
        <f t="shared" si="4"/>
        <v>0.27037629629629623</v>
      </c>
      <c r="H32" s="96">
        <f t="shared" si="5"/>
        <v>0.27359506172839504</v>
      </c>
      <c r="I32" s="96">
        <f t="shared" si="6"/>
        <v>0.27589417989417986</v>
      </c>
      <c r="J32" s="96">
        <f t="shared" si="7"/>
        <v>0.27761851851851849</v>
      </c>
      <c r="K32" s="96">
        <f t="shared" si="8"/>
        <v>0.27895967078189293</v>
      </c>
      <c r="L32" s="96">
        <f t="shared" si="9"/>
        <v>0.2800325925925925</v>
      </c>
      <c r="M32" s="96">
        <f t="shared" si="10"/>
        <v>0.28091043771043767</v>
      </c>
      <c r="N32" s="96">
        <f t="shared" si="11"/>
        <v>0.28164197530864193</v>
      </c>
      <c r="O32" s="259"/>
      <c r="P32" s="260"/>
      <c r="Q32" s="260"/>
      <c r="R32" s="260"/>
      <c r="S32" s="260"/>
      <c r="T32" s="260"/>
      <c r="U32" s="260"/>
      <c r="V32" s="260"/>
      <c r="W32" s="64"/>
      <c r="X32" s="65"/>
      <c r="AT32" s="4"/>
      <c r="AU32" s="14">
        <f t="shared" si="95"/>
        <v>72</v>
      </c>
      <c r="AV32" s="12" t="str">
        <f t="shared" si="16"/>
        <v>(1850)</v>
      </c>
      <c r="AW32" s="19">
        <f t="shared" si="83"/>
        <v>10</v>
      </c>
      <c r="AX32" s="373">
        <f t="shared" si="84"/>
        <v>1.3918055555555553</v>
      </c>
      <c r="AY32" s="374" t="str">
        <f t="shared" si="17"/>
        <v>(0.13)</v>
      </c>
      <c r="AZ32" s="375">
        <v>2</v>
      </c>
      <c r="BA32" s="375">
        <f t="shared" si="18"/>
        <v>2</v>
      </c>
      <c r="BB32" s="375">
        <v>0</v>
      </c>
      <c r="BC32" s="375">
        <f t="shared" si="19"/>
        <v>0</v>
      </c>
      <c r="BD32" s="375">
        <v>0</v>
      </c>
      <c r="BE32" s="375">
        <f t="shared" si="20"/>
        <v>0</v>
      </c>
      <c r="BF32" s="375">
        <f t="shared" si="21"/>
        <v>2</v>
      </c>
      <c r="BG32" s="376">
        <f t="shared" si="22"/>
        <v>10</v>
      </c>
      <c r="BH32" s="373">
        <f t="shared" si="85"/>
        <v>2.2268888888888885</v>
      </c>
      <c r="BI32" s="374" t="str">
        <f t="shared" si="23"/>
        <v>(0.21)</v>
      </c>
      <c r="BJ32" s="375">
        <v>2</v>
      </c>
      <c r="BK32" s="375">
        <f t="shared" si="24"/>
        <v>2</v>
      </c>
      <c r="BL32" s="375">
        <v>0</v>
      </c>
      <c r="BM32" s="375">
        <f t="shared" si="25"/>
        <v>0</v>
      </c>
      <c r="BN32" s="375">
        <v>0</v>
      </c>
      <c r="BO32" s="375">
        <f t="shared" si="26"/>
        <v>0</v>
      </c>
      <c r="BP32" s="375">
        <f t="shared" si="27"/>
        <v>2</v>
      </c>
      <c r="BQ32" s="376">
        <f t="shared" si="28"/>
        <v>16</v>
      </c>
      <c r="BR32" s="373">
        <f t="shared" si="86"/>
        <v>3.0619722222222214</v>
      </c>
      <c r="BS32" s="374" t="str">
        <f t="shared" si="29"/>
        <v>(0.28)</v>
      </c>
      <c r="BT32" s="375">
        <v>2</v>
      </c>
      <c r="BU32" s="375">
        <f t="shared" si="30"/>
        <v>2</v>
      </c>
      <c r="BV32" s="375">
        <v>0</v>
      </c>
      <c r="BW32" s="375">
        <f t="shared" si="31"/>
        <v>0</v>
      </c>
      <c r="BX32" s="375">
        <v>0</v>
      </c>
      <c r="BY32" s="375">
        <f t="shared" si="32"/>
        <v>0</v>
      </c>
      <c r="BZ32" s="375">
        <f t="shared" si="33"/>
        <v>2</v>
      </c>
      <c r="CA32" s="376">
        <f t="shared" si="34"/>
        <v>22</v>
      </c>
      <c r="CB32" s="373">
        <f t="shared" si="87"/>
        <v>3.8970555555555544</v>
      </c>
      <c r="CC32" s="374" t="str">
        <f t="shared" si="35"/>
        <v>(0.36)</v>
      </c>
      <c r="CD32" s="375">
        <v>2</v>
      </c>
      <c r="CE32" s="375">
        <f t="shared" si="36"/>
        <v>2</v>
      </c>
      <c r="CF32" s="375">
        <v>0</v>
      </c>
      <c r="CG32" s="375">
        <f t="shared" si="37"/>
        <v>0</v>
      </c>
      <c r="CH32" s="375">
        <v>0</v>
      </c>
      <c r="CI32" s="375">
        <f t="shared" si="38"/>
        <v>0</v>
      </c>
      <c r="CJ32" s="375">
        <f t="shared" si="39"/>
        <v>2</v>
      </c>
      <c r="CK32" s="376">
        <f t="shared" si="40"/>
        <v>28</v>
      </c>
      <c r="CL32" s="373">
        <f t="shared" si="88"/>
        <v>4.7321388888888869</v>
      </c>
      <c r="CM32" s="374" t="str">
        <f t="shared" si="41"/>
        <v>(0.44)</v>
      </c>
      <c r="CN32" s="375">
        <v>2</v>
      </c>
      <c r="CO32" s="375">
        <f t="shared" si="42"/>
        <v>2</v>
      </c>
      <c r="CP32" s="375">
        <v>0</v>
      </c>
      <c r="CQ32" s="375">
        <f t="shared" si="43"/>
        <v>0</v>
      </c>
      <c r="CR32" s="375">
        <v>0</v>
      </c>
      <c r="CS32" s="375">
        <f t="shared" si="44"/>
        <v>0</v>
      </c>
      <c r="CT32" s="375">
        <f t="shared" si="45"/>
        <v>2</v>
      </c>
      <c r="CU32" s="376">
        <f t="shared" si="46"/>
        <v>34</v>
      </c>
      <c r="CV32" s="373">
        <f t="shared" si="89"/>
        <v>5.5672222222222212</v>
      </c>
      <c r="CW32" s="374" t="str">
        <f t="shared" si="47"/>
        <v>(0.52)</v>
      </c>
      <c r="CX32" s="375">
        <v>2</v>
      </c>
      <c r="CY32" s="375">
        <f t="shared" si="48"/>
        <v>2</v>
      </c>
      <c r="CZ32" s="375">
        <v>0</v>
      </c>
      <c r="DA32" s="375">
        <f t="shared" si="49"/>
        <v>0</v>
      </c>
      <c r="DB32" s="375">
        <v>0</v>
      </c>
      <c r="DC32" s="375">
        <f t="shared" si="50"/>
        <v>0</v>
      </c>
      <c r="DD32" s="375">
        <f t="shared" si="51"/>
        <v>2</v>
      </c>
      <c r="DE32" s="376">
        <f t="shared" si="52"/>
        <v>40</v>
      </c>
      <c r="DF32" s="373">
        <f t="shared" si="90"/>
        <v>6.4023055555555537</v>
      </c>
      <c r="DG32" s="374" t="str">
        <f t="shared" si="53"/>
        <v>(0.59)</v>
      </c>
      <c r="DH32" s="375">
        <v>2</v>
      </c>
      <c r="DI32" s="375">
        <f t="shared" si="54"/>
        <v>2</v>
      </c>
      <c r="DJ32" s="375">
        <v>0</v>
      </c>
      <c r="DK32" s="375">
        <f t="shared" si="55"/>
        <v>0</v>
      </c>
      <c r="DL32" s="375">
        <v>0</v>
      </c>
      <c r="DM32" s="375">
        <f t="shared" si="56"/>
        <v>0</v>
      </c>
      <c r="DN32" s="375">
        <f t="shared" si="57"/>
        <v>2</v>
      </c>
      <c r="DO32" s="376">
        <f t="shared" si="58"/>
        <v>46</v>
      </c>
      <c r="DP32" s="373">
        <f t="shared" si="91"/>
        <v>7.2373888888888871</v>
      </c>
      <c r="DQ32" s="374" t="str">
        <f t="shared" si="59"/>
        <v>(0.67)</v>
      </c>
      <c r="DR32" s="375">
        <v>2</v>
      </c>
      <c r="DS32" s="375">
        <f t="shared" si="60"/>
        <v>2</v>
      </c>
      <c r="DT32" s="375">
        <v>0</v>
      </c>
      <c r="DU32" s="375">
        <f t="shared" si="61"/>
        <v>0</v>
      </c>
      <c r="DV32" s="375"/>
      <c r="DW32" s="375">
        <f t="shared" si="62"/>
        <v>0</v>
      </c>
      <c r="DX32" s="375">
        <f t="shared" si="63"/>
        <v>2</v>
      </c>
      <c r="DY32" s="376">
        <f t="shared" si="64"/>
        <v>52</v>
      </c>
      <c r="DZ32" s="373">
        <f t="shared" si="92"/>
        <v>8.0724722222222205</v>
      </c>
      <c r="EA32" s="374" t="str">
        <f t="shared" si="96"/>
        <v>(0.75)</v>
      </c>
      <c r="EB32" s="375">
        <v>2</v>
      </c>
      <c r="EC32" s="375">
        <f t="shared" si="66"/>
        <v>2</v>
      </c>
      <c r="ED32" s="375">
        <v>0</v>
      </c>
      <c r="EE32" s="375">
        <f t="shared" si="67"/>
        <v>0</v>
      </c>
      <c r="EF32" s="375"/>
      <c r="EG32" s="375">
        <f t="shared" si="68"/>
        <v>0</v>
      </c>
      <c r="EH32" s="375">
        <f t="shared" si="69"/>
        <v>2</v>
      </c>
      <c r="EI32" s="376">
        <f t="shared" si="70"/>
        <v>58</v>
      </c>
      <c r="EJ32" s="373">
        <f t="shared" si="93"/>
        <v>8.9075555555555539</v>
      </c>
      <c r="EK32" s="374" t="str">
        <f t="shared" si="97"/>
        <v>(0.83)</v>
      </c>
      <c r="EL32" s="375">
        <v>2</v>
      </c>
      <c r="EM32" s="375">
        <f t="shared" si="72"/>
        <v>2</v>
      </c>
      <c r="EN32" s="375">
        <v>0</v>
      </c>
      <c r="EO32" s="375">
        <f t="shared" si="73"/>
        <v>0</v>
      </c>
      <c r="EP32" s="375"/>
      <c r="EQ32" s="375">
        <f t="shared" si="74"/>
        <v>0</v>
      </c>
      <c r="ER32" s="375">
        <f t="shared" si="75"/>
        <v>2</v>
      </c>
      <c r="ES32" s="376">
        <f t="shared" si="76"/>
        <v>64</v>
      </c>
      <c r="ET32" s="373">
        <f t="shared" si="94"/>
        <v>9.7426388888888855</v>
      </c>
      <c r="EU32" s="374" t="str">
        <f t="shared" si="77"/>
        <v>(0.91)</v>
      </c>
      <c r="EV32" s="22">
        <v>2</v>
      </c>
      <c r="EW32" s="22">
        <f t="shared" si="78"/>
        <v>2</v>
      </c>
      <c r="EX32" s="22"/>
      <c r="EY32" s="22">
        <f t="shared" si="79"/>
        <v>0</v>
      </c>
      <c r="EZ32" s="22">
        <v>0</v>
      </c>
      <c r="FA32" s="22">
        <f t="shared" si="80"/>
        <v>0</v>
      </c>
      <c r="FB32" s="22">
        <f t="shared" si="81"/>
        <v>2</v>
      </c>
      <c r="FC32" s="23">
        <f t="shared" si="82"/>
        <v>70</v>
      </c>
      <c r="FD32" s="202"/>
      <c r="FE32" s="203"/>
      <c r="FF32" s="204"/>
      <c r="FG32" s="204"/>
      <c r="FH32" s="204"/>
      <c r="FI32" s="204"/>
      <c r="FJ32" s="204"/>
      <c r="FK32" s="204"/>
      <c r="FL32" s="204"/>
      <c r="FM32" s="205"/>
      <c r="FN32" s="202"/>
      <c r="FO32" s="203"/>
      <c r="FP32" s="204"/>
      <c r="FQ32" s="204"/>
      <c r="FR32" s="204"/>
      <c r="FS32" s="204"/>
      <c r="FT32" s="204"/>
      <c r="FU32" s="204"/>
      <c r="FV32" s="204"/>
      <c r="FW32" s="205"/>
      <c r="FX32" s="202"/>
      <c r="FY32" s="203"/>
      <c r="FZ32" s="204"/>
      <c r="GA32" s="204"/>
      <c r="GB32" s="204"/>
      <c r="GC32" s="204"/>
      <c r="GD32" s="204"/>
      <c r="GE32" s="204"/>
      <c r="GF32" s="204"/>
      <c r="GG32" s="205"/>
      <c r="GH32" s="202"/>
      <c r="GI32" s="203"/>
      <c r="GJ32" s="204"/>
      <c r="GK32" s="204"/>
      <c r="GL32" s="204"/>
      <c r="GM32" s="204"/>
      <c r="GN32" s="204"/>
      <c r="GO32" s="204"/>
      <c r="GP32" s="204"/>
      <c r="GQ32" s="205"/>
      <c r="GR32" s="202"/>
      <c r="GS32" s="203"/>
      <c r="GT32" s="204"/>
      <c r="GU32" s="204"/>
      <c r="GV32" s="204"/>
      <c r="GW32" s="204"/>
      <c r="GX32" s="204"/>
      <c r="GY32" s="204"/>
      <c r="GZ32" s="204"/>
      <c r="HA32" s="205"/>
      <c r="HB32" s="202"/>
      <c r="HC32" s="203"/>
      <c r="HD32" s="204"/>
      <c r="HE32" s="204"/>
      <c r="HF32" s="204"/>
      <c r="HG32" s="204"/>
      <c r="HH32" s="204"/>
      <c r="HI32" s="204"/>
      <c r="HJ32" s="204"/>
      <c r="HK32" s="205"/>
      <c r="HL32" s="202"/>
      <c r="HM32" s="203"/>
      <c r="HN32" s="204"/>
      <c r="HO32" s="204"/>
      <c r="HP32" s="204"/>
      <c r="HQ32" s="204"/>
      <c r="HR32" s="204"/>
      <c r="HS32" s="204"/>
      <c r="HT32" s="204"/>
      <c r="HU32" s="205"/>
      <c r="HV32" s="202"/>
      <c r="HW32" s="203"/>
      <c r="HX32" s="204"/>
      <c r="HY32" s="204"/>
      <c r="HZ32" s="204"/>
      <c r="IA32" s="204"/>
      <c r="IB32" s="204"/>
      <c r="IC32" s="204"/>
      <c r="ID32" s="204"/>
      <c r="IE32" s="205"/>
      <c r="IF32" s="33"/>
      <c r="IG32" s="25">
        <v>9</v>
      </c>
      <c r="IH32" s="26">
        <v>2.0099999999999998</v>
      </c>
      <c r="II32" s="26">
        <v>2.0099999999999998</v>
      </c>
      <c r="IJ32" s="26">
        <v>1.952</v>
      </c>
      <c r="IK32" s="26">
        <v>1</v>
      </c>
      <c r="IL32" s="26">
        <v>1</v>
      </c>
      <c r="IM32" s="26">
        <v>1.125</v>
      </c>
      <c r="IN32" s="8"/>
    </row>
    <row r="33" spans="1:248" ht="15.75" thickBot="1" x14ac:dyDescent="0.3">
      <c r="B33" s="103">
        <f t="shared" si="15"/>
        <v>96</v>
      </c>
      <c r="C33" s="102">
        <v>16</v>
      </c>
      <c r="D33" s="98">
        <f t="shared" si="1"/>
        <v>0.24376736111111105</v>
      </c>
      <c r="E33" s="96">
        <f t="shared" si="2"/>
        <v>0.26001851851851848</v>
      </c>
      <c r="F33" s="96">
        <f t="shared" si="3"/>
        <v>0.26814409722222216</v>
      </c>
      <c r="G33" s="96">
        <f t="shared" si="4"/>
        <v>0.27301944444444437</v>
      </c>
      <c r="H33" s="96">
        <f t="shared" si="5"/>
        <v>0.27626967592592583</v>
      </c>
      <c r="I33" s="96">
        <f t="shared" si="6"/>
        <v>0.27859126984126975</v>
      </c>
      <c r="J33" s="96">
        <f t="shared" si="7"/>
        <v>0.28033246527777772</v>
      </c>
      <c r="K33" s="96">
        <f t="shared" si="8"/>
        <v>0.28168672839506165</v>
      </c>
      <c r="L33" s="96">
        <f t="shared" si="9"/>
        <v>0.28277013888888886</v>
      </c>
      <c r="M33" s="96">
        <f t="shared" si="10"/>
        <v>0.28365656565656561</v>
      </c>
      <c r="N33" s="96">
        <f t="shared" si="11"/>
        <v>0.28439525462962956</v>
      </c>
      <c r="O33" s="259"/>
      <c r="P33" s="260"/>
      <c r="Q33" s="260"/>
      <c r="R33" s="259"/>
      <c r="S33" s="259"/>
      <c r="T33" s="260"/>
      <c r="U33" s="260"/>
      <c r="V33" s="260"/>
      <c r="W33" s="64"/>
      <c r="X33" s="65"/>
      <c r="AT33" s="4"/>
      <c r="AU33" s="14">
        <f t="shared" si="95"/>
        <v>78</v>
      </c>
      <c r="AV33" s="12" t="str">
        <f t="shared" si="16"/>
        <v>(2000)</v>
      </c>
      <c r="AW33" s="19">
        <f t="shared" si="83"/>
        <v>11</v>
      </c>
      <c r="AX33" s="373">
        <f t="shared" si="84"/>
        <v>1.5313888888888885</v>
      </c>
      <c r="AY33" s="374" t="str">
        <f t="shared" si="17"/>
        <v>(0.14)</v>
      </c>
      <c r="AZ33" s="375">
        <v>2</v>
      </c>
      <c r="BA33" s="375">
        <f t="shared" si="18"/>
        <v>2</v>
      </c>
      <c r="BB33" s="375">
        <v>0</v>
      </c>
      <c r="BC33" s="375">
        <f t="shared" si="19"/>
        <v>0</v>
      </c>
      <c r="BD33" s="375">
        <v>0</v>
      </c>
      <c r="BE33" s="375">
        <f t="shared" si="20"/>
        <v>0</v>
      </c>
      <c r="BF33" s="375">
        <f t="shared" si="21"/>
        <v>2</v>
      </c>
      <c r="BG33" s="376">
        <f t="shared" si="22"/>
        <v>10</v>
      </c>
      <c r="BH33" s="373">
        <f t="shared" si="85"/>
        <v>2.4502222222222212</v>
      </c>
      <c r="BI33" s="374" t="str">
        <f t="shared" si="23"/>
        <v>(0.23)</v>
      </c>
      <c r="BJ33" s="375">
        <v>2</v>
      </c>
      <c r="BK33" s="375">
        <f t="shared" si="24"/>
        <v>2</v>
      </c>
      <c r="BL33" s="375">
        <v>0</v>
      </c>
      <c r="BM33" s="375">
        <f t="shared" si="25"/>
        <v>0</v>
      </c>
      <c r="BN33" s="375">
        <v>0</v>
      </c>
      <c r="BO33" s="375">
        <f t="shared" si="26"/>
        <v>0</v>
      </c>
      <c r="BP33" s="375">
        <f t="shared" si="27"/>
        <v>2</v>
      </c>
      <c r="BQ33" s="376">
        <f t="shared" si="28"/>
        <v>16</v>
      </c>
      <c r="BR33" s="373">
        <f t="shared" si="86"/>
        <v>3.3690555555555544</v>
      </c>
      <c r="BS33" s="374" t="str">
        <f t="shared" si="29"/>
        <v>(0.31)</v>
      </c>
      <c r="BT33" s="375">
        <v>2</v>
      </c>
      <c r="BU33" s="375">
        <f t="shared" si="30"/>
        <v>2</v>
      </c>
      <c r="BV33" s="375">
        <v>0</v>
      </c>
      <c r="BW33" s="375">
        <f t="shared" si="31"/>
        <v>0</v>
      </c>
      <c r="BX33" s="375">
        <v>0</v>
      </c>
      <c r="BY33" s="375">
        <f t="shared" si="32"/>
        <v>0</v>
      </c>
      <c r="BZ33" s="375">
        <f t="shared" si="33"/>
        <v>2</v>
      </c>
      <c r="CA33" s="376">
        <f t="shared" si="34"/>
        <v>22</v>
      </c>
      <c r="CB33" s="373">
        <f t="shared" si="87"/>
        <v>4.2878888888888875</v>
      </c>
      <c r="CC33" s="374" t="str">
        <f t="shared" si="35"/>
        <v>(0.4)</v>
      </c>
      <c r="CD33" s="375">
        <v>2</v>
      </c>
      <c r="CE33" s="375">
        <f t="shared" si="36"/>
        <v>2</v>
      </c>
      <c r="CF33" s="375">
        <v>0</v>
      </c>
      <c r="CG33" s="375">
        <f t="shared" si="37"/>
        <v>0</v>
      </c>
      <c r="CH33" s="375">
        <v>0</v>
      </c>
      <c r="CI33" s="375">
        <f t="shared" si="38"/>
        <v>0</v>
      </c>
      <c r="CJ33" s="375">
        <f t="shared" si="39"/>
        <v>2</v>
      </c>
      <c r="CK33" s="376">
        <f t="shared" si="40"/>
        <v>28</v>
      </c>
      <c r="CL33" s="373">
        <f t="shared" si="88"/>
        <v>5.2067222222222211</v>
      </c>
      <c r="CM33" s="374" t="str">
        <f t="shared" si="41"/>
        <v>(0.48)</v>
      </c>
      <c r="CN33" s="375">
        <v>2</v>
      </c>
      <c r="CO33" s="375">
        <f t="shared" si="42"/>
        <v>2</v>
      </c>
      <c r="CP33" s="375">
        <v>0</v>
      </c>
      <c r="CQ33" s="375">
        <f t="shared" si="43"/>
        <v>0</v>
      </c>
      <c r="CR33" s="375">
        <v>0</v>
      </c>
      <c r="CS33" s="375">
        <f t="shared" si="44"/>
        <v>0</v>
      </c>
      <c r="CT33" s="375">
        <f t="shared" si="45"/>
        <v>2</v>
      </c>
      <c r="CU33" s="376">
        <f t="shared" si="46"/>
        <v>34</v>
      </c>
      <c r="CV33" s="373">
        <f t="shared" si="89"/>
        <v>6.1255555555555539</v>
      </c>
      <c r="CW33" s="374" t="str">
        <f t="shared" si="47"/>
        <v>(0.57)</v>
      </c>
      <c r="CX33" s="375">
        <v>2</v>
      </c>
      <c r="CY33" s="375">
        <f t="shared" si="48"/>
        <v>2</v>
      </c>
      <c r="CZ33" s="375">
        <v>0</v>
      </c>
      <c r="DA33" s="375">
        <f t="shared" si="49"/>
        <v>0</v>
      </c>
      <c r="DB33" s="375">
        <v>0</v>
      </c>
      <c r="DC33" s="375">
        <f t="shared" si="50"/>
        <v>0</v>
      </c>
      <c r="DD33" s="375">
        <f t="shared" si="51"/>
        <v>2</v>
      </c>
      <c r="DE33" s="376">
        <f t="shared" si="52"/>
        <v>40</v>
      </c>
      <c r="DF33" s="373">
        <f t="shared" si="90"/>
        <v>7.0443888888888857</v>
      </c>
      <c r="DG33" s="374" t="str">
        <f t="shared" si="53"/>
        <v>(0.65)</v>
      </c>
      <c r="DH33" s="375">
        <v>2</v>
      </c>
      <c r="DI33" s="375">
        <f t="shared" si="54"/>
        <v>2</v>
      </c>
      <c r="DJ33" s="375">
        <v>0</v>
      </c>
      <c r="DK33" s="375">
        <f t="shared" si="55"/>
        <v>0</v>
      </c>
      <c r="DL33" s="375">
        <v>0</v>
      </c>
      <c r="DM33" s="375">
        <f t="shared" si="56"/>
        <v>0</v>
      </c>
      <c r="DN33" s="375">
        <f t="shared" si="57"/>
        <v>2</v>
      </c>
      <c r="DO33" s="376">
        <f t="shared" si="58"/>
        <v>46</v>
      </c>
      <c r="DP33" s="373">
        <f t="shared" si="91"/>
        <v>7.9632222222222202</v>
      </c>
      <c r="DQ33" s="374" t="str">
        <f t="shared" si="59"/>
        <v>(0.74)</v>
      </c>
      <c r="DR33" s="375">
        <v>2</v>
      </c>
      <c r="DS33" s="375">
        <f t="shared" si="60"/>
        <v>2</v>
      </c>
      <c r="DT33" s="375">
        <v>0</v>
      </c>
      <c r="DU33" s="375">
        <f t="shared" si="61"/>
        <v>0</v>
      </c>
      <c r="DV33" s="375"/>
      <c r="DW33" s="375">
        <f t="shared" si="62"/>
        <v>0</v>
      </c>
      <c r="DX33" s="375">
        <f t="shared" si="63"/>
        <v>2</v>
      </c>
      <c r="DY33" s="376">
        <f t="shared" si="64"/>
        <v>52</v>
      </c>
      <c r="DZ33" s="373">
        <f t="shared" si="92"/>
        <v>8.8820555555555529</v>
      </c>
      <c r="EA33" s="374" t="str">
        <f t="shared" si="96"/>
        <v>(0.83)</v>
      </c>
      <c r="EB33" s="375">
        <v>2</v>
      </c>
      <c r="EC33" s="375">
        <f t="shared" si="66"/>
        <v>2</v>
      </c>
      <c r="ED33" s="375">
        <v>0</v>
      </c>
      <c r="EE33" s="375">
        <f t="shared" si="67"/>
        <v>0</v>
      </c>
      <c r="EF33" s="375"/>
      <c r="EG33" s="375">
        <f t="shared" si="68"/>
        <v>0</v>
      </c>
      <c r="EH33" s="375">
        <f t="shared" si="69"/>
        <v>2</v>
      </c>
      <c r="EI33" s="376">
        <f t="shared" si="70"/>
        <v>58</v>
      </c>
      <c r="EJ33" s="373">
        <f t="shared" si="93"/>
        <v>9.8008888888888848</v>
      </c>
      <c r="EK33" s="374" t="str">
        <f t="shared" si="97"/>
        <v>(0.91)</v>
      </c>
      <c r="EL33" s="375">
        <v>2</v>
      </c>
      <c r="EM33" s="375">
        <f t="shared" si="72"/>
        <v>2</v>
      </c>
      <c r="EN33" s="375">
        <v>0</v>
      </c>
      <c r="EO33" s="375">
        <f t="shared" si="73"/>
        <v>0</v>
      </c>
      <c r="EP33" s="375"/>
      <c r="EQ33" s="375">
        <f t="shared" si="74"/>
        <v>0</v>
      </c>
      <c r="ER33" s="375">
        <f t="shared" si="75"/>
        <v>2</v>
      </c>
      <c r="ES33" s="376">
        <f t="shared" si="76"/>
        <v>64</v>
      </c>
      <c r="ET33" s="373">
        <f t="shared" si="94"/>
        <v>10.719722222222218</v>
      </c>
      <c r="EU33" s="374" t="str">
        <f t="shared" si="77"/>
        <v>(1.00)</v>
      </c>
      <c r="EV33" s="22">
        <v>2</v>
      </c>
      <c r="EW33" s="22">
        <f t="shared" si="78"/>
        <v>2</v>
      </c>
      <c r="EX33" s="22"/>
      <c r="EY33" s="22">
        <f t="shared" si="79"/>
        <v>0</v>
      </c>
      <c r="EZ33" s="22">
        <v>0</v>
      </c>
      <c r="FA33" s="22">
        <f t="shared" si="80"/>
        <v>0</v>
      </c>
      <c r="FB33" s="22">
        <f t="shared" si="81"/>
        <v>2</v>
      </c>
      <c r="FC33" s="23">
        <f t="shared" si="82"/>
        <v>70</v>
      </c>
      <c r="FD33" s="31"/>
      <c r="FE33" s="31"/>
      <c r="FF33" s="32"/>
      <c r="FG33" s="32"/>
      <c r="FH33" s="32"/>
      <c r="FI33" s="32"/>
      <c r="FJ33" s="32"/>
      <c r="FK33" s="32"/>
      <c r="FL33" s="32"/>
      <c r="FM33" s="32"/>
      <c r="FN33" s="31"/>
      <c r="FO33" s="31"/>
      <c r="FP33" s="32"/>
      <c r="FQ33" s="32"/>
      <c r="FR33" s="32"/>
      <c r="FS33" s="32"/>
      <c r="FT33" s="32"/>
      <c r="FU33" s="32"/>
      <c r="FV33" s="32"/>
      <c r="FW33" s="32"/>
      <c r="FX33" s="31"/>
      <c r="FY33" s="31"/>
      <c r="FZ33" s="32"/>
      <c r="GA33" s="32"/>
      <c r="GB33" s="32"/>
      <c r="GC33" s="32"/>
      <c r="GD33" s="32"/>
      <c r="GE33" s="32"/>
      <c r="GF33" s="32"/>
      <c r="GG33" s="32"/>
      <c r="GH33" s="31"/>
      <c r="GI33" s="31"/>
      <c r="GJ33" s="32"/>
      <c r="GK33" s="32"/>
      <c r="GL33" s="32"/>
      <c r="GM33" s="32"/>
      <c r="GN33" s="32"/>
      <c r="GO33" s="32"/>
      <c r="GP33" s="32"/>
      <c r="GQ33" s="32"/>
      <c r="GR33" s="31"/>
      <c r="GS33" s="31"/>
      <c r="GT33" s="32"/>
      <c r="GU33" s="32"/>
      <c r="GV33" s="32"/>
      <c r="GW33" s="32"/>
      <c r="GX33" s="32"/>
      <c r="GY33" s="32"/>
      <c r="GZ33" s="32"/>
      <c r="HA33" s="32"/>
      <c r="HB33" s="31"/>
      <c r="HC33" s="31"/>
      <c r="HD33" s="32"/>
      <c r="HE33" s="32"/>
      <c r="HF33" s="32"/>
      <c r="HG33" s="32"/>
      <c r="HH33" s="32"/>
      <c r="HI33" s="32"/>
      <c r="HJ33" s="32"/>
      <c r="HK33" s="32"/>
      <c r="HL33" s="31"/>
      <c r="HM33" s="31"/>
      <c r="HN33" s="32"/>
      <c r="HO33" s="32"/>
      <c r="HP33" s="32"/>
      <c r="HQ33" s="32"/>
      <c r="HR33" s="32"/>
      <c r="HS33" s="32"/>
      <c r="HT33" s="32"/>
      <c r="HU33" s="32"/>
      <c r="HV33" s="31"/>
      <c r="HW33" s="31"/>
      <c r="HX33" s="32"/>
      <c r="HY33" s="32"/>
      <c r="HZ33" s="32"/>
      <c r="IA33" s="32"/>
      <c r="IB33" s="32"/>
      <c r="IC33" s="32"/>
      <c r="ID33" s="33"/>
      <c r="IE33" s="33"/>
      <c r="IF33" s="33"/>
      <c r="IG33" s="25">
        <v>10</v>
      </c>
      <c r="IH33" s="26">
        <v>2.0099999999999998</v>
      </c>
      <c r="II33" s="26">
        <v>2.0099999999999998</v>
      </c>
      <c r="IJ33" s="26">
        <v>1.952</v>
      </c>
      <c r="IK33" s="26">
        <v>1</v>
      </c>
      <c r="IL33" s="26">
        <v>1</v>
      </c>
      <c r="IM33" s="26">
        <v>1.125</v>
      </c>
      <c r="IN33" s="8"/>
    </row>
    <row r="34" spans="1:248" ht="15.75" thickBot="1" x14ac:dyDescent="0.3">
      <c r="B34" s="103">
        <f t="shared" si="15"/>
        <v>102</v>
      </c>
      <c r="C34" s="102">
        <v>17</v>
      </c>
      <c r="D34" s="261"/>
      <c r="E34" s="259"/>
      <c r="F34" s="259"/>
      <c r="G34" s="259"/>
      <c r="H34" s="259"/>
      <c r="I34" s="259"/>
      <c r="J34" s="259"/>
      <c r="K34" s="259"/>
      <c r="L34" s="259"/>
      <c r="M34" s="259"/>
      <c r="N34" s="259"/>
      <c r="O34" s="259"/>
      <c r="P34" s="260"/>
      <c r="Q34" s="260"/>
      <c r="R34" s="259"/>
      <c r="S34" s="259"/>
      <c r="T34" s="260"/>
      <c r="U34" s="260"/>
      <c r="V34" s="260"/>
      <c r="W34" s="64"/>
      <c r="X34" s="65"/>
      <c r="AT34" s="4"/>
      <c r="AU34" s="14">
        <f t="shared" si="95"/>
        <v>84</v>
      </c>
      <c r="AV34" s="12" t="str">
        <f t="shared" si="16"/>
        <v>(2150)</v>
      </c>
      <c r="AW34" s="19">
        <f t="shared" si="83"/>
        <v>12</v>
      </c>
      <c r="AX34" s="373">
        <f t="shared" si="84"/>
        <v>1.6709722222222221</v>
      </c>
      <c r="AY34" s="374" t="str">
        <f t="shared" si="17"/>
        <v>(0.16)</v>
      </c>
      <c r="AZ34" s="375">
        <v>2</v>
      </c>
      <c r="BA34" s="375">
        <f t="shared" si="18"/>
        <v>2</v>
      </c>
      <c r="BB34" s="375">
        <v>0</v>
      </c>
      <c r="BC34" s="375">
        <f t="shared" si="19"/>
        <v>0</v>
      </c>
      <c r="BD34" s="375">
        <v>0</v>
      </c>
      <c r="BE34" s="375">
        <f t="shared" si="20"/>
        <v>0</v>
      </c>
      <c r="BF34" s="375">
        <f t="shared" si="21"/>
        <v>2</v>
      </c>
      <c r="BG34" s="376">
        <f t="shared" si="22"/>
        <v>10</v>
      </c>
      <c r="BH34" s="373">
        <f t="shared" si="85"/>
        <v>2.6735555555555552</v>
      </c>
      <c r="BI34" s="374" t="str">
        <f t="shared" si="23"/>
        <v>(0.25)</v>
      </c>
      <c r="BJ34" s="375">
        <v>2</v>
      </c>
      <c r="BK34" s="375">
        <f t="shared" si="24"/>
        <v>2</v>
      </c>
      <c r="BL34" s="375">
        <v>0</v>
      </c>
      <c r="BM34" s="375">
        <f t="shared" si="25"/>
        <v>0</v>
      </c>
      <c r="BN34" s="375">
        <v>0</v>
      </c>
      <c r="BO34" s="375">
        <f t="shared" si="26"/>
        <v>0</v>
      </c>
      <c r="BP34" s="375">
        <f t="shared" si="27"/>
        <v>2</v>
      </c>
      <c r="BQ34" s="376">
        <f t="shared" si="28"/>
        <v>16</v>
      </c>
      <c r="BR34" s="373">
        <f t="shared" si="86"/>
        <v>3.6761388888888882</v>
      </c>
      <c r="BS34" s="374" t="str">
        <f t="shared" si="29"/>
        <v>(0.34)</v>
      </c>
      <c r="BT34" s="375">
        <v>2</v>
      </c>
      <c r="BU34" s="375">
        <f t="shared" si="30"/>
        <v>2</v>
      </c>
      <c r="BV34" s="375">
        <v>0</v>
      </c>
      <c r="BW34" s="375">
        <f t="shared" si="31"/>
        <v>0</v>
      </c>
      <c r="BX34" s="375">
        <v>0</v>
      </c>
      <c r="BY34" s="375">
        <f t="shared" si="32"/>
        <v>0</v>
      </c>
      <c r="BZ34" s="375">
        <f t="shared" si="33"/>
        <v>2</v>
      </c>
      <c r="CA34" s="376">
        <f t="shared" si="34"/>
        <v>22</v>
      </c>
      <c r="CB34" s="373">
        <f t="shared" si="87"/>
        <v>4.6787222222222216</v>
      </c>
      <c r="CC34" s="374" t="str">
        <f t="shared" si="35"/>
        <v>(0.43)</v>
      </c>
      <c r="CD34" s="375">
        <v>2</v>
      </c>
      <c r="CE34" s="375">
        <f t="shared" si="36"/>
        <v>2</v>
      </c>
      <c r="CF34" s="375">
        <v>0</v>
      </c>
      <c r="CG34" s="375">
        <f t="shared" si="37"/>
        <v>0</v>
      </c>
      <c r="CH34" s="375">
        <v>0</v>
      </c>
      <c r="CI34" s="375">
        <f t="shared" si="38"/>
        <v>0</v>
      </c>
      <c r="CJ34" s="375">
        <f t="shared" si="39"/>
        <v>2</v>
      </c>
      <c r="CK34" s="376">
        <f t="shared" si="40"/>
        <v>28</v>
      </c>
      <c r="CL34" s="373">
        <f t="shared" si="88"/>
        <v>5.6813055555555554</v>
      </c>
      <c r="CM34" s="374" t="str">
        <f t="shared" si="41"/>
        <v>(0.53)</v>
      </c>
      <c r="CN34" s="375">
        <v>2</v>
      </c>
      <c r="CO34" s="375">
        <f t="shared" si="42"/>
        <v>2</v>
      </c>
      <c r="CP34" s="375">
        <v>0</v>
      </c>
      <c r="CQ34" s="375">
        <f t="shared" si="43"/>
        <v>0</v>
      </c>
      <c r="CR34" s="375">
        <v>0</v>
      </c>
      <c r="CS34" s="375">
        <f t="shared" si="44"/>
        <v>0</v>
      </c>
      <c r="CT34" s="375">
        <f t="shared" si="45"/>
        <v>2</v>
      </c>
      <c r="CU34" s="376">
        <f t="shared" si="46"/>
        <v>34</v>
      </c>
      <c r="CV34" s="373">
        <f t="shared" si="89"/>
        <v>6.6838888888888883</v>
      </c>
      <c r="CW34" s="374" t="str">
        <f t="shared" si="47"/>
        <v>(0.62)</v>
      </c>
      <c r="CX34" s="375">
        <v>2</v>
      </c>
      <c r="CY34" s="375">
        <f t="shared" si="48"/>
        <v>2</v>
      </c>
      <c r="CZ34" s="375">
        <v>0</v>
      </c>
      <c r="DA34" s="375">
        <f t="shared" si="49"/>
        <v>0</v>
      </c>
      <c r="DB34" s="375">
        <v>0</v>
      </c>
      <c r="DC34" s="375">
        <f t="shared" si="50"/>
        <v>0</v>
      </c>
      <c r="DD34" s="375">
        <f t="shared" si="51"/>
        <v>2</v>
      </c>
      <c r="DE34" s="376">
        <f t="shared" si="52"/>
        <v>40</v>
      </c>
      <c r="DF34" s="373">
        <f t="shared" si="90"/>
        <v>7.6864722222222213</v>
      </c>
      <c r="DG34" s="374" t="str">
        <f t="shared" si="53"/>
        <v>(0.71)</v>
      </c>
      <c r="DH34" s="375">
        <v>2</v>
      </c>
      <c r="DI34" s="375">
        <f t="shared" si="54"/>
        <v>2</v>
      </c>
      <c r="DJ34" s="375">
        <v>0</v>
      </c>
      <c r="DK34" s="375">
        <f t="shared" si="55"/>
        <v>0</v>
      </c>
      <c r="DL34" s="375">
        <v>0</v>
      </c>
      <c r="DM34" s="375">
        <f t="shared" si="56"/>
        <v>0</v>
      </c>
      <c r="DN34" s="375">
        <f t="shared" si="57"/>
        <v>2</v>
      </c>
      <c r="DO34" s="376">
        <f t="shared" si="58"/>
        <v>46</v>
      </c>
      <c r="DP34" s="373">
        <f t="shared" si="91"/>
        <v>8.6890555555555551</v>
      </c>
      <c r="DQ34" s="374" t="str">
        <f t="shared" si="59"/>
        <v>(0.81)</v>
      </c>
      <c r="DR34" s="375">
        <v>2</v>
      </c>
      <c r="DS34" s="375">
        <f t="shared" si="60"/>
        <v>2</v>
      </c>
      <c r="DT34" s="375">
        <v>0</v>
      </c>
      <c r="DU34" s="375">
        <f t="shared" si="61"/>
        <v>0</v>
      </c>
      <c r="DV34" s="375"/>
      <c r="DW34" s="375">
        <f t="shared" si="62"/>
        <v>0</v>
      </c>
      <c r="DX34" s="375">
        <f t="shared" si="63"/>
        <v>2</v>
      </c>
      <c r="DY34" s="376">
        <f t="shared" si="64"/>
        <v>52</v>
      </c>
      <c r="DZ34" s="373">
        <f t="shared" si="92"/>
        <v>9.6916388888888871</v>
      </c>
      <c r="EA34" s="374" t="str">
        <f t="shared" si="96"/>
        <v>(0.90)</v>
      </c>
      <c r="EB34" s="375">
        <v>2</v>
      </c>
      <c r="EC34" s="375">
        <f t="shared" si="66"/>
        <v>2</v>
      </c>
      <c r="ED34" s="375">
        <v>0</v>
      </c>
      <c r="EE34" s="375">
        <f t="shared" si="67"/>
        <v>0</v>
      </c>
      <c r="EF34" s="375"/>
      <c r="EG34" s="375">
        <f t="shared" si="68"/>
        <v>0</v>
      </c>
      <c r="EH34" s="375">
        <f t="shared" si="69"/>
        <v>2</v>
      </c>
      <c r="EI34" s="376">
        <f t="shared" si="70"/>
        <v>58</v>
      </c>
      <c r="EJ34" s="373">
        <f t="shared" si="93"/>
        <v>10.694222222222221</v>
      </c>
      <c r="EK34" s="374" t="str">
        <f t="shared" si="97"/>
        <v>(0.99)</v>
      </c>
      <c r="EL34" s="375">
        <v>2</v>
      </c>
      <c r="EM34" s="375">
        <f t="shared" si="72"/>
        <v>2</v>
      </c>
      <c r="EN34" s="375">
        <v>0</v>
      </c>
      <c r="EO34" s="375">
        <f t="shared" si="73"/>
        <v>0</v>
      </c>
      <c r="EP34" s="375"/>
      <c r="EQ34" s="375">
        <f t="shared" si="74"/>
        <v>0</v>
      </c>
      <c r="ER34" s="375">
        <f t="shared" si="75"/>
        <v>2</v>
      </c>
      <c r="ES34" s="376">
        <f t="shared" si="76"/>
        <v>64</v>
      </c>
      <c r="ET34" s="373">
        <f t="shared" si="94"/>
        <v>11.696805555555555</v>
      </c>
      <c r="EU34" s="374" t="str">
        <f t="shared" si="77"/>
        <v>(1.09)</v>
      </c>
      <c r="EV34" s="22">
        <v>2</v>
      </c>
      <c r="EW34" s="22">
        <f t="shared" si="78"/>
        <v>2</v>
      </c>
      <c r="EX34" s="22"/>
      <c r="EY34" s="22">
        <f t="shared" si="79"/>
        <v>0</v>
      </c>
      <c r="EZ34" s="22">
        <v>0</v>
      </c>
      <c r="FA34" s="22">
        <f t="shared" si="80"/>
        <v>0</v>
      </c>
      <c r="FB34" s="22">
        <f t="shared" si="81"/>
        <v>2</v>
      </c>
      <c r="FC34" s="23">
        <f t="shared" si="82"/>
        <v>70</v>
      </c>
      <c r="FD34" s="31"/>
      <c r="FE34" s="31"/>
      <c r="FF34" s="32"/>
      <c r="FG34" s="32"/>
      <c r="FH34" s="32"/>
      <c r="FI34" s="32"/>
      <c r="FJ34" s="32"/>
      <c r="FK34" s="32"/>
      <c r="FL34" s="32"/>
      <c r="FM34" s="32"/>
      <c r="FN34" s="31"/>
      <c r="FO34" s="31"/>
      <c r="FP34" s="32"/>
      <c r="FQ34" s="32"/>
      <c r="FR34" s="32"/>
      <c r="FS34" s="32"/>
      <c r="FT34" s="32"/>
      <c r="FU34" s="32"/>
      <c r="FV34" s="32"/>
      <c r="FW34" s="32"/>
      <c r="FX34" s="31"/>
      <c r="FY34" s="31"/>
      <c r="FZ34" s="32"/>
      <c r="GA34" s="32"/>
      <c r="GB34" s="32"/>
      <c r="GC34" s="32"/>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2"/>
      <c r="HE34" s="32"/>
      <c r="HF34" s="32"/>
      <c r="HG34" s="32"/>
      <c r="HH34" s="32"/>
      <c r="HI34" s="32"/>
      <c r="HJ34" s="32"/>
      <c r="HK34" s="32"/>
      <c r="HL34" s="32"/>
      <c r="HM34" s="32"/>
      <c r="HN34" s="32"/>
      <c r="HO34" s="32"/>
      <c r="HP34" s="32"/>
      <c r="HQ34" s="32"/>
      <c r="HR34" s="32"/>
      <c r="HS34" s="32"/>
      <c r="HT34" s="32"/>
      <c r="HU34" s="32"/>
      <c r="HV34" s="31"/>
      <c r="HW34" s="31"/>
      <c r="HX34" s="32"/>
      <c r="HY34" s="32"/>
      <c r="HZ34" s="32"/>
      <c r="IA34" s="32"/>
      <c r="IB34" s="32"/>
      <c r="IC34" s="32"/>
      <c r="ID34" s="33"/>
      <c r="IE34" s="33"/>
      <c r="IF34" s="33"/>
      <c r="IG34" s="25">
        <v>11</v>
      </c>
      <c r="IH34" s="26">
        <v>2.0099999999999998</v>
      </c>
      <c r="II34" s="26">
        <v>2.0099999999999998</v>
      </c>
      <c r="IJ34" s="26">
        <v>1.952</v>
      </c>
      <c r="IK34" s="26">
        <v>1</v>
      </c>
      <c r="IL34" s="26">
        <v>1</v>
      </c>
      <c r="IM34" s="26">
        <v>1.125</v>
      </c>
      <c r="IN34" s="8"/>
    </row>
    <row r="35" spans="1:248" ht="15.75" thickBot="1" x14ac:dyDescent="0.3">
      <c r="B35" s="103">
        <f t="shared" si="15"/>
        <v>108</v>
      </c>
      <c r="C35" s="102">
        <v>18</v>
      </c>
      <c r="D35" s="261"/>
      <c r="E35" s="259"/>
      <c r="F35" s="259"/>
      <c r="G35" s="259"/>
      <c r="H35" s="259"/>
      <c r="I35" s="259"/>
      <c r="J35" s="259"/>
      <c r="K35" s="259"/>
      <c r="L35" s="259"/>
      <c r="M35" s="259"/>
      <c r="N35" s="259"/>
      <c r="O35" s="259"/>
      <c r="P35" s="260"/>
      <c r="Q35" s="260"/>
      <c r="R35" s="259"/>
      <c r="S35" s="259"/>
      <c r="T35" s="259"/>
      <c r="U35" s="259"/>
      <c r="V35" s="259"/>
      <c r="W35" s="64"/>
      <c r="X35" s="65"/>
      <c r="AT35" s="4"/>
      <c r="AU35" s="27">
        <f t="shared" si="95"/>
        <v>90</v>
      </c>
      <c r="AV35" s="28" t="str">
        <f t="shared" si="16"/>
        <v>(2300)</v>
      </c>
      <c r="AW35" s="19">
        <f t="shared" si="83"/>
        <v>13</v>
      </c>
      <c r="AX35" s="373">
        <f t="shared" si="84"/>
        <v>1.8105555555555553</v>
      </c>
      <c r="AY35" s="374" t="str">
        <f t="shared" si="17"/>
        <v>(0.17)</v>
      </c>
      <c r="AZ35" s="375">
        <v>2</v>
      </c>
      <c r="BA35" s="375">
        <f t="shared" si="18"/>
        <v>2</v>
      </c>
      <c r="BB35" s="375">
        <v>0</v>
      </c>
      <c r="BC35" s="375">
        <f t="shared" si="19"/>
        <v>0</v>
      </c>
      <c r="BD35" s="375">
        <v>0</v>
      </c>
      <c r="BE35" s="375">
        <f t="shared" si="20"/>
        <v>0</v>
      </c>
      <c r="BF35" s="375">
        <f t="shared" si="21"/>
        <v>2</v>
      </c>
      <c r="BG35" s="376">
        <f t="shared" si="22"/>
        <v>10</v>
      </c>
      <c r="BH35" s="373">
        <f t="shared" si="85"/>
        <v>2.8968888888888884</v>
      </c>
      <c r="BI35" s="374" t="str">
        <f t="shared" si="23"/>
        <v>(0.27)</v>
      </c>
      <c r="BJ35" s="375">
        <v>2</v>
      </c>
      <c r="BK35" s="375">
        <f t="shared" si="24"/>
        <v>2</v>
      </c>
      <c r="BL35" s="375">
        <v>0</v>
      </c>
      <c r="BM35" s="375">
        <f t="shared" si="25"/>
        <v>0</v>
      </c>
      <c r="BN35" s="375">
        <v>0</v>
      </c>
      <c r="BO35" s="375">
        <f t="shared" si="26"/>
        <v>0</v>
      </c>
      <c r="BP35" s="375">
        <f t="shared" si="27"/>
        <v>2</v>
      </c>
      <c r="BQ35" s="376">
        <f t="shared" si="28"/>
        <v>16</v>
      </c>
      <c r="BR35" s="373">
        <f t="shared" si="86"/>
        <v>3.983222222222222</v>
      </c>
      <c r="BS35" s="374" t="str">
        <f t="shared" si="29"/>
        <v>(0.37)</v>
      </c>
      <c r="BT35" s="375">
        <v>2</v>
      </c>
      <c r="BU35" s="375">
        <f t="shared" si="30"/>
        <v>2</v>
      </c>
      <c r="BV35" s="375">
        <v>0</v>
      </c>
      <c r="BW35" s="375">
        <f t="shared" si="31"/>
        <v>0</v>
      </c>
      <c r="BX35" s="375">
        <v>0</v>
      </c>
      <c r="BY35" s="375">
        <f t="shared" si="32"/>
        <v>0</v>
      </c>
      <c r="BZ35" s="375">
        <f t="shared" si="33"/>
        <v>2</v>
      </c>
      <c r="CA35" s="376">
        <f t="shared" si="34"/>
        <v>22</v>
      </c>
      <c r="CB35" s="373">
        <f t="shared" si="87"/>
        <v>5.0695555555555547</v>
      </c>
      <c r="CC35" s="374" t="str">
        <f t="shared" si="35"/>
        <v>(0.47)</v>
      </c>
      <c r="CD35" s="375">
        <v>2</v>
      </c>
      <c r="CE35" s="375">
        <f t="shared" si="36"/>
        <v>2</v>
      </c>
      <c r="CF35" s="375">
        <v>0</v>
      </c>
      <c r="CG35" s="375">
        <f t="shared" si="37"/>
        <v>0</v>
      </c>
      <c r="CH35" s="375">
        <v>0</v>
      </c>
      <c r="CI35" s="375">
        <f t="shared" si="38"/>
        <v>0</v>
      </c>
      <c r="CJ35" s="375">
        <f t="shared" si="39"/>
        <v>2</v>
      </c>
      <c r="CK35" s="376">
        <f t="shared" si="40"/>
        <v>28</v>
      </c>
      <c r="CL35" s="373">
        <f t="shared" si="88"/>
        <v>6.1558888888888879</v>
      </c>
      <c r="CM35" s="374" t="str">
        <f t="shared" si="41"/>
        <v>(0.57)</v>
      </c>
      <c r="CN35" s="375">
        <v>2</v>
      </c>
      <c r="CO35" s="375">
        <f t="shared" si="42"/>
        <v>2</v>
      </c>
      <c r="CP35" s="375">
        <v>0</v>
      </c>
      <c r="CQ35" s="375">
        <f t="shared" si="43"/>
        <v>0</v>
      </c>
      <c r="CR35" s="375">
        <v>0</v>
      </c>
      <c r="CS35" s="375">
        <f t="shared" si="44"/>
        <v>0</v>
      </c>
      <c r="CT35" s="375">
        <f t="shared" si="45"/>
        <v>2</v>
      </c>
      <c r="CU35" s="376">
        <f t="shared" si="46"/>
        <v>34</v>
      </c>
      <c r="CV35" s="373">
        <f t="shared" si="89"/>
        <v>7.242222222222221</v>
      </c>
      <c r="CW35" s="374" t="str">
        <f t="shared" si="47"/>
        <v>(0.67)</v>
      </c>
      <c r="CX35" s="375">
        <v>2</v>
      </c>
      <c r="CY35" s="375">
        <f t="shared" si="48"/>
        <v>2</v>
      </c>
      <c r="CZ35" s="375">
        <v>0</v>
      </c>
      <c r="DA35" s="375">
        <f t="shared" si="49"/>
        <v>0</v>
      </c>
      <c r="DB35" s="375">
        <v>0</v>
      </c>
      <c r="DC35" s="375">
        <f t="shared" si="50"/>
        <v>0</v>
      </c>
      <c r="DD35" s="375">
        <f t="shared" si="51"/>
        <v>2</v>
      </c>
      <c r="DE35" s="376">
        <f t="shared" si="52"/>
        <v>40</v>
      </c>
      <c r="DF35" s="373">
        <f t="shared" si="90"/>
        <v>8.328555555555555</v>
      </c>
      <c r="DG35" s="374" t="str">
        <f t="shared" si="53"/>
        <v>(0.77)</v>
      </c>
      <c r="DH35" s="375">
        <v>2</v>
      </c>
      <c r="DI35" s="375">
        <f t="shared" si="54"/>
        <v>2</v>
      </c>
      <c r="DJ35" s="375">
        <v>0</v>
      </c>
      <c r="DK35" s="375">
        <f t="shared" si="55"/>
        <v>0</v>
      </c>
      <c r="DL35" s="375">
        <v>0</v>
      </c>
      <c r="DM35" s="375">
        <f t="shared" si="56"/>
        <v>0</v>
      </c>
      <c r="DN35" s="375">
        <f t="shared" si="57"/>
        <v>2</v>
      </c>
      <c r="DO35" s="376">
        <f t="shared" si="58"/>
        <v>46</v>
      </c>
      <c r="DP35" s="373">
        <f t="shared" si="91"/>
        <v>9.4148888888888873</v>
      </c>
      <c r="DQ35" s="374" t="str">
        <f t="shared" si="59"/>
        <v>(0.87)</v>
      </c>
      <c r="DR35" s="375">
        <v>2</v>
      </c>
      <c r="DS35" s="375">
        <f t="shared" si="60"/>
        <v>2</v>
      </c>
      <c r="DT35" s="375">
        <v>0</v>
      </c>
      <c r="DU35" s="375">
        <f t="shared" si="61"/>
        <v>0</v>
      </c>
      <c r="DV35" s="375"/>
      <c r="DW35" s="375">
        <f t="shared" si="62"/>
        <v>0</v>
      </c>
      <c r="DX35" s="375">
        <f t="shared" si="63"/>
        <v>2</v>
      </c>
      <c r="DY35" s="376">
        <f t="shared" si="64"/>
        <v>52</v>
      </c>
      <c r="DZ35" s="373">
        <f t="shared" si="92"/>
        <v>10.50122222222222</v>
      </c>
      <c r="EA35" s="374" t="str">
        <f t="shared" si="96"/>
        <v>(0.98)</v>
      </c>
      <c r="EB35" s="375">
        <v>2</v>
      </c>
      <c r="EC35" s="375">
        <f t="shared" si="66"/>
        <v>2</v>
      </c>
      <c r="ED35" s="375">
        <v>0</v>
      </c>
      <c r="EE35" s="375">
        <f t="shared" si="67"/>
        <v>0</v>
      </c>
      <c r="EF35" s="375"/>
      <c r="EG35" s="375">
        <f t="shared" si="68"/>
        <v>0</v>
      </c>
      <c r="EH35" s="375">
        <f t="shared" si="69"/>
        <v>2</v>
      </c>
      <c r="EI35" s="376">
        <f t="shared" si="70"/>
        <v>58</v>
      </c>
      <c r="EJ35" s="373">
        <f t="shared" si="93"/>
        <v>11.587555555555554</v>
      </c>
      <c r="EK35" s="374" t="str">
        <f t="shared" si="97"/>
        <v>(1.08)</v>
      </c>
      <c r="EL35" s="375">
        <v>2</v>
      </c>
      <c r="EM35" s="375">
        <f t="shared" si="72"/>
        <v>2</v>
      </c>
      <c r="EN35" s="375">
        <v>0</v>
      </c>
      <c r="EO35" s="375">
        <f t="shared" si="73"/>
        <v>0</v>
      </c>
      <c r="EP35" s="375"/>
      <c r="EQ35" s="375">
        <f t="shared" si="74"/>
        <v>0</v>
      </c>
      <c r="ER35" s="375">
        <f t="shared" si="75"/>
        <v>2</v>
      </c>
      <c r="ES35" s="376">
        <f t="shared" si="76"/>
        <v>64</v>
      </c>
      <c r="ET35" s="373">
        <f t="shared" si="94"/>
        <v>12.673888888888888</v>
      </c>
      <c r="EU35" s="374" t="str">
        <f t="shared" si="77"/>
        <v>(1.18)</v>
      </c>
      <c r="EV35" s="22">
        <v>2</v>
      </c>
      <c r="EW35" s="22">
        <f t="shared" si="78"/>
        <v>2</v>
      </c>
      <c r="EX35" s="30"/>
      <c r="EY35" s="22">
        <f t="shared" si="79"/>
        <v>0</v>
      </c>
      <c r="EZ35" s="30">
        <v>0</v>
      </c>
      <c r="FA35" s="22">
        <f t="shared" si="80"/>
        <v>0</v>
      </c>
      <c r="FB35" s="22">
        <f t="shared" si="81"/>
        <v>2</v>
      </c>
      <c r="FC35" s="23">
        <f t="shared" si="82"/>
        <v>70</v>
      </c>
      <c r="FD35" s="31"/>
      <c r="FE35" s="31"/>
      <c r="FF35" s="32"/>
      <c r="FG35" s="32"/>
      <c r="FH35" s="34"/>
      <c r="FI35" s="32"/>
      <c r="FJ35" s="34"/>
      <c r="FK35" s="32"/>
      <c r="FL35" s="31"/>
      <c r="FM35" s="31"/>
      <c r="FN35" s="31"/>
      <c r="FO35" s="31"/>
      <c r="FP35" s="31"/>
      <c r="FQ35" s="31"/>
      <c r="FR35" s="31"/>
      <c r="FS35" s="31"/>
      <c r="FT35" s="31"/>
      <c r="FU35" s="31"/>
      <c r="FV35" s="31"/>
      <c r="FW35" s="31"/>
      <c r="FX35" s="31"/>
      <c r="FY35" s="31"/>
      <c r="FZ35" s="32"/>
      <c r="GA35" s="32"/>
      <c r="GB35" s="34"/>
      <c r="GC35" s="32"/>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2"/>
      <c r="HE35" s="32"/>
      <c r="HF35" s="34"/>
      <c r="HG35" s="32"/>
      <c r="HH35" s="32"/>
      <c r="HI35" s="32"/>
      <c r="HJ35" s="32"/>
      <c r="HK35" s="32"/>
      <c r="HL35" s="32"/>
      <c r="HM35" s="32"/>
      <c r="HN35" s="32"/>
      <c r="HO35" s="32"/>
      <c r="HP35" s="32"/>
      <c r="HQ35" s="32"/>
      <c r="HR35" s="32"/>
      <c r="HS35" s="32"/>
      <c r="HT35" s="32"/>
      <c r="HU35" s="32"/>
      <c r="HV35" s="31"/>
      <c r="HW35" s="31"/>
      <c r="HX35" s="32"/>
      <c r="HY35" s="32"/>
      <c r="HZ35" s="34"/>
      <c r="IA35" s="32"/>
      <c r="IB35" s="32"/>
      <c r="IC35" s="32"/>
      <c r="ID35" s="33"/>
      <c r="IE35" s="33"/>
      <c r="IF35" s="33"/>
      <c r="IG35" s="25">
        <v>12</v>
      </c>
      <c r="IH35" s="26">
        <v>2.0099999999999998</v>
      </c>
      <c r="II35" s="26">
        <v>2.0099999999999998</v>
      </c>
      <c r="IJ35" s="26">
        <v>1.952</v>
      </c>
      <c r="IK35" s="26">
        <v>1</v>
      </c>
      <c r="IL35" s="26">
        <v>1</v>
      </c>
      <c r="IM35" s="26">
        <v>1.125</v>
      </c>
      <c r="IN35" s="8"/>
    </row>
    <row r="36" spans="1:248" ht="15.75" thickBot="1" x14ac:dyDescent="0.3">
      <c r="B36" s="103">
        <f>B35+6</f>
        <v>114</v>
      </c>
      <c r="C36" s="102">
        <v>19</v>
      </c>
      <c r="D36" s="261"/>
      <c r="E36" s="259"/>
      <c r="F36" s="259"/>
      <c r="G36" s="259"/>
      <c r="H36" s="259"/>
      <c r="I36" s="259"/>
      <c r="J36" s="259"/>
      <c r="K36" s="259"/>
      <c r="L36" s="259"/>
      <c r="M36" s="259"/>
      <c r="N36" s="259"/>
      <c r="O36" s="259"/>
      <c r="P36" s="260"/>
      <c r="Q36" s="260"/>
      <c r="R36" s="259"/>
      <c r="S36" s="259"/>
      <c r="T36" s="259"/>
      <c r="U36" s="259"/>
      <c r="V36" s="259"/>
      <c r="W36" s="64"/>
      <c r="X36" s="65"/>
      <c r="AT36" s="4"/>
      <c r="AU36" s="27">
        <f t="shared" si="95"/>
        <v>96</v>
      </c>
      <c r="AV36" s="28" t="str">
        <f t="shared" si="16"/>
        <v>(2450)</v>
      </c>
      <c r="AW36" s="19">
        <f t="shared" si="83"/>
        <v>14</v>
      </c>
      <c r="AX36" s="373">
        <f t="shared" si="84"/>
        <v>1.9501388888888884</v>
      </c>
      <c r="AY36" s="374" t="str">
        <f t="shared" si="17"/>
        <v>(0.18)</v>
      </c>
      <c r="AZ36" s="375">
        <v>2</v>
      </c>
      <c r="BA36" s="375">
        <f t="shared" si="18"/>
        <v>2</v>
      </c>
      <c r="BB36" s="375">
        <v>0</v>
      </c>
      <c r="BC36" s="375">
        <f t="shared" si="19"/>
        <v>0</v>
      </c>
      <c r="BD36" s="375">
        <v>0</v>
      </c>
      <c r="BE36" s="375">
        <f t="shared" si="20"/>
        <v>0</v>
      </c>
      <c r="BF36" s="375">
        <f t="shared" si="21"/>
        <v>2</v>
      </c>
      <c r="BG36" s="376">
        <f t="shared" si="22"/>
        <v>10</v>
      </c>
      <c r="BH36" s="373">
        <f t="shared" si="85"/>
        <v>3.1202222222222216</v>
      </c>
      <c r="BI36" s="374" t="str">
        <f t="shared" si="23"/>
        <v>(0.29)</v>
      </c>
      <c r="BJ36" s="375">
        <v>2</v>
      </c>
      <c r="BK36" s="375">
        <f t="shared" si="24"/>
        <v>2</v>
      </c>
      <c r="BL36" s="375">
        <v>0</v>
      </c>
      <c r="BM36" s="375">
        <f t="shared" si="25"/>
        <v>0</v>
      </c>
      <c r="BN36" s="375">
        <v>0</v>
      </c>
      <c r="BO36" s="375">
        <f t="shared" si="26"/>
        <v>0</v>
      </c>
      <c r="BP36" s="375">
        <f t="shared" si="27"/>
        <v>2</v>
      </c>
      <c r="BQ36" s="376">
        <f t="shared" si="28"/>
        <v>16</v>
      </c>
      <c r="BR36" s="373">
        <f t="shared" si="86"/>
        <v>4.2903055555555545</v>
      </c>
      <c r="BS36" s="374" t="str">
        <f t="shared" si="29"/>
        <v>(0.4)</v>
      </c>
      <c r="BT36" s="375">
        <v>2</v>
      </c>
      <c r="BU36" s="375">
        <f t="shared" si="30"/>
        <v>2</v>
      </c>
      <c r="BV36" s="375">
        <v>0</v>
      </c>
      <c r="BW36" s="375">
        <f t="shared" si="31"/>
        <v>0</v>
      </c>
      <c r="BX36" s="375">
        <v>0</v>
      </c>
      <c r="BY36" s="375">
        <f t="shared" si="32"/>
        <v>0</v>
      </c>
      <c r="BZ36" s="375">
        <f t="shared" si="33"/>
        <v>2</v>
      </c>
      <c r="CA36" s="376">
        <f t="shared" si="34"/>
        <v>22</v>
      </c>
      <c r="CB36" s="373">
        <f t="shared" si="87"/>
        <v>5.4603888888888878</v>
      </c>
      <c r="CC36" s="374" t="str">
        <f t="shared" si="35"/>
        <v>(0.51)</v>
      </c>
      <c r="CD36" s="375">
        <v>2</v>
      </c>
      <c r="CE36" s="375">
        <f t="shared" si="36"/>
        <v>2</v>
      </c>
      <c r="CF36" s="375">
        <v>0</v>
      </c>
      <c r="CG36" s="375">
        <f t="shared" si="37"/>
        <v>0</v>
      </c>
      <c r="CH36" s="375">
        <v>0</v>
      </c>
      <c r="CI36" s="375">
        <f t="shared" si="38"/>
        <v>0</v>
      </c>
      <c r="CJ36" s="375">
        <f t="shared" si="39"/>
        <v>2</v>
      </c>
      <c r="CK36" s="376">
        <f t="shared" si="40"/>
        <v>28</v>
      </c>
      <c r="CL36" s="373">
        <f t="shared" si="88"/>
        <v>6.6304722222222203</v>
      </c>
      <c r="CM36" s="374" t="str">
        <f t="shared" si="41"/>
        <v>(0.62)</v>
      </c>
      <c r="CN36" s="375">
        <v>2</v>
      </c>
      <c r="CO36" s="375">
        <f t="shared" si="42"/>
        <v>2</v>
      </c>
      <c r="CP36" s="375">
        <v>0</v>
      </c>
      <c r="CQ36" s="375">
        <f t="shared" si="43"/>
        <v>0</v>
      </c>
      <c r="CR36" s="375">
        <v>0</v>
      </c>
      <c r="CS36" s="375">
        <f t="shared" si="44"/>
        <v>0</v>
      </c>
      <c r="CT36" s="375">
        <f t="shared" si="45"/>
        <v>2</v>
      </c>
      <c r="CU36" s="376">
        <f t="shared" si="46"/>
        <v>34</v>
      </c>
      <c r="CV36" s="373">
        <f t="shared" si="89"/>
        <v>7.8005555555555537</v>
      </c>
      <c r="CW36" s="374" t="str">
        <f t="shared" si="47"/>
        <v>(0.72)</v>
      </c>
      <c r="CX36" s="375">
        <v>2</v>
      </c>
      <c r="CY36" s="375">
        <f t="shared" si="48"/>
        <v>2</v>
      </c>
      <c r="CZ36" s="375">
        <v>0</v>
      </c>
      <c r="DA36" s="375">
        <f t="shared" si="49"/>
        <v>0</v>
      </c>
      <c r="DB36" s="375">
        <v>0</v>
      </c>
      <c r="DC36" s="375">
        <f t="shared" si="50"/>
        <v>0</v>
      </c>
      <c r="DD36" s="375">
        <f t="shared" si="51"/>
        <v>2</v>
      </c>
      <c r="DE36" s="376">
        <f t="shared" si="52"/>
        <v>40</v>
      </c>
      <c r="DF36" s="373">
        <f t="shared" si="90"/>
        <v>8.9706388888888871</v>
      </c>
      <c r="DG36" s="374" t="str">
        <f t="shared" si="53"/>
        <v>(0.83)</v>
      </c>
      <c r="DH36" s="375">
        <v>2</v>
      </c>
      <c r="DI36" s="375">
        <f t="shared" si="54"/>
        <v>2</v>
      </c>
      <c r="DJ36" s="375">
        <v>0</v>
      </c>
      <c r="DK36" s="375">
        <f t="shared" si="55"/>
        <v>0</v>
      </c>
      <c r="DL36" s="375">
        <v>0</v>
      </c>
      <c r="DM36" s="375">
        <f t="shared" si="56"/>
        <v>0</v>
      </c>
      <c r="DN36" s="375">
        <f t="shared" si="57"/>
        <v>2</v>
      </c>
      <c r="DO36" s="376">
        <f t="shared" si="58"/>
        <v>46</v>
      </c>
      <c r="DP36" s="373">
        <f t="shared" si="91"/>
        <v>10.14072222222222</v>
      </c>
      <c r="DQ36" s="374" t="str">
        <f t="shared" si="59"/>
        <v>(0.94)</v>
      </c>
      <c r="DR36" s="375">
        <v>2</v>
      </c>
      <c r="DS36" s="375">
        <f t="shared" si="60"/>
        <v>2</v>
      </c>
      <c r="DT36" s="375">
        <v>0</v>
      </c>
      <c r="DU36" s="375">
        <f t="shared" si="61"/>
        <v>0</v>
      </c>
      <c r="DV36" s="375"/>
      <c r="DW36" s="375">
        <f t="shared" si="62"/>
        <v>0</v>
      </c>
      <c r="DX36" s="375">
        <f t="shared" si="63"/>
        <v>2</v>
      </c>
      <c r="DY36" s="376">
        <f t="shared" si="64"/>
        <v>52</v>
      </c>
      <c r="DZ36" s="373">
        <f t="shared" si="92"/>
        <v>11.310805555555554</v>
      </c>
      <c r="EA36" s="374" t="str">
        <f t="shared" si="96"/>
        <v>(1.05)</v>
      </c>
      <c r="EB36" s="375">
        <v>2</v>
      </c>
      <c r="EC36" s="375">
        <f t="shared" si="66"/>
        <v>2</v>
      </c>
      <c r="ED36" s="375">
        <v>0</v>
      </c>
      <c r="EE36" s="375">
        <f t="shared" si="67"/>
        <v>0</v>
      </c>
      <c r="EF36" s="375"/>
      <c r="EG36" s="375">
        <f t="shared" si="68"/>
        <v>0</v>
      </c>
      <c r="EH36" s="375">
        <f t="shared" si="69"/>
        <v>2</v>
      </c>
      <c r="EI36" s="376">
        <f t="shared" si="70"/>
        <v>58</v>
      </c>
      <c r="EJ36" s="373">
        <f t="shared" si="93"/>
        <v>12.480888888888886</v>
      </c>
      <c r="EK36" s="374" t="str">
        <f t="shared" si="97"/>
        <v>(1.16)</v>
      </c>
      <c r="EL36" s="375">
        <v>2</v>
      </c>
      <c r="EM36" s="375">
        <f t="shared" si="72"/>
        <v>2</v>
      </c>
      <c r="EN36" s="375">
        <v>0</v>
      </c>
      <c r="EO36" s="375">
        <f t="shared" si="73"/>
        <v>0</v>
      </c>
      <c r="EP36" s="375"/>
      <c r="EQ36" s="375">
        <f t="shared" si="74"/>
        <v>0</v>
      </c>
      <c r="ER36" s="375">
        <f t="shared" si="75"/>
        <v>2</v>
      </c>
      <c r="ES36" s="376">
        <f t="shared" si="76"/>
        <v>64</v>
      </c>
      <c r="ET36" s="373">
        <f t="shared" si="94"/>
        <v>13.650972222222219</v>
      </c>
      <c r="EU36" s="374" t="str">
        <f t="shared" si="77"/>
        <v>(1.27)</v>
      </c>
      <c r="EV36" s="22">
        <v>2</v>
      </c>
      <c r="EW36" s="22">
        <f t="shared" si="78"/>
        <v>2</v>
      </c>
      <c r="EX36" s="22"/>
      <c r="EY36" s="22">
        <f t="shared" si="79"/>
        <v>0</v>
      </c>
      <c r="EZ36" s="22">
        <v>0</v>
      </c>
      <c r="FA36" s="22">
        <f t="shared" si="80"/>
        <v>0</v>
      </c>
      <c r="FB36" s="22">
        <f t="shared" si="81"/>
        <v>2</v>
      </c>
      <c r="FC36" s="23">
        <f t="shared" si="82"/>
        <v>70</v>
      </c>
      <c r="FD36" s="31"/>
      <c r="FE36" s="31"/>
      <c r="FF36" s="32"/>
      <c r="FG36" s="32"/>
      <c r="FH36" s="32"/>
      <c r="FI36" s="32"/>
      <c r="FJ36" s="32"/>
      <c r="FK36" s="32"/>
      <c r="FL36" s="31"/>
      <c r="FM36" s="31"/>
      <c r="FN36" s="31"/>
      <c r="FO36" s="31"/>
      <c r="FP36" s="31"/>
      <c r="FQ36" s="31"/>
      <c r="FR36" s="31"/>
      <c r="FS36" s="31"/>
      <c r="FT36" s="31"/>
      <c r="FU36" s="31"/>
      <c r="FV36" s="31"/>
      <c r="FW36" s="31"/>
      <c r="FX36" s="31"/>
      <c r="FY36" s="31"/>
      <c r="FZ36" s="32"/>
      <c r="GA36" s="32"/>
      <c r="GB36" s="32"/>
      <c r="GC36" s="32"/>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2"/>
      <c r="HE36" s="32"/>
      <c r="HF36" s="32"/>
      <c r="HG36" s="32"/>
      <c r="HH36" s="32"/>
      <c r="HI36" s="32"/>
      <c r="HJ36" s="32"/>
      <c r="HK36" s="32"/>
      <c r="HL36" s="32"/>
      <c r="HM36" s="32"/>
      <c r="HN36" s="32"/>
      <c r="HO36" s="32"/>
      <c r="HP36" s="32"/>
      <c r="HQ36" s="32"/>
      <c r="HR36" s="32"/>
      <c r="HS36" s="32"/>
      <c r="HT36" s="32"/>
      <c r="HU36" s="32"/>
      <c r="HV36" s="31"/>
      <c r="HW36" s="31"/>
      <c r="HX36" s="32"/>
      <c r="HY36" s="32"/>
      <c r="HZ36" s="32"/>
      <c r="IA36" s="32"/>
      <c r="IB36" s="32"/>
      <c r="IC36" s="32"/>
      <c r="ID36" s="33"/>
      <c r="IE36" s="33"/>
      <c r="IF36" s="33"/>
      <c r="IG36" s="25">
        <v>13</v>
      </c>
      <c r="IH36" s="26">
        <v>2.0099999999999998</v>
      </c>
      <c r="II36" s="26">
        <v>2.0099999999999998</v>
      </c>
      <c r="IJ36" s="26">
        <v>1.952</v>
      </c>
      <c r="IK36" s="26">
        <v>1</v>
      </c>
      <c r="IL36" s="26">
        <v>1</v>
      </c>
      <c r="IM36" s="26">
        <v>1.125</v>
      </c>
      <c r="IN36" s="8"/>
    </row>
    <row r="37" spans="1:248" ht="15.75" thickBot="1" x14ac:dyDescent="0.3">
      <c r="B37" s="103">
        <f t="shared" si="15"/>
        <v>120</v>
      </c>
      <c r="C37" s="102">
        <v>20</v>
      </c>
      <c r="D37" s="261"/>
      <c r="E37" s="259"/>
      <c r="F37" s="259"/>
      <c r="G37" s="259"/>
      <c r="H37" s="259"/>
      <c r="I37" s="259"/>
      <c r="J37" s="259"/>
      <c r="K37" s="259"/>
      <c r="L37" s="259"/>
      <c r="M37" s="259"/>
      <c r="N37" s="259"/>
      <c r="O37" s="259"/>
      <c r="P37" s="260"/>
      <c r="Q37" s="260"/>
      <c r="R37" s="259"/>
      <c r="S37" s="259"/>
      <c r="T37" s="259"/>
      <c r="U37" s="259"/>
      <c r="V37" s="259"/>
      <c r="W37" s="64"/>
      <c r="X37" s="65"/>
      <c r="AT37" s="4"/>
      <c r="AU37" s="27">
        <f t="shared" si="95"/>
        <v>102</v>
      </c>
      <c r="AV37" s="28" t="str">
        <f t="shared" si="16"/>
        <v>(2600)</v>
      </c>
      <c r="AW37" s="19">
        <f t="shared" si="83"/>
        <v>15</v>
      </c>
      <c r="AX37" s="202"/>
      <c r="AY37" s="203"/>
      <c r="AZ37" s="204"/>
      <c r="BA37" s="204"/>
      <c r="BB37" s="204"/>
      <c r="BC37" s="204"/>
      <c r="BD37" s="204"/>
      <c r="BE37" s="204"/>
      <c r="BF37" s="204"/>
      <c r="BG37" s="205"/>
      <c r="BH37" s="202"/>
      <c r="BI37" s="203"/>
      <c r="BJ37" s="204"/>
      <c r="BK37" s="204"/>
      <c r="BL37" s="204"/>
      <c r="BM37" s="204"/>
      <c r="BN37" s="204"/>
      <c r="BO37" s="204"/>
      <c r="BP37" s="204"/>
      <c r="BQ37" s="205"/>
      <c r="BR37" s="202"/>
      <c r="BS37" s="203"/>
      <c r="BT37" s="204"/>
      <c r="BU37" s="204"/>
      <c r="BV37" s="204"/>
      <c r="BW37" s="204"/>
      <c r="BX37" s="204"/>
      <c r="BY37" s="204"/>
      <c r="BZ37" s="204"/>
      <c r="CA37" s="205"/>
      <c r="CB37" s="202"/>
      <c r="CC37" s="203"/>
      <c r="CD37" s="204"/>
      <c r="CE37" s="204"/>
      <c r="CF37" s="204"/>
      <c r="CG37" s="204"/>
      <c r="CH37" s="204"/>
      <c r="CI37" s="204"/>
      <c r="CJ37" s="204"/>
      <c r="CK37" s="205"/>
      <c r="CL37" s="202"/>
      <c r="CM37" s="203"/>
      <c r="CN37" s="204"/>
      <c r="CO37" s="204"/>
      <c r="CP37" s="204"/>
      <c r="CQ37" s="204"/>
      <c r="CR37" s="204"/>
      <c r="CS37" s="204"/>
      <c r="CT37" s="204"/>
      <c r="CU37" s="205"/>
      <c r="CV37" s="202"/>
      <c r="CW37" s="203"/>
      <c r="CX37" s="204"/>
      <c r="CY37" s="204"/>
      <c r="CZ37" s="204"/>
      <c r="DA37" s="204"/>
      <c r="DB37" s="204"/>
      <c r="DC37" s="204"/>
      <c r="DD37" s="204"/>
      <c r="DE37" s="205"/>
      <c r="DF37" s="202"/>
      <c r="DG37" s="203"/>
      <c r="DH37" s="204"/>
      <c r="DI37" s="204"/>
      <c r="DJ37" s="204"/>
      <c r="DK37" s="204"/>
      <c r="DL37" s="204"/>
      <c r="DM37" s="204"/>
      <c r="DN37" s="204"/>
      <c r="DO37" s="205"/>
      <c r="DP37" s="202"/>
      <c r="DQ37" s="203"/>
      <c r="DR37" s="204"/>
      <c r="DS37" s="204"/>
      <c r="DT37" s="204"/>
      <c r="DU37" s="204"/>
      <c r="DV37" s="204"/>
      <c r="DW37" s="204"/>
      <c r="DX37" s="204"/>
      <c r="DY37" s="205"/>
      <c r="DZ37" s="202"/>
      <c r="EA37" s="203"/>
      <c r="EB37" s="204"/>
      <c r="EC37" s="204"/>
      <c r="ED37" s="204"/>
      <c r="EE37" s="204"/>
      <c r="EF37" s="204"/>
      <c r="EG37" s="204"/>
      <c r="EH37" s="204"/>
      <c r="EI37" s="205"/>
      <c r="EJ37" s="202"/>
      <c r="EK37" s="203"/>
      <c r="EL37" s="204"/>
      <c r="EM37" s="204"/>
      <c r="EN37" s="204"/>
      <c r="EO37" s="204"/>
      <c r="EP37" s="204"/>
      <c r="EQ37" s="204"/>
      <c r="ER37" s="204"/>
      <c r="ES37" s="205"/>
      <c r="ET37" s="202"/>
      <c r="EU37" s="203"/>
      <c r="EV37" s="204"/>
      <c r="EW37" s="204"/>
      <c r="EX37" s="204"/>
      <c r="EY37" s="204"/>
      <c r="EZ37" s="204"/>
      <c r="FA37" s="204"/>
      <c r="FB37" s="204"/>
      <c r="FC37" s="205"/>
      <c r="FD37" s="31"/>
      <c r="FE37" s="31"/>
      <c r="FF37" s="32"/>
      <c r="FG37" s="32"/>
      <c r="FH37" s="32"/>
      <c r="FI37" s="32"/>
      <c r="FJ37" s="32"/>
      <c r="FK37" s="32"/>
      <c r="FL37" s="31"/>
      <c r="FM37" s="31"/>
      <c r="FN37" s="31"/>
      <c r="FO37" s="31"/>
      <c r="FP37" s="31"/>
      <c r="FQ37" s="31"/>
      <c r="FR37" s="31"/>
      <c r="FS37" s="31"/>
      <c r="FT37" s="31"/>
      <c r="FU37" s="31"/>
      <c r="FV37" s="31"/>
      <c r="FW37" s="31"/>
      <c r="FX37" s="31"/>
      <c r="FY37" s="31"/>
      <c r="FZ37" s="32"/>
      <c r="GA37" s="32"/>
      <c r="GB37" s="32"/>
      <c r="GC37" s="32"/>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2"/>
      <c r="HE37" s="32"/>
      <c r="HF37" s="32"/>
      <c r="HG37" s="32"/>
      <c r="HH37" s="32"/>
      <c r="HI37" s="32"/>
      <c r="HJ37" s="32"/>
      <c r="HK37" s="32"/>
      <c r="HL37" s="32"/>
      <c r="HM37" s="32"/>
      <c r="HN37" s="32"/>
      <c r="HO37" s="32"/>
      <c r="HP37" s="32"/>
      <c r="HQ37" s="32"/>
      <c r="HR37" s="32"/>
      <c r="HS37" s="32"/>
      <c r="HT37" s="32"/>
      <c r="HU37" s="32"/>
      <c r="HV37" s="31"/>
      <c r="HW37" s="31"/>
      <c r="HX37" s="32"/>
      <c r="HY37" s="32"/>
      <c r="HZ37" s="32"/>
      <c r="IA37" s="32"/>
      <c r="IB37" s="32"/>
      <c r="IC37" s="32"/>
      <c r="ID37" s="33"/>
      <c r="IE37" s="33"/>
      <c r="IF37" s="33"/>
      <c r="IG37" s="25">
        <v>14</v>
      </c>
      <c r="IH37" s="26">
        <v>2.0099999999999998</v>
      </c>
      <c r="II37" s="26">
        <v>2.0099999999999998</v>
      </c>
      <c r="IJ37" s="26">
        <v>1.952</v>
      </c>
      <c r="IK37" s="26">
        <v>1</v>
      </c>
      <c r="IL37" s="26">
        <v>1</v>
      </c>
      <c r="IM37" s="26">
        <v>1.125</v>
      </c>
      <c r="IN37" s="8"/>
    </row>
    <row r="38" spans="1:248" ht="15.75" thickBot="1" x14ac:dyDescent="0.3">
      <c r="B38" s="66"/>
      <c r="C38" s="64"/>
      <c r="D38" s="64"/>
      <c r="E38" s="64"/>
      <c r="F38" s="64"/>
      <c r="G38" s="64"/>
      <c r="H38" s="64"/>
      <c r="I38" s="64"/>
      <c r="J38" s="64"/>
      <c r="K38" s="64"/>
      <c r="L38" s="64"/>
      <c r="M38" s="64"/>
      <c r="N38" s="64"/>
      <c r="O38" s="64"/>
      <c r="P38" s="64"/>
      <c r="Q38" s="64"/>
      <c r="R38" s="64"/>
      <c r="S38" s="64"/>
      <c r="T38" s="64"/>
      <c r="U38" s="64"/>
      <c r="V38" s="64"/>
      <c r="W38" s="64"/>
      <c r="X38" s="65"/>
      <c r="AA38" s="83"/>
      <c r="AT38" s="4"/>
      <c r="AU38" s="27">
        <f t="shared" si="95"/>
        <v>108</v>
      </c>
      <c r="AV38" s="28" t="str">
        <f t="shared" si="16"/>
        <v>(2750)</v>
      </c>
      <c r="AW38" s="19">
        <f t="shared" si="83"/>
        <v>16</v>
      </c>
      <c r="AX38" s="202"/>
      <c r="AY38" s="203"/>
      <c r="AZ38" s="204"/>
      <c r="BA38" s="204"/>
      <c r="BB38" s="204"/>
      <c r="BC38" s="204"/>
      <c r="BD38" s="204"/>
      <c r="BE38" s="204"/>
      <c r="BF38" s="204"/>
      <c r="BG38" s="205"/>
      <c r="BH38" s="202"/>
      <c r="BI38" s="203"/>
      <c r="BJ38" s="204"/>
      <c r="BK38" s="204"/>
      <c r="BL38" s="204"/>
      <c r="BM38" s="204"/>
      <c r="BN38" s="204"/>
      <c r="BO38" s="204"/>
      <c r="BP38" s="204"/>
      <c r="BQ38" s="205"/>
      <c r="BR38" s="202"/>
      <c r="BS38" s="203"/>
      <c r="BT38" s="204"/>
      <c r="BU38" s="204"/>
      <c r="BV38" s="204"/>
      <c r="BW38" s="204"/>
      <c r="BX38" s="204"/>
      <c r="BY38" s="204"/>
      <c r="BZ38" s="204"/>
      <c r="CA38" s="205"/>
      <c r="CB38" s="202"/>
      <c r="CC38" s="203"/>
      <c r="CD38" s="204"/>
      <c r="CE38" s="204"/>
      <c r="CF38" s="204"/>
      <c r="CG38" s="204"/>
      <c r="CH38" s="204"/>
      <c r="CI38" s="204"/>
      <c r="CJ38" s="204"/>
      <c r="CK38" s="205"/>
      <c r="CL38" s="202"/>
      <c r="CM38" s="203"/>
      <c r="CN38" s="204"/>
      <c r="CO38" s="204"/>
      <c r="CP38" s="204"/>
      <c r="CQ38" s="204"/>
      <c r="CR38" s="204"/>
      <c r="CS38" s="204"/>
      <c r="CT38" s="204"/>
      <c r="CU38" s="205"/>
      <c r="CV38" s="202"/>
      <c r="CW38" s="203"/>
      <c r="CX38" s="204"/>
      <c r="CY38" s="204"/>
      <c r="CZ38" s="204"/>
      <c r="DA38" s="204"/>
      <c r="DB38" s="204"/>
      <c r="DC38" s="204"/>
      <c r="DD38" s="204"/>
      <c r="DE38" s="205"/>
      <c r="DF38" s="202"/>
      <c r="DG38" s="203"/>
      <c r="DH38" s="204"/>
      <c r="DI38" s="204"/>
      <c r="DJ38" s="204"/>
      <c r="DK38" s="204"/>
      <c r="DL38" s="204"/>
      <c r="DM38" s="204"/>
      <c r="DN38" s="204"/>
      <c r="DO38" s="205"/>
      <c r="DP38" s="202"/>
      <c r="DQ38" s="203"/>
      <c r="DR38" s="204"/>
      <c r="DS38" s="204"/>
      <c r="DT38" s="204"/>
      <c r="DU38" s="204"/>
      <c r="DV38" s="204"/>
      <c r="DW38" s="204"/>
      <c r="DX38" s="204"/>
      <c r="DY38" s="205"/>
      <c r="DZ38" s="202"/>
      <c r="EA38" s="203"/>
      <c r="EB38" s="204"/>
      <c r="EC38" s="204"/>
      <c r="ED38" s="204"/>
      <c r="EE38" s="204"/>
      <c r="EF38" s="204"/>
      <c r="EG38" s="204"/>
      <c r="EH38" s="204"/>
      <c r="EI38" s="205"/>
      <c r="EJ38" s="202"/>
      <c r="EK38" s="203"/>
      <c r="EL38" s="204"/>
      <c r="EM38" s="204"/>
      <c r="EN38" s="204"/>
      <c r="EO38" s="204"/>
      <c r="EP38" s="204"/>
      <c r="EQ38" s="204"/>
      <c r="ER38" s="204"/>
      <c r="ES38" s="205"/>
      <c r="ET38" s="202"/>
      <c r="EU38" s="203"/>
      <c r="EV38" s="204"/>
      <c r="EW38" s="204"/>
      <c r="EX38" s="204"/>
      <c r="EY38" s="204"/>
      <c r="EZ38" s="204"/>
      <c r="FA38" s="204"/>
      <c r="FB38" s="204"/>
      <c r="FC38" s="205"/>
      <c r="FD38" s="31"/>
      <c r="FE38" s="31"/>
      <c r="FF38" s="32"/>
      <c r="FG38" s="32"/>
      <c r="FH38" s="32"/>
      <c r="FI38" s="32"/>
      <c r="FJ38" s="32"/>
      <c r="FK38" s="32"/>
      <c r="FL38" s="31"/>
      <c r="FM38" s="31"/>
      <c r="FN38" s="31"/>
      <c r="FO38" s="31"/>
      <c r="FP38" s="31"/>
      <c r="FQ38" s="31"/>
      <c r="FR38" s="31"/>
      <c r="FS38" s="31"/>
      <c r="FT38" s="31"/>
      <c r="FU38" s="31"/>
      <c r="FV38" s="31"/>
      <c r="FW38" s="31"/>
      <c r="FX38" s="31"/>
      <c r="FY38" s="31"/>
      <c r="FZ38" s="32"/>
      <c r="GA38" s="32"/>
      <c r="GB38" s="32"/>
      <c r="GC38" s="32"/>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2"/>
      <c r="HE38" s="32"/>
      <c r="HF38" s="32"/>
      <c r="HG38" s="32"/>
      <c r="HH38" s="32"/>
      <c r="HI38" s="32"/>
      <c r="HJ38" s="32"/>
      <c r="HK38" s="32"/>
      <c r="HL38" s="32"/>
      <c r="HM38" s="32"/>
      <c r="HN38" s="32"/>
      <c r="HO38" s="32"/>
      <c r="HP38" s="32"/>
      <c r="HQ38" s="32"/>
      <c r="HR38" s="32"/>
      <c r="HS38" s="32"/>
      <c r="HT38" s="32"/>
      <c r="HU38" s="32"/>
      <c r="HV38" s="31"/>
      <c r="HW38" s="31"/>
      <c r="HX38" s="32"/>
      <c r="HY38" s="32"/>
      <c r="HZ38" s="32"/>
      <c r="IA38" s="32"/>
      <c r="IB38" s="32"/>
      <c r="IC38" s="32"/>
      <c r="ID38" s="33"/>
      <c r="IE38" s="33"/>
      <c r="IF38" s="33"/>
      <c r="IG38" s="25">
        <v>15</v>
      </c>
      <c r="IH38" s="26">
        <v>2.0099999999999998</v>
      </c>
      <c r="II38" s="26">
        <v>2.0099999999999998</v>
      </c>
      <c r="IJ38" s="26">
        <v>1.952</v>
      </c>
      <c r="IK38" s="26">
        <v>1</v>
      </c>
      <c r="IL38" s="26">
        <v>1</v>
      </c>
      <c r="IM38" s="26">
        <v>1.125</v>
      </c>
      <c r="IN38" s="8"/>
    </row>
    <row r="39" spans="1:248" ht="15.75" thickBot="1" x14ac:dyDescent="0.3">
      <c r="B39" s="66"/>
      <c r="C39" s="64"/>
      <c r="D39" s="64"/>
      <c r="E39" s="64"/>
      <c r="F39" s="64"/>
      <c r="G39" s="64"/>
      <c r="H39" s="64"/>
      <c r="I39" s="64"/>
      <c r="J39" s="64"/>
      <c r="K39" s="64"/>
      <c r="L39" s="64"/>
      <c r="M39" s="64"/>
      <c r="N39" s="64"/>
      <c r="O39" s="64"/>
      <c r="P39" s="64"/>
      <c r="Q39" s="64"/>
      <c r="R39" s="64"/>
      <c r="S39" s="64"/>
      <c r="T39" s="64"/>
      <c r="U39" s="64"/>
      <c r="V39" s="64"/>
      <c r="W39" s="64"/>
      <c r="X39" s="65"/>
      <c r="AT39" s="4"/>
      <c r="AU39" s="27">
        <f t="shared" si="95"/>
        <v>114</v>
      </c>
      <c r="AV39" s="28" t="str">
        <f t="shared" si="16"/>
        <v>(2900)</v>
      </c>
      <c r="AW39" s="19">
        <f t="shared" si="83"/>
        <v>17</v>
      </c>
      <c r="AX39" s="202"/>
      <c r="AY39" s="203"/>
      <c r="AZ39" s="204"/>
      <c r="BA39" s="204"/>
      <c r="BB39" s="204"/>
      <c r="BC39" s="204"/>
      <c r="BD39" s="204"/>
      <c r="BE39" s="204"/>
      <c r="BF39" s="204"/>
      <c r="BG39" s="205"/>
      <c r="BH39" s="202"/>
      <c r="BI39" s="203"/>
      <c r="BJ39" s="204"/>
      <c r="BK39" s="204"/>
      <c r="BL39" s="204"/>
      <c r="BM39" s="204"/>
      <c r="BN39" s="204"/>
      <c r="BO39" s="204"/>
      <c r="BP39" s="204"/>
      <c r="BQ39" s="205"/>
      <c r="BR39" s="202"/>
      <c r="BS39" s="203"/>
      <c r="BT39" s="204"/>
      <c r="BU39" s="204"/>
      <c r="BV39" s="204"/>
      <c r="BW39" s="204"/>
      <c r="BX39" s="204"/>
      <c r="BY39" s="204"/>
      <c r="BZ39" s="204"/>
      <c r="CA39" s="205"/>
      <c r="CB39" s="202"/>
      <c r="CC39" s="203"/>
      <c r="CD39" s="204"/>
      <c r="CE39" s="204"/>
      <c r="CF39" s="204"/>
      <c r="CG39" s="204"/>
      <c r="CH39" s="204"/>
      <c r="CI39" s="204"/>
      <c r="CJ39" s="204"/>
      <c r="CK39" s="205"/>
      <c r="CL39" s="202"/>
      <c r="CM39" s="203"/>
      <c r="CN39" s="204"/>
      <c r="CO39" s="204"/>
      <c r="CP39" s="204"/>
      <c r="CQ39" s="204"/>
      <c r="CR39" s="204"/>
      <c r="CS39" s="204"/>
      <c r="CT39" s="204"/>
      <c r="CU39" s="205"/>
      <c r="CV39" s="202"/>
      <c r="CW39" s="203"/>
      <c r="CX39" s="204"/>
      <c r="CY39" s="204"/>
      <c r="CZ39" s="204"/>
      <c r="DA39" s="204"/>
      <c r="DB39" s="204"/>
      <c r="DC39" s="204"/>
      <c r="DD39" s="204"/>
      <c r="DE39" s="205"/>
      <c r="DF39" s="202"/>
      <c r="DG39" s="203"/>
      <c r="DH39" s="204"/>
      <c r="DI39" s="204"/>
      <c r="DJ39" s="204"/>
      <c r="DK39" s="204"/>
      <c r="DL39" s="204"/>
      <c r="DM39" s="204"/>
      <c r="DN39" s="204"/>
      <c r="DO39" s="205"/>
      <c r="DP39" s="202"/>
      <c r="DQ39" s="203"/>
      <c r="DR39" s="204"/>
      <c r="DS39" s="204"/>
      <c r="DT39" s="204"/>
      <c r="DU39" s="204"/>
      <c r="DV39" s="204"/>
      <c r="DW39" s="204"/>
      <c r="DX39" s="204"/>
      <c r="DY39" s="205"/>
      <c r="DZ39" s="202"/>
      <c r="EA39" s="203"/>
      <c r="EB39" s="204"/>
      <c r="EC39" s="204"/>
      <c r="ED39" s="204"/>
      <c r="EE39" s="204"/>
      <c r="EF39" s="204"/>
      <c r="EG39" s="204"/>
      <c r="EH39" s="204"/>
      <c r="EI39" s="205"/>
      <c r="EJ39" s="202"/>
      <c r="EK39" s="203"/>
      <c r="EL39" s="204"/>
      <c r="EM39" s="204"/>
      <c r="EN39" s="204"/>
      <c r="EO39" s="204"/>
      <c r="EP39" s="204"/>
      <c r="EQ39" s="204"/>
      <c r="ER39" s="204"/>
      <c r="ES39" s="205"/>
      <c r="ET39" s="202"/>
      <c r="EU39" s="203"/>
      <c r="EV39" s="204"/>
      <c r="EW39" s="204"/>
      <c r="EX39" s="204"/>
      <c r="EY39" s="204"/>
      <c r="EZ39" s="204"/>
      <c r="FA39" s="204"/>
      <c r="FB39" s="204"/>
      <c r="FC39" s="205"/>
      <c r="FD39" s="31"/>
      <c r="FE39" s="31"/>
      <c r="FF39" s="32"/>
      <c r="FG39" s="32"/>
      <c r="FH39" s="32"/>
      <c r="FI39" s="32"/>
      <c r="FJ39" s="32"/>
      <c r="FK39" s="32"/>
      <c r="FL39" s="6"/>
      <c r="FM39" s="6"/>
      <c r="FN39" s="6"/>
      <c r="FO39" s="6"/>
      <c r="FP39" s="6"/>
      <c r="FQ39" s="6"/>
      <c r="FR39" s="6"/>
      <c r="FS39" s="6"/>
      <c r="FT39" s="6"/>
      <c r="FU39" s="6"/>
      <c r="FV39" s="6"/>
      <c r="FW39" s="6"/>
      <c r="FX39" s="31"/>
      <c r="FY39" s="31"/>
      <c r="FZ39" s="32"/>
      <c r="GA39" s="32"/>
      <c r="GB39" s="32"/>
      <c r="GC39" s="32"/>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2"/>
      <c r="HE39" s="32"/>
      <c r="HF39" s="32"/>
      <c r="HG39" s="32"/>
      <c r="HH39" s="32"/>
      <c r="HI39" s="32"/>
      <c r="HJ39" s="32"/>
      <c r="HK39" s="32"/>
      <c r="HL39" s="32"/>
      <c r="HM39" s="32"/>
      <c r="HN39" s="32"/>
      <c r="HO39" s="32"/>
      <c r="HP39" s="32"/>
      <c r="HQ39" s="32"/>
      <c r="HR39" s="32"/>
      <c r="HS39" s="32"/>
      <c r="HT39" s="32"/>
      <c r="HU39" s="32"/>
      <c r="HV39" s="31"/>
      <c r="HW39" s="31"/>
      <c r="HX39" s="32"/>
      <c r="HY39" s="32"/>
      <c r="HZ39" s="32"/>
      <c r="IA39" s="32"/>
      <c r="IB39" s="32"/>
      <c r="IC39" s="32"/>
      <c r="ID39" s="33"/>
      <c r="IE39" s="33"/>
      <c r="IF39" s="33"/>
      <c r="IG39" s="25">
        <v>16</v>
      </c>
      <c r="IH39" s="26">
        <v>2.0099999999999998</v>
      </c>
      <c r="II39" s="26">
        <v>2.0099999999999998</v>
      </c>
      <c r="IJ39" s="26">
        <v>1.952</v>
      </c>
      <c r="IK39" s="26">
        <v>1</v>
      </c>
      <c r="IL39" s="26">
        <v>1</v>
      </c>
      <c r="IM39" s="26">
        <v>1.125</v>
      </c>
      <c r="IN39" s="8"/>
    </row>
    <row r="40" spans="1:248" ht="15.75" thickBot="1" x14ac:dyDescent="0.3">
      <c r="B40" s="67"/>
      <c r="C40" s="68"/>
      <c r="D40" s="68"/>
      <c r="E40" s="68"/>
      <c r="F40" s="68"/>
      <c r="G40" s="68"/>
      <c r="H40" s="68"/>
      <c r="I40" s="68"/>
      <c r="J40" s="68"/>
      <c r="K40" s="68"/>
      <c r="L40" s="68"/>
      <c r="M40" s="68"/>
      <c r="N40" s="68"/>
      <c r="O40" s="68"/>
      <c r="P40" s="68"/>
      <c r="Q40" s="68"/>
      <c r="R40" s="68"/>
      <c r="S40" s="68"/>
      <c r="T40" s="68"/>
      <c r="U40" s="68"/>
      <c r="V40" s="68"/>
      <c r="W40" s="68"/>
      <c r="X40" s="69"/>
      <c r="AT40" s="4"/>
      <c r="AU40" s="27">
        <f t="shared" si="95"/>
        <v>120</v>
      </c>
      <c r="AV40" s="28" t="str">
        <f t="shared" si="16"/>
        <v>(3050)</v>
      </c>
      <c r="AW40" s="19">
        <f t="shared" si="83"/>
        <v>18</v>
      </c>
      <c r="AX40" s="202"/>
      <c r="AY40" s="203"/>
      <c r="AZ40" s="204"/>
      <c r="BA40" s="204"/>
      <c r="BB40" s="204"/>
      <c r="BC40" s="204"/>
      <c r="BD40" s="204"/>
      <c r="BE40" s="204"/>
      <c r="BF40" s="204"/>
      <c r="BG40" s="205"/>
      <c r="BH40" s="202"/>
      <c r="BI40" s="203"/>
      <c r="BJ40" s="204"/>
      <c r="BK40" s="204"/>
      <c r="BL40" s="204"/>
      <c r="BM40" s="204"/>
      <c r="BN40" s="204"/>
      <c r="BO40" s="204"/>
      <c r="BP40" s="204"/>
      <c r="BQ40" s="205"/>
      <c r="BR40" s="202"/>
      <c r="BS40" s="203"/>
      <c r="BT40" s="204"/>
      <c r="BU40" s="204"/>
      <c r="BV40" s="204"/>
      <c r="BW40" s="204"/>
      <c r="BX40" s="204"/>
      <c r="BY40" s="204"/>
      <c r="BZ40" s="204"/>
      <c r="CA40" s="205"/>
      <c r="CB40" s="202"/>
      <c r="CC40" s="203"/>
      <c r="CD40" s="204"/>
      <c r="CE40" s="204"/>
      <c r="CF40" s="204"/>
      <c r="CG40" s="204"/>
      <c r="CH40" s="204"/>
      <c r="CI40" s="204"/>
      <c r="CJ40" s="204"/>
      <c r="CK40" s="205"/>
      <c r="CL40" s="202"/>
      <c r="CM40" s="203"/>
      <c r="CN40" s="204"/>
      <c r="CO40" s="204"/>
      <c r="CP40" s="204"/>
      <c r="CQ40" s="204"/>
      <c r="CR40" s="204"/>
      <c r="CS40" s="204"/>
      <c r="CT40" s="204"/>
      <c r="CU40" s="205"/>
      <c r="CV40" s="202"/>
      <c r="CW40" s="203"/>
      <c r="CX40" s="204"/>
      <c r="CY40" s="204"/>
      <c r="CZ40" s="204"/>
      <c r="DA40" s="204"/>
      <c r="DB40" s="204"/>
      <c r="DC40" s="204"/>
      <c r="DD40" s="204"/>
      <c r="DE40" s="205"/>
      <c r="DF40" s="202"/>
      <c r="DG40" s="203"/>
      <c r="DH40" s="204"/>
      <c r="DI40" s="204"/>
      <c r="DJ40" s="204"/>
      <c r="DK40" s="204"/>
      <c r="DL40" s="204"/>
      <c r="DM40" s="204"/>
      <c r="DN40" s="204"/>
      <c r="DO40" s="205"/>
      <c r="DP40" s="202"/>
      <c r="DQ40" s="203"/>
      <c r="DR40" s="204"/>
      <c r="DS40" s="204"/>
      <c r="DT40" s="204"/>
      <c r="DU40" s="204"/>
      <c r="DV40" s="204"/>
      <c r="DW40" s="204"/>
      <c r="DX40" s="204"/>
      <c r="DY40" s="205"/>
      <c r="DZ40" s="202"/>
      <c r="EA40" s="203"/>
      <c r="EB40" s="204"/>
      <c r="EC40" s="204"/>
      <c r="ED40" s="204"/>
      <c r="EE40" s="204"/>
      <c r="EF40" s="204"/>
      <c r="EG40" s="204"/>
      <c r="EH40" s="204"/>
      <c r="EI40" s="205"/>
      <c r="EJ40" s="202"/>
      <c r="EK40" s="203"/>
      <c r="EL40" s="204"/>
      <c r="EM40" s="204"/>
      <c r="EN40" s="204"/>
      <c r="EO40" s="204"/>
      <c r="EP40" s="204"/>
      <c r="EQ40" s="204"/>
      <c r="ER40" s="204"/>
      <c r="ES40" s="205"/>
      <c r="ET40" s="202"/>
      <c r="EU40" s="203"/>
      <c r="EV40" s="204"/>
      <c r="EW40" s="204"/>
      <c r="EX40" s="204"/>
      <c r="EY40" s="204"/>
      <c r="EZ40" s="204"/>
      <c r="FA40" s="204"/>
      <c r="FB40" s="204"/>
      <c r="FC40" s="205"/>
      <c r="FD40" s="31"/>
      <c r="FE40" s="31"/>
      <c r="FF40" s="32"/>
      <c r="FG40" s="32"/>
      <c r="FH40" s="34"/>
      <c r="FI40" s="32"/>
      <c r="FJ40" s="34"/>
      <c r="FK40" s="32"/>
      <c r="FL40" s="31"/>
      <c r="FM40" s="31"/>
      <c r="FN40" s="31"/>
      <c r="FO40" s="31"/>
      <c r="FP40" s="31"/>
      <c r="FQ40" s="31"/>
      <c r="FR40" s="31"/>
      <c r="FS40" s="31"/>
      <c r="FT40" s="31"/>
      <c r="FU40" s="31"/>
      <c r="FV40" s="31"/>
      <c r="FW40" s="31"/>
      <c r="FX40" s="31"/>
      <c r="FY40" s="31"/>
      <c r="FZ40" s="32"/>
      <c r="GA40" s="32"/>
      <c r="GB40" s="34"/>
      <c r="GC40" s="32"/>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2"/>
      <c r="HE40" s="32"/>
      <c r="HF40" s="34"/>
      <c r="HG40" s="32"/>
      <c r="HH40" s="32"/>
      <c r="HI40" s="32"/>
      <c r="HJ40" s="32"/>
      <c r="HK40" s="32"/>
      <c r="HL40" s="32"/>
      <c r="HM40" s="32"/>
      <c r="HN40" s="32"/>
      <c r="HO40" s="32"/>
      <c r="HP40" s="32"/>
      <c r="HQ40" s="32"/>
      <c r="HR40" s="32"/>
      <c r="HS40" s="32"/>
      <c r="HT40" s="32"/>
      <c r="HU40" s="32"/>
      <c r="HV40" s="31"/>
      <c r="HW40" s="31"/>
      <c r="HX40" s="32"/>
      <c r="HY40" s="32"/>
      <c r="HZ40" s="34"/>
      <c r="IA40" s="32"/>
      <c r="IB40" s="32"/>
      <c r="IC40" s="32"/>
      <c r="ID40" s="33"/>
      <c r="IE40" s="33"/>
      <c r="IF40" s="33"/>
      <c r="IG40" s="25">
        <v>17</v>
      </c>
      <c r="IH40" s="26">
        <v>2.0099999999999998</v>
      </c>
      <c r="II40" s="26">
        <v>2.0099999999999998</v>
      </c>
      <c r="IJ40" s="26">
        <v>1.952</v>
      </c>
      <c r="IK40" s="26">
        <v>1</v>
      </c>
      <c r="IL40" s="26">
        <v>1</v>
      </c>
      <c r="IM40" s="26">
        <v>1.125</v>
      </c>
      <c r="IN40" s="8"/>
    </row>
    <row r="41" spans="1:248" ht="15.75" thickBot="1" x14ac:dyDescent="0.3">
      <c r="AT41" s="35"/>
      <c r="AU41" s="36"/>
      <c r="AV41" s="36"/>
      <c r="AW41" s="360"/>
      <c r="AX41" s="350"/>
      <c r="AY41" s="340"/>
      <c r="AZ41" s="340"/>
      <c r="BA41" s="340"/>
      <c r="BB41" s="340"/>
      <c r="BC41" s="340"/>
      <c r="BD41" s="340"/>
      <c r="BE41" s="340"/>
      <c r="BF41" s="340"/>
      <c r="BG41" s="340"/>
      <c r="BH41" s="350"/>
      <c r="BI41" s="340"/>
      <c r="BJ41" s="340"/>
      <c r="BK41" s="340"/>
      <c r="BL41" s="340"/>
      <c r="BM41" s="340"/>
      <c r="BN41" s="340"/>
      <c r="BO41" s="38"/>
      <c r="BP41" s="38"/>
      <c r="BQ41" s="38"/>
      <c r="BR41" s="37"/>
      <c r="BS41" s="38"/>
      <c r="BT41" s="38"/>
      <c r="BU41" s="38"/>
      <c r="BV41" s="38"/>
      <c r="BW41" s="38"/>
      <c r="BX41" s="38"/>
      <c r="BY41" s="38"/>
      <c r="BZ41" s="38"/>
      <c r="CA41" s="38"/>
      <c r="CB41" s="37"/>
      <c r="CC41" s="38"/>
      <c r="CD41" s="38"/>
      <c r="CE41" s="38"/>
      <c r="CF41" s="38"/>
      <c r="CG41" s="38"/>
      <c r="CH41" s="38"/>
      <c r="CI41" s="38"/>
      <c r="CJ41" s="38"/>
      <c r="CK41" s="38"/>
      <c r="CL41" s="37"/>
      <c r="CM41" s="38"/>
      <c r="CN41" s="38"/>
      <c r="CO41" s="38"/>
      <c r="CP41" s="38"/>
      <c r="CQ41" s="38"/>
      <c r="CR41" s="38"/>
      <c r="CS41" s="38"/>
      <c r="CT41" s="38"/>
      <c r="CU41" s="38"/>
      <c r="CV41" s="37"/>
      <c r="CW41" s="38"/>
      <c r="CX41" s="38"/>
      <c r="CY41" s="38"/>
      <c r="CZ41" s="38"/>
      <c r="DA41" s="38"/>
      <c r="DB41" s="38"/>
      <c r="DC41" s="38"/>
      <c r="DD41" s="38"/>
      <c r="DE41" s="38"/>
      <c r="DF41" s="37"/>
      <c r="DG41" s="38"/>
      <c r="DH41" s="38"/>
      <c r="DI41" s="38"/>
      <c r="DJ41" s="38"/>
      <c r="DK41" s="38"/>
      <c r="DL41" s="38"/>
      <c r="DM41" s="38"/>
      <c r="DN41" s="38"/>
      <c r="DO41" s="38"/>
      <c r="DP41" s="37"/>
      <c r="DQ41" s="38"/>
      <c r="DR41" s="38"/>
      <c r="DS41" s="38"/>
      <c r="DT41" s="38"/>
      <c r="DU41" s="38"/>
      <c r="DV41" s="38"/>
      <c r="DW41" s="38"/>
      <c r="DX41" s="38"/>
      <c r="DY41" s="38"/>
      <c r="DZ41" s="37"/>
      <c r="EA41" s="38"/>
      <c r="EB41" s="38"/>
      <c r="EC41" s="38"/>
      <c r="ED41" s="38"/>
      <c r="EE41" s="38"/>
      <c r="EF41" s="38"/>
      <c r="EG41" s="38"/>
      <c r="EH41" s="38"/>
      <c r="EI41" s="38"/>
      <c r="EJ41" s="37"/>
      <c r="EK41" s="38"/>
      <c r="EL41" s="38"/>
      <c r="EM41" s="38"/>
      <c r="EN41" s="38"/>
      <c r="EO41" s="38"/>
      <c r="EP41" s="38"/>
      <c r="EQ41" s="38"/>
      <c r="ER41" s="38"/>
      <c r="ES41" s="38"/>
      <c r="ET41" s="37"/>
      <c r="EU41" s="38"/>
      <c r="EV41" s="38"/>
      <c r="EW41" s="38"/>
      <c r="EX41" s="38"/>
      <c r="EY41" s="38"/>
      <c r="EZ41" s="38"/>
      <c r="FA41" s="38"/>
      <c r="FB41" s="38"/>
      <c r="FC41" s="38"/>
      <c r="FD41" s="37"/>
      <c r="FE41" s="38"/>
      <c r="FF41" s="38"/>
      <c r="FG41" s="38"/>
      <c r="FH41" s="38"/>
      <c r="FI41" s="38"/>
      <c r="FJ41" s="38"/>
      <c r="FK41" s="38"/>
      <c r="FL41" s="268"/>
      <c r="FM41" s="268"/>
      <c r="FN41" s="268"/>
      <c r="FO41" s="268"/>
      <c r="FP41" s="268"/>
      <c r="FQ41" s="268"/>
      <c r="FR41" s="268"/>
      <c r="FS41" s="268"/>
      <c r="FT41" s="268"/>
      <c r="FU41" s="268"/>
      <c r="FV41" s="268"/>
      <c r="FW41" s="268"/>
      <c r="FX41" s="37"/>
      <c r="FY41" s="38"/>
      <c r="FZ41" s="38"/>
      <c r="GA41" s="38"/>
      <c r="GB41" s="38"/>
      <c r="GC41" s="3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37"/>
      <c r="HC41" s="38"/>
      <c r="HD41" s="38"/>
      <c r="HE41" s="38"/>
      <c r="HF41" s="38"/>
      <c r="HG41" s="38"/>
      <c r="HH41" s="38"/>
      <c r="HI41" s="38"/>
      <c r="HJ41" s="269"/>
      <c r="HK41" s="269"/>
      <c r="HL41" s="269"/>
      <c r="HM41" s="269"/>
      <c r="HN41" s="269"/>
      <c r="HO41" s="269"/>
      <c r="HP41" s="269"/>
      <c r="HQ41" s="269"/>
      <c r="HR41" s="269"/>
      <c r="HS41" s="269"/>
      <c r="HT41" s="269"/>
      <c r="HU41" s="269"/>
      <c r="HV41" s="37"/>
      <c r="HW41" s="38"/>
      <c r="HX41" s="38"/>
      <c r="HY41" s="38"/>
      <c r="HZ41" s="38"/>
      <c r="IA41" s="38"/>
      <c r="IB41" s="38"/>
      <c r="IC41" s="38"/>
      <c r="ID41" s="36"/>
      <c r="IE41" s="36"/>
      <c r="IF41" s="351"/>
      <c r="IG41" s="36"/>
      <c r="IH41" s="36"/>
      <c r="II41" s="36"/>
      <c r="IJ41" s="36"/>
      <c r="IK41" s="36"/>
      <c r="IL41" s="36"/>
      <c r="IM41" s="36"/>
      <c r="IN41" s="39"/>
    </row>
    <row r="42" spans="1:248" ht="15.75" thickTop="1" x14ac:dyDescent="0.25">
      <c r="AG42" s="178"/>
    </row>
    <row r="43" spans="1:248" ht="15.75" thickBot="1" x14ac:dyDescent="0.3"/>
    <row r="44" spans="1:248" ht="24" thickBot="1" x14ac:dyDescent="0.4">
      <c r="A44" s="3"/>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1"/>
      <c r="CR44" s="74"/>
    </row>
    <row r="45" spans="1:248" ht="19.5" thickBot="1" x14ac:dyDescent="0.35">
      <c r="A45" s="3"/>
      <c r="B45" s="320" t="s">
        <v>41</v>
      </c>
      <c r="C45" s="147" t="e">
        <f>C9</f>
        <v>#VALUE!</v>
      </c>
      <c r="D45" s="73"/>
      <c r="E45" s="73"/>
      <c r="F45" s="73"/>
      <c r="G45" s="73"/>
      <c r="H45" s="73"/>
      <c r="I45" s="73"/>
      <c r="J45" s="73"/>
      <c r="K45" s="73"/>
      <c r="L45" s="273"/>
      <c r="N45" s="879" t="s">
        <v>191</v>
      </c>
      <c r="O45" s="151"/>
      <c r="P45" s="95"/>
      <c r="Q45" s="251">
        <v>12</v>
      </c>
      <c r="R45" s="157">
        <f t="shared" ref="R45:AI45" si="98">Q45+6</f>
        <v>18</v>
      </c>
      <c r="S45" s="157">
        <f t="shared" si="98"/>
        <v>24</v>
      </c>
      <c r="T45" s="157">
        <f t="shared" si="98"/>
        <v>30</v>
      </c>
      <c r="U45" s="157">
        <f t="shared" si="98"/>
        <v>36</v>
      </c>
      <c r="V45" s="157">
        <f t="shared" si="98"/>
        <v>42</v>
      </c>
      <c r="W45" s="157">
        <f t="shared" si="98"/>
        <v>48</v>
      </c>
      <c r="X45" s="157">
        <f t="shared" si="98"/>
        <v>54</v>
      </c>
      <c r="Y45" s="157">
        <f t="shared" si="98"/>
        <v>60</v>
      </c>
      <c r="Z45" s="157">
        <f t="shared" si="98"/>
        <v>66</v>
      </c>
      <c r="AA45" s="157">
        <f t="shared" si="98"/>
        <v>72</v>
      </c>
      <c r="AB45" s="157">
        <f t="shared" si="98"/>
        <v>78</v>
      </c>
      <c r="AC45" s="157">
        <f t="shared" si="98"/>
        <v>84</v>
      </c>
      <c r="AD45" s="157">
        <f t="shared" si="98"/>
        <v>90</v>
      </c>
      <c r="AE45" s="157">
        <f t="shared" si="98"/>
        <v>96</v>
      </c>
      <c r="AF45" s="157">
        <f t="shared" si="98"/>
        <v>102</v>
      </c>
      <c r="AG45" s="157">
        <f t="shared" si="98"/>
        <v>108</v>
      </c>
      <c r="AH45" s="157">
        <f t="shared" si="98"/>
        <v>114</v>
      </c>
      <c r="AI45" s="157">
        <f t="shared" si="98"/>
        <v>120</v>
      </c>
      <c r="AJ45" s="150"/>
      <c r="AK45" s="150"/>
      <c r="AL45" s="150"/>
      <c r="AM45" s="150"/>
      <c r="AN45" s="150"/>
      <c r="AO45" s="150"/>
      <c r="AP45" s="158"/>
    </row>
    <row r="46" spans="1:248" ht="18.75" customHeight="1" thickBot="1" x14ac:dyDescent="0.35">
      <c r="A46" s="3"/>
      <c r="B46" s="110" t="s">
        <v>42</v>
      </c>
      <c r="C46" s="148" t="e">
        <f>F9</f>
        <v>#VALUE!</v>
      </c>
      <c r="E46" s="71"/>
      <c r="F46" s="71"/>
      <c r="G46" s="71"/>
      <c r="H46" s="71"/>
      <c r="I46" s="71"/>
      <c r="J46" s="71"/>
      <c r="K46" s="71"/>
      <c r="L46" s="75"/>
      <c r="N46" s="880"/>
      <c r="O46" s="67"/>
      <c r="P46" s="300">
        <v>1</v>
      </c>
      <c r="Q46" s="357">
        <v>2</v>
      </c>
      <c r="R46" s="358">
        <v>3</v>
      </c>
      <c r="S46" s="358">
        <v>4</v>
      </c>
      <c r="T46" s="358">
        <v>5</v>
      </c>
      <c r="U46" s="358">
        <v>6</v>
      </c>
      <c r="V46" s="358">
        <v>7</v>
      </c>
      <c r="W46" s="358">
        <v>8</v>
      </c>
      <c r="X46" s="358">
        <v>9</v>
      </c>
      <c r="Y46" s="358">
        <v>10</v>
      </c>
      <c r="Z46" s="358">
        <v>11</v>
      </c>
      <c r="AA46" s="358">
        <v>12</v>
      </c>
      <c r="AB46" s="358">
        <v>13</v>
      </c>
      <c r="AC46" s="358">
        <v>14</v>
      </c>
      <c r="AD46" s="358">
        <v>15</v>
      </c>
      <c r="AE46" s="358">
        <v>16</v>
      </c>
      <c r="AF46" s="358">
        <v>17</v>
      </c>
      <c r="AG46" s="358">
        <v>18</v>
      </c>
      <c r="AH46" s="358">
        <v>19</v>
      </c>
      <c r="AI46" s="358">
        <v>20</v>
      </c>
      <c r="AJ46" s="68"/>
      <c r="AK46" s="68"/>
      <c r="AL46" s="68"/>
      <c r="AM46" s="68"/>
      <c r="AN46" s="68"/>
      <c r="AO46" s="68"/>
      <c r="AP46" s="69"/>
    </row>
    <row r="47" spans="1:248" ht="21.75" thickBot="1" x14ac:dyDescent="0.4">
      <c r="A47" s="3"/>
      <c r="B47" s="271" t="s">
        <v>77</v>
      </c>
      <c r="C47" s="362"/>
      <c r="D47" s="71"/>
      <c r="E47" s="71"/>
      <c r="F47" s="71"/>
      <c r="G47" s="71"/>
      <c r="H47" s="71"/>
      <c r="I47" s="71"/>
      <c r="J47" s="71"/>
      <c r="K47" s="71"/>
      <c r="L47" s="75"/>
      <c r="N47" s="297"/>
      <c r="O47" s="251"/>
      <c r="P47" s="301">
        <v>2</v>
      </c>
      <c r="Q47" s="363"/>
      <c r="R47" s="338"/>
      <c r="S47" s="338"/>
      <c r="T47" s="338"/>
      <c r="U47" s="338"/>
      <c r="V47" s="338"/>
      <c r="W47" s="338"/>
      <c r="X47" s="338"/>
      <c r="Y47" s="338"/>
      <c r="Z47" s="338"/>
      <c r="AA47" s="338"/>
      <c r="AB47" s="338"/>
      <c r="AC47" s="338"/>
      <c r="AD47" s="338"/>
      <c r="AE47" s="338"/>
      <c r="AF47" s="338"/>
      <c r="AG47" s="338"/>
      <c r="AH47" s="338"/>
      <c r="AI47" s="338"/>
      <c r="AJ47" s="150"/>
      <c r="AK47" s="64"/>
      <c r="AL47" s="64"/>
      <c r="AM47" s="64"/>
      <c r="AN47" s="64"/>
      <c r="AO47" s="64"/>
      <c r="AP47" s="158"/>
    </row>
    <row r="48" spans="1:248" ht="15" customHeight="1" thickBot="1" x14ac:dyDescent="0.3">
      <c r="A48" s="3"/>
      <c r="B48" s="70"/>
      <c r="D48" s="71"/>
      <c r="E48" s="71"/>
      <c r="F48" s="71"/>
      <c r="G48" s="71"/>
      <c r="H48" s="71"/>
      <c r="I48" s="71"/>
      <c r="J48" s="71"/>
      <c r="K48" s="71"/>
      <c r="L48" s="75"/>
      <c r="N48" s="103"/>
      <c r="O48" s="162">
        <f>F12</f>
        <v>20.75</v>
      </c>
      <c r="P48" s="302">
        <v>3</v>
      </c>
      <c r="Q48" s="336">
        <v>12.73</v>
      </c>
      <c r="R48" s="153">
        <v>17.54</v>
      </c>
      <c r="S48" s="153">
        <v>22.35</v>
      </c>
      <c r="T48" s="153">
        <v>27.16</v>
      </c>
      <c r="U48" s="153">
        <v>31.97</v>
      </c>
      <c r="V48" s="153">
        <v>36.78</v>
      </c>
      <c r="W48" s="153">
        <v>41.59</v>
      </c>
      <c r="X48" s="153">
        <v>46.4</v>
      </c>
      <c r="Y48" s="153">
        <v>51.21</v>
      </c>
      <c r="Z48" s="153">
        <v>56.02</v>
      </c>
      <c r="AA48" s="153">
        <v>60.83</v>
      </c>
      <c r="AB48" s="206"/>
      <c r="AC48" s="206"/>
      <c r="AD48" s="206"/>
      <c r="AE48" s="206"/>
      <c r="AF48" s="206"/>
      <c r="AG48" s="206"/>
      <c r="AH48" s="206"/>
      <c r="AI48" s="206"/>
      <c r="AJ48" s="96"/>
      <c r="AK48" s="355"/>
      <c r="AL48" s="355" t="e">
        <f>D51</f>
        <v>#VALUE!</v>
      </c>
      <c r="AM48" s="356" t="e">
        <f>C45</f>
        <v>#VALUE!</v>
      </c>
      <c r="AN48" s="355" t="e">
        <f>E51</f>
        <v>#VALUE!</v>
      </c>
      <c r="AO48" s="64"/>
      <c r="AP48" s="65"/>
      <c r="BZ48" s="83"/>
      <c r="CA48" s="83"/>
      <c r="CB48" s="83"/>
      <c r="CC48" s="83"/>
      <c r="CD48" s="83"/>
      <c r="CE48" s="83"/>
      <c r="CF48" s="83"/>
      <c r="CG48" s="83"/>
    </row>
    <row r="49" spans="1:85" ht="15" customHeight="1" thickBot="1" x14ac:dyDescent="0.3">
      <c r="A49" s="3"/>
      <c r="B49" s="70"/>
      <c r="C49" s="124"/>
      <c r="D49" s="125" t="s">
        <v>35</v>
      </c>
      <c r="E49" s="126"/>
      <c r="F49" s="126"/>
      <c r="G49" s="128"/>
      <c r="H49" s="125" t="s">
        <v>36</v>
      </c>
      <c r="I49" s="127"/>
      <c r="J49" s="71"/>
      <c r="K49" s="71"/>
      <c r="L49" s="75"/>
      <c r="N49" s="103">
        <v>4.91</v>
      </c>
      <c r="O49" s="162">
        <v>24</v>
      </c>
      <c r="P49" s="302">
        <v>4</v>
      </c>
      <c r="Q49" s="336">
        <v>13.71</v>
      </c>
      <c r="R49" s="153">
        <v>18.62</v>
      </c>
      <c r="S49" s="153">
        <f t="shared" ref="S49:AA49" si="99">R49+$N49</f>
        <v>23.53</v>
      </c>
      <c r="T49" s="153">
        <f t="shared" si="99"/>
        <v>28.44</v>
      </c>
      <c r="U49" s="153">
        <f t="shared" si="99"/>
        <v>33.35</v>
      </c>
      <c r="V49" s="153">
        <f t="shared" si="99"/>
        <v>38.260000000000005</v>
      </c>
      <c r="W49" s="153">
        <f t="shared" si="99"/>
        <v>43.17</v>
      </c>
      <c r="X49" s="153">
        <f t="shared" si="99"/>
        <v>48.08</v>
      </c>
      <c r="Y49" s="153">
        <f t="shared" si="99"/>
        <v>52.989999999999995</v>
      </c>
      <c r="Z49" s="153">
        <f t="shared" si="99"/>
        <v>57.899999999999991</v>
      </c>
      <c r="AA49" s="153">
        <f t="shared" si="99"/>
        <v>62.809999999999988</v>
      </c>
      <c r="AB49" s="206"/>
      <c r="AC49" s="206"/>
      <c r="AD49" s="206"/>
      <c r="AE49" s="206"/>
      <c r="AF49" s="206"/>
      <c r="AG49" s="206"/>
      <c r="AH49" s="206"/>
      <c r="AI49" s="206"/>
      <c r="AJ49" s="64"/>
      <c r="AK49" s="154" t="e">
        <f>H51</f>
        <v>#VALUE!</v>
      </c>
      <c r="AL49" s="155" t="e">
        <f>INDEX(P46:AI65,$H$52,$D$52)</f>
        <v>#VALUE!</v>
      </c>
      <c r="AM49" s="155" t="e">
        <f>(((AM48-AL48)/(AN48-AL48))*(AN49-AL49))+AL49</f>
        <v>#VALUE!</v>
      </c>
      <c r="AN49" s="155" t="e">
        <f>INDEX(P46:AI65,$H$52,$E$52)</f>
        <v>#VALUE!</v>
      </c>
      <c r="AO49" s="64"/>
      <c r="AP49" s="65"/>
      <c r="BZ49" s="83"/>
      <c r="CA49" s="83"/>
      <c r="CB49" s="83"/>
      <c r="CC49" s="83"/>
      <c r="CD49" s="83"/>
      <c r="CE49" s="83"/>
      <c r="CF49" s="83"/>
      <c r="CG49" s="83"/>
    </row>
    <row r="50" spans="1:85" ht="16.5" thickBot="1" x14ac:dyDescent="0.3">
      <c r="A50" s="3"/>
      <c r="B50" s="70"/>
      <c r="C50" s="120"/>
      <c r="D50" s="121" t="s">
        <v>78</v>
      </c>
      <c r="E50" s="122" t="s">
        <v>79</v>
      </c>
      <c r="F50" s="122"/>
      <c r="G50" s="129"/>
      <c r="H50" s="121" t="s">
        <v>78</v>
      </c>
      <c r="I50" s="123" t="s">
        <v>79</v>
      </c>
      <c r="J50" s="71"/>
      <c r="K50" s="71"/>
      <c r="L50" s="75"/>
      <c r="N50" s="103">
        <v>6.3300000000000018</v>
      </c>
      <c r="O50" s="162">
        <f t="shared" ref="O50:O65" si="100">O49+6</f>
        <v>30</v>
      </c>
      <c r="P50" s="302">
        <v>5</v>
      </c>
      <c r="Q50" s="336">
        <v>17.45</v>
      </c>
      <c r="R50" s="153">
        <v>23.78</v>
      </c>
      <c r="S50" s="153">
        <f t="shared" ref="S50:AA50" si="101">R50+$N50</f>
        <v>30.110000000000003</v>
      </c>
      <c r="T50" s="153">
        <f t="shared" si="101"/>
        <v>36.440000000000005</v>
      </c>
      <c r="U50" s="153">
        <f t="shared" si="101"/>
        <v>42.77000000000001</v>
      </c>
      <c r="V50" s="153">
        <f t="shared" si="101"/>
        <v>49.100000000000009</v>
      </c>
      <c r="W50" s="153">
        <f t="shared" si="101"/>
        <v>55.430000000000007</v>
      </c>
      <c r="X50" s="153">
        <f t="shared" si="101"/>
        <v>61.760000000000005</v>
      </c>
      <c r="Y50" s="153">
        <f t="shared" si="101"/>
        <v>68.09</v>
      </c>
      <c r="Z50" s="153">
        <f t="shared" si="101"/>
        <v>74.42</v>
      </c>
      <c r="AA50" s="153">
        <f t="shared" si="101"/>
        <v>80.75</v>
      </c>
      <c r="AB50" s="206"/>
      <c r="AC50" s="206"/>
      <c r="AD50" s="206"/>
      <c r="AE50" s="206"/>
      <c r="AF50" s="206"/>
      <c r="AG50" s="206"/>
      <c r="AH50" s="206"/>
      <c r="AI50" s="206"/>
      <c r="AJ50" s="64"/>
      <c r="AK50" s="154" t="e">
        <f>C46</f>
        <v>#VALUE!</v>
      </c>
      <c r="AL50" s="155" t="e">
        <f>(((AK50-AK49)/(AK51-AK49))*(AL51-AL49))+AL49</f>
        <v>#VALUE!</v>
      </c>
      <c r="AM50" s="156" t="e">
        <f>IF(AND(AM48&gt;72,AK50&gt;72),5/0,IF(AM48=120,AL50,(((AM49-AL49)/(AN49-AL49))*(AN50-AL50))+AL50))</f>
        <v>#VALUE!</v>
      </c>
      <c r="AN50" s="155" t="e">
        <f>(((AK50-AK49)/(AK51-AK49))*(AN51-AN49))+AN49</f>
        <v>#VALUE!</v>
      </c>
      <c r="AO50" s="64"/>
      <c r="AP50" s="65"/>
      <c r="BZ50" s="83"/>
      <c r="CA50" s="83"/>
      <c r="CB50" s="83"/>
      <c r="CC50" s="83"/>
      <c r="CD50" s="83"/>
      <c r="CE50" s="83"/>
      <c r="CF50" s="83"/>
      <c r="CG50" s="83"/>
    </row>
    <row r="51" spans="1:85" ht="16.5" thickBot="1" x14ac:dyDescent="0.3">
      <c r="A51" s="3"/>
      <c r="B51" s="70"/>
      <c r="C51" s="118"/>
      <c r="D51" s="116" t="e">
        <f>FLOOR(C45/6,1)*6</f>
        <v>#VALUE!</v>
      </c>
      <c r="E51" s="112" t="e">
        <f>D51+6</f>
        <v>#VALUE!</v>
      </c>
      <c r="F51" s="112"/>
      <c r="G51" s="130"/>
      <c r="H51" s="116" t="e">
        <f>IF(AND(C46&lt;24,C46&gt;=F12),F12,FLOOR(C46/6,1)*6)</f>
        <v>#VALUE!</v>
      </c>
      <c r="I51" s="113" t="e">
        <f>IF(H51&lt;24,24,H51+6)</f>
        <v>#VALUE!</v>
      </c>
      <c r="J51" s="71"/>
      <c r="K51" s="71"/>
      <c r="L51" s="75"/>
      <c r="N51" s="103">
        <v>7.7399999999999984</v>
      </c>
      <c r="O51" s="162">
        <f t="shared" si="100"/>
        <v>36</v>
      </c>
      <c r="P51" s="302">
        <v>6</v>
      </c>
      <c r="Q51" s="336">
        <v>21.19</v>
      </c>
      <c r="R51" s="153">
        <v>28.93</v>
      </c>
      <c r="S51" s="153">
        <f t="shared" ref="S51:AA51" si="102">R51+$N51</f>
        <v>36.67</v>
      </c>
      <c r="T51" s="153">
        <f t="shared" si="102"/>
        <v>44.41</v>
      </c>
      <c r="U51" s="153">
        <f t="shared" si="102"/>
        <v>52.149999999999991</v>
      </c>
      <c r="V51" s="153">
        <f t="shared" si="102"/>
        <v>59.889999999999986</v>
      </c>
      <c r="W51" s="153">
        <f t="shared" si="102"/>
        <v>67.629999999999981</v>
      </c>
      <c r="X51" s="153">
        <f t="shared" si="102"/>
        <v>75.369999999999976</v>
      </c>
      <c r="Y51" s="153">
        <f t="shared" si="102"/>
        <v>83.109999999999971</v>
      </c>
      <c r="Z51" s="153">
        <f t="shared" si="102"/>
        <v>90.849999999999966</v>
      </c>
      <c r="AA51" s="153">
        <f t="shared" si="102"/>
        <v>98.589999999999961</v>
      </c>
      <c r="AB51" s="206"/>
      <c r="AC51" s="206"/>
      <c r="AD51" s="206"/>
      <c r="AE51" s="206"/>
      <c r="AF51" s="206"/>
      <c r="AG51" s="206"/>
      <c r="AH51" s="206"/>
      <c r="AI51" s="206"/>
      <c r="AJ51" s="64"/>
      <c r="AK51" s="154" t="e">
        <f>I51</f>
        <v>#VALUE!</v>
      </c>
      <c r="AL51" s="155" t="e">
        <f>INDEX(P46:AI65,$I$52,$D$52)</f>
        <v>#VALUE!</v>
      </c>
      <c r="AM51" s="155" t="e">
        <f>(((AM48-AL48)/(AN48-AL48))*(AN51-AL51))+AL51</f>
        <v>#VALUE!</v>
      </c>
      <c r="AN51" s="155" t="e">
        <f>INDEX(P46:AI65,$I$52,$E$52)</f>
        <v>#VALUE!</v>
      </c>
      <c r="AO51" s="64"/>
      <c r="AP51" s="65"/>
      <c r="BZ51" s="83"/>
      <c r="CA51" s="83"/>
      <c r="CB51" s="83"/>
      <c r="CC51" s="83"/>
      <c r="CD51" s="83"/>
      <c r="CE51" s="83"/>
      <c r="CF51" s="83"/>
      <c r="CG51" s="83"/>
    </row>
    <row r="52" spans="1:85" ht="24" thickBot="1" x14ac:dyDescent="0.4">
      <c r="A52" s="3"/>
      <c r="B52" s="70"/>
      <c r="C52" s="118" t="s">
        <v>37</v>
      </c>
      <c r="D52" s="116" t="e">
        <f>HLOOKUP(D51,C17:V18,2)</f>
        <v>#VALUE!</v>
      </c>
      <c r="E52" s="112" t="e">
        <f>HLOOKUP(E51,C17:V18,2)</f>
        <v>#VALUE!</v>
      </c>
      <c r="F52" s="112"/>
      <c r="G52" s="130" t="s">
        <v>38</v>
      </c>
      <c r="H52" s="116" t="e">
        <f>VLOOKUP(H51,B18:C37,2)</f>
        <v>#VALUE!</v>
      </c>
      <c r="I52" s="113" t="e">
        <f>VLOOKUP(I51,B18:C37,2)</f>
        <v>#VALUE!</v>
      </c>
      <c r="J52" s="71"/>
      <c r="K52" s="71"/>
      <c r="L52" s="75"/>
      <c r="N52" s="103">
        <v>9.1599999999999966</v>
      </c>
      <c r="O52" s="162">
        <f t="shared" si="100"/>
        <v>42</v>
      </c>
      <c r="P52" s="302">
        <v>7</v>
      </c>
      <c r="Q52" s="336">
        <v>24.92</v>
      </c>
      <c r="R52" s="153">
        <v>34.08</v>
      </c>
      <c r="S52" s="153">
        <f t="shared" ref="S52:AA52" si="103">R52+$N52</f>
        <v>43.239999999999995</v>
      </c>
      <c r="T52" s="153">
        <f t="shared" si="103"/>
        <v>52.399999999999991</v>
      </c>
      <c r="U52" s="153">
        <f t="shared" si="103"/>
        <v>61.559999999999988</v>
      </c>
      <c r="V52" s="153">
        <f t="shared" si="103"/>
        <v>70.719999999999985</v>
      </c>
      <c r="W52" s="153">
        <f t="shared" si="103"/>
        <v>79.879999999999981</v>
      </c>
      <c r="X52" s="153">
        <f t="shared" si="103"/>
        <v>89.039999999999978</v>
      </c>
      <c r="Y52" s="153">
        <f t="shared" si="103"/>
        <v>98.199999999999974</v>
      </c>
      <c r="Z52" s="153">
        <f t="shared" si="103"/>
        <v>107.35999999999997</v>
      </c>
      <c r="AA52" s="153">
        <f t="shared" si="103"/>
        <v>116.51999999999997</v>
      </c>
      <c r="AB52" s="206"/>
      <c r="AC52" s="206"/>
      <c r="AD52" s="206"/>
      <c r="AE52" s="206"/>
      <c r="AF52" s="206"/>
      <c r="AG52" s="206"/>
      <c r="AH52" s="206"/>
      <c r="AI52" s="206"/>
      <c r="AJ52" s="64"/>
      <c r="AK52" s="64"/>
      <c r="AL52" s="64"/>
      <c r="AM52" s="64"/>
      <c r="AN52" s="64"/>
      <c r="AO52" s="64"/>
      <c r="AP52" s="65"/>
      <c r="AR52" s="495"/>
      <c r="AS52" s="496"/>
      <c r="BZ52" s="83"/>
      <c r="CA52" s="83"/>
      <c r="CB52" s="83"/>
      <c r="CC52" s="83"/>
      <c r="CD52" s="83"/>
      <c r="CE52" s="83"/>
      <c r="CF52" s="83"/>
      <c r="CG52" s="83"/>
    </row>
    <row r="53" spans="1:85" ht="15.75" thickBot="1" x14ac:dyDescent="0.3">
      <c r="A53" s="3"/>
      <c r="B53" s="70"/>
      <c r="C53" s="119"/>
      <c r="D53" s="117"/>
      <c r="E53" s="114"/>
      <c r="F53" s="114"/>
      <c r="G53" s="131"/>
      <c r="H53" s="117"/>
      <c r="I53" s="115"/>
      <c r="J53" s="71"/>
      <c r="K53" s="71"/>
      <c r="L53" s="75"/>
      <c r="N53" s="103">
        <v>10.569999999999997</v>
      </c>
      <c r="O53" s="162">
        <f t="shared" si="100"/>
        <v>48</v>
      </c>
      <c r="P53" s="302">
        <v>8</v>
      </c>
      <c r="Q53" s="336">
        <v>28.66</v>
      </c>
      <c r="R53" s="153">
        <v>39.229999999999997</v>
      </c>
      <c r="S53" s="153">
        <f t="shared" ref="S53:AA53" si="104">R53+$N53</f>
        <v>49.8</v>
      </c>
      <c r="T53" s="153">
        <f t="shared" si="104"/>
        <v>60.36999999999999</v>
      </c>
      <c r="U53" s="153">
        <f t="shared" si="104"/>
        <v>70.939999999999984</v>
      </c>
      <c r="V53" s="153">
        <f t="shared" si="104"/>
        <v>81.509999999999977</v>
      </c>
      <c r="W53" s="153">
        <f t="shared" si="104"/>
        <v>92.07999999999997</v>
      </c>
      <c r="X53" s="153">
        <f t="shared" si="104"/>
        <v>102.64999999999996</v>
      </c>
      <c r="Y53" s="153">
        <f t="shared" si="104"/>
        <v>113.21999999999996</v>
      </c>
      <c r="Z53" s="153">
        <f t="shared" si="104"/>
        <v>123.78999999999995</v>
      </c>
      <c r="AA53" s="153">
        <f t="shared" si="104"/>
        <v>134.35999999999996</v>
      </c>
      <c r="AB53" s="206"/>
      <c r="AC53" s="206"/>
      <c r="AD53" s="206"/>
      <c r="AE53" s="206"/>
      <c r="AF53" s="206"/>
      <c r="AG53" s="206"/>
      <c r="AH53" s="206"/>
      <c r="AI53" s="206"/>
      <c r="AJ53" s="64"/>
      <c r="AK53" s="64"/>
      <c r="AL53" s="64"/>
      <c r="AM53" s="64"/>
      <c r="AN53" s="64"/>
      <c r="AO53" s="64"/>
      <c r="AP53" s="65"/>
      <c r="BZ53" s="83"/>
      <c r="CA53" s="83"/>
      <c r="CB53" s="83"/>
      <c r="CC53" s="83"/>
      <c r="CD53" s="83"/>
      <c r="CE53" s="83"/>
      <c r="CF53" s="83"/>
      <c r="CG53" s="83"/>
    </row>
    <row r="54" spans="1:85" ht="15.75" thickBot="1" x14ac:dyDescent="0.3">
      <c r="A54" s="3"/>
      <c r="B54" s="70"/>
      <c r="C54" s="71"/>
      <c r="D54" s="71"/>
      <c r="E54" s="71"/>
      <c r="F54" s="71"/>
      <c r="G54" s="71"/>
      <c r="H54" s="71"/>
      <c r="I54" s="71"/>
      <c r="J54" s="71"/>
      <c r="K54" s="71"/>
      <c r="L54" s="75"/>
      <c r="N54" s="103">
        <v>11.980000000000004</v>
      </c>
      <c r="O54" s="162">
        <f t="shared" si="100"/>
        <v>54</v>
      </c>
      <c r="P54" s="302">
        <v>9</v>
      </c>
      <c r="Q54" s="336">
        <v>32.4</v>
      </c>
      <c r="R54" s="153">
        <v>44.38</v>
      </c>
      <c r="S54" s="153">
        <f t="shared" ref="S54:AA54" si="105">R54+$N54</f>
        <v>56.360000000000007</v>
      </c>
      <c r="T54" s="153">
        <f t="shared" si="105"/>
        <v>68.34</v>
      </c>
      <c r="U54" s="153">
        <f t="shared" si="105"/>
        <v>80.320000000000007</v>
      </c>
      <c r="V54" s="153">
        <f t="shared" si="105"/>
        <v>92.300000000000011</v>
      </c>
      <c r="W54" s="153">
        <f t="shared" si="105"/>
        <v>104.28000000000002</v>
      </c>
      <c r="X54" s="153">
        <f t="shared" si="105"/>
        <v>116.26000000000002</v>
      </c>
      <c r="Y54" s="153">
        <f t="shared" si="105"/>
        <v>128.24</v>
      </c>
      <c r="Z54" s="153">
        <f t="shared" si="105"/>
        <v>140.22000000000003</v>
      </c>
      <c r="AA54" s="153">
        <f t="shared" si="105"/>
        <v>152.20000000000005</v>
      </c>
      <c r="AB54" s="206"/>
      <c r="AC54" s="206"/>
      <c r="AD54" s="206"/>
      <c r="AE54" s="206"/>
      <c r="AF54" s="206"/>
      <c r="AG54" s="206"/>
      <c r="AH54" s="206"/>
      <c r="AI54" s="206"/>
      <c r="AJ54" s="64"/>
      <c r="AK54" s="64"/>
      <c r="AL54" s="64"/>
      <c r="AM54" s="64"/>
      <c r="AN54" s="64"/>
      <c r="AO54" s="64"/>
      <c r="AP54" s="65"/>
      <c r="BZ54" s="83"/>
      <c r="CA54" s="83"/>
      <c r="CB54" s="83"/>
      <c r="CC54" s="83"/>
      <c r="CD54" s="83"/>
      <c r="CE54" s="83"/>
      <c r="CF54" s="83"/>
      <c r="CG54" s="83"/>
    </row>
    <row r="55" spans="1:85" ht="21.75" thickBot="1" x14ac:dyDescent="0.4">
      <c r="A55" s="3"/>
      <c r="B55" s="111" t="s">
        <v>71</v>
      </c>
      <c r="C55" s="71"/>
      <c r="E55" s="71"/>
      <c r="F55" s="71"/>
      <c r="G55" s="71"/>
      <c r="H55" s="71"/>
      <c r="I55" s="71"/>
      <c r="J55" s="71"/>
      <c r="K55" s="71"/>
      <c r="L55" s="75"/>
      <c r="N55" s="103">
        <v>13.399999999999999</v>
      </c>
      <c r="O55" s="162">
        <f t="shared" si="100"/>
        <v>60</v>
      </c>
      <c r="P55" s="302">
        <v>10</v>
      </c>
      <c r="Q55" s="336">
        <v>36.130000000000003</v>
      </c>
      <c r="R55" s="153">
        <v>49.53</v>
      </c>
      <c r="S55" s="153">
        <f t="shared" ref="S55:AA55" si="106">R55+$N55</f>
        <v>62.93</v>
      </c>
      <c r="T55" s="153">
        <f t="shared" si="106"/>
        <v>76.33</v>
      </c>
      <c r="U55" s="153">
        <f t="shared" si="106"/>
        <v>89.72999999999999</v>
      </c>
      <c r="V55" s="153">
        <f t="shared" si="106"/>
        <v>103.13</v>
      </c>
      <c r="W55" s="153">
        <f t="shared" si="106"/>
        <v>116.53</v>
      </c>
      <c r="X55" s="153">
        <f t="shared" si="106"/>
        <v>129.93</v>
      </c>
      <c r="Y55" s="153">
        <f t="shared" si="106"/>
        <v>143.33000000000001</v>
      </c>
      <c r="Z55" s="153">
        <f t="shared" si="106"/>
        <v>156.73000000000002</v>
      </c>
      <c r="AA55" s="153">
        <f t="shared" si="106"/>
        <v>170.13000000000002</v>
      </c>
      <c r="AB55" s="206"/>
      <c r="AC55" s="206"/>
      <c r="AD55" s="206"/>
      <c r="AE55" s="206"/>
      <c r="AF55" s="206"/>
      <c r="AG55" s="206"/>
      <c r="AH55" s="206"/>
      <c r="AI55" s="206"/>
      <c r="AJ55" s="64"/>
      <c r="AK55" s="64"/>
      <c r="AL55" s="64"/>
      <c r="AM55" s="64"/>
      <c r="AN55" s="64"/>
      <c r="AO55" s="64"/>
      <c r="AP55" s="65"/>
      <c r="BZ55" s="83"/>
      <c r="CA55" s="83"/>
      <c r="CB55" s="83"/>
      <c r="CC55" s="83"/>
      <c r="CD55" s="83"/>
      <c r="CE55" s="83"/>
      <c r="CF55" s="83"/>
      <c r="CG55" s="83"/>
    </row>
    <row r="56" spans="1:85" ht="18" customHeight="1" thickBot="1" x14ac:dyDescent="0.3">
      <c r="A56" s="3"/>
      <c r="B56" s="70"/>
      <c r="C56" s="71"/>
      <c r="D56" s="109"/>
      <c r="E56" s="109" t="e">
        <f>D51</f>
        <v>#VALUE!</v>
      </c>
      <c r="F56" s="132" t="e">
        <f>C45</f>
        <v>#VALUE!</v>
      </c>
      <c r="G56" s="109" t="e">
        <f>E51</f>
        <v>#VALUE!</v>
      </c>
      <c r="H56" s="71"/>
      <c r="I56" s="71"/>
      <c r="J56" s="71"/>
      <c r="K56" s="71"/>
      <c r="L56" s="75"/>
      <c r="N56" s="103">
        <v>14.810000000000002</v>
      </c>
      <c r="O56" s="162">
        <f t="shared" si="100"/>
        <v>66</v>
      </c>
      <c r="P56" s="302">
        <v>11</v>
      </c>
      <c r="Q56" s="336">
        <v>39.869999999999997</v>
      </c>
      <c r="R56" s="153">
        <v>54.68</v>
      </c>
      <c r="S56" s="153">
        <f t="shared" ref="S56:AA56" si="107">R56+$N56</f>
        <v>69.490000000000009</v>
      </c>
      <c r="T56" s="153">
        <f t="shared" si="107"/>
        <v>84.300000000000011</v>
      </c>
      <c r="U56" s="153">
        <f t="shared" si="107"/>
        <v>99.110000000000014</v>
      </c>
      <c r="V56" s="153">
        <f t="shared" si="107"/>
        <v>113.92000000000002</v>
      </c>
      <c r="W56" s="153">
        <f t="shared" si="107"/>
        <v>128.73000000000002</v>
      </c>
      <c r="X56" s="153">
        <f t="shared" si="107"/>
        <v>143.54000000000002</v>
      </c>
      <c r="Y56" s="153">
        <f t="shared" si="107"/>
        <v>158.35000000000002</v>
      </c>
      <c r="Z56" s="153">
        <f t="shared" si="107"/>
        <v>173.16000000000003</v>
      </c>
      <c r="AA56" s="153">
        <f t="shared" si="107"/>
        <v>187.97000000000003</v>
      </c>
      <c r="AB56" s="206"/>
      <c r="AC56" s="206"/>
      <c r="AD56" s="206"/>
      <c r="AE56" s="206"/>
      <c r="AF56" s="206"/>
      <c r="AG56" s="206"/>
      <c r="AH56" s="206"/>
      <c r="AI56" s="206"/>
      <c r="AJ56" s="64"/>
      <c r="AK56" s="64"/>
      <c r="AL56" s="270" t="s">
        <v>212</v>
      </c>
      <c r="AM56" s="64"/>
      <c r="AN56" s="153" t="e">
        <f>AM50</f>
        <v>#VALUE!</v>
      </c>
      <c r="AO56" s="64" t="s">
        <v>86</v>
      </c>
      <c r="AP56" s="65"/>
      <c r="BZ56" s="83"/>
      <c r="CA56" s="83"/>
      <c r="CB56" s="83"/>
      <c r="CC56" s="83"/>
      <c r="CD56" s="83"/>
      <c r="CE56" s="83"/>
      <c r="CF56" s="83"/>
    </row>
    <row r="57" spans="1:85" ht="16.5" thickBot="1" x14ac:dyDescent="0.3">
      <c r="A57" s="3"/>
      <c r="B57" s="70"/>
      <c r="C57" s="71"/>
      <c r="D57" s="109" t="e">
        <f>H51</f>
        <v>#VALUE!</v>
      </c>
      <c r="E57" s="133" t="e">
        <f>INDEX(C18:V37,$H$52,$D$52)</f>
        <v>#VALUE!</v>
      </c>
      <c r="F57" s="133" t="e">
        <f>(((F56-E56)/(G56-E56))*(G57-E57))+E57</f>
        <v>#VALUE!</v>
      </c>
      <c r="G57" s="133" t="e">
        <f>INDEX(C18:V37,$H$52,$E$52)</f>
        <v>#VALUE!</v>
      </c>
      <c r="H57" s="71"/>
      <c r="I57" s="71"/>
      <c r="J57" s="71"/>
      <c r="K57" s="71"/>
      <c r="L57" s="75"/>
      <c r="N57" s="103">
        <v>16.22</v>
      </c>
      <c r="O57" s="162">
        <f t="shared" si="100"/>
        <v>72</v>
      </c>
      <c r="P57" s="302">
        <v>12</v>
      </c>
      <c r="Q57" s="336">
        <v>43.61</v>
      </c>
      <c r="R57" s="153">
        <v>59.83</v>
      </c>
      <c r="S57" s="153">
        <f t="shared" ref="S57:AA57" si="108">R57+$N57</f>
        <v>76.05</v>
      </c>
      <c r="T57" s="153">
        <f t="shared" si="108"/>
        <v>92.27</v>
      </c>
      <c r="U57" s="153">
        <f t="shared" si="108"/>
        <v>108.49</v>
      </c>
      <c r="V57" s="153">
        <f t="shared" si="108"/>
        <v>124.71</v>
      </c>
      <c r="W57" s="153">
        <f t="shared" si="108"/>
        <v>140.93</v>
      </c>
      <c r="X57" s="153">
        <f t="shared" si="108"/>
        <v>157.15</v>
      </c>
      <c r="Y57" s="153">
        <f t="shared" si="108"/>
        <v>173.37</v>
      </c>
      <c r="Z57" s="153">
        <f t="shared" si="108"/>
        <v>189.59</v>
      </c>
      <c r="AA57" s="153">
        <f t="shared" si="108"/>
        <v>205.81</v>
      </c>
      <c r="AB57" s="206"/>
      <c r="AC57" s="206"/>
      <c r="AD57" s="206"/>
      <c r="AE57" s="206"/>
      <c r="AF57" s="206"/>
      <c r="AG57" s="206"/>
      <c r="AH57" s="206"/>
      <c r="AI57" s="206"/>
      <c r="AJ57" s="64"/>
      <c r="AK57" s="64"/>
      <c r="AL57" s="270" t="s">
        <v>213</v>
      </c>
      <c r="AM57" s="64"/>
      <c r="AN57" s="64" t="e">
        <f>AN56*C11</f>
        <v>#VALUE!</v>
      </c>
      <c r="AO57" s="64" t="s">
        <v>86</v>
      </c>
      <c r="AP57" s="65"/>
      <c r="BZ57" s="83"/>
      <c r="CA57" s="83"/>
      <c r="CB57" s="83"/>
      <c r="CC57" s="83"/>
      <c r="CD57" s="83"/>
      <c r="CE57" s="83"/>
      <c r="CF57" s="83"/>
    </row>
    <row r="58" spans="1:85" ht="16.5" thickBot="1" x14ac:dyDescent="0.3">
      <c r="A58" s="3"/>
      <c r="B58" s="70"/>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17.649999999999991</v>
      </c>
      <c r="O58" s="162">
        <f t="shared" si="100"/>
        <v>78</v>
      </c>
      <c r="P58" s="302">
        <v>13</v>
      </c>
      <c r="Q58" s="336">
        <v>47.34</v>
      </c>
      <c r="R58" s="153">
        <v>64.989999999999995</v>
      </c>
      <c r="S58" s="153">
        <f t="shared" ref="S58:AA58" si="109">R58+$N58</f>
        <v>82.639999999999986</v>
      </c>
      <c r="T58" s="153">
        <f t="shared" si="109"/>
        <v>100.28999999999998</v>
      </c>
      <c r="U58" s="153">
        <f t="shared" si="109"/>
        <v>117.93999999999997</v>
      </c>
      <c r="V58" s="153">
        <f t="shared" si="109"/>
        <v>135.58999999999997</v>
      </c>
      <c r="W58" s="153">
        <f t="shared" si="109"/>
        <v>153.23999999999995</v>
      </c>
      <c r="X58" s="153">
        <f t="shared" si="109"/>
        <v>170.88999999999993</v>
      </c>
      <c r="Y58" s="153">
        <f t="shared" si="109"/>
        <v>188.53999999999991</v>
      </c>
      <c r="Z58" s="153">
        <f t="shared" si="109"/>
        <v>206.18999999999988</v>
      </c>
      <c r="AA58" s="153">
        <f t="shared" si="109"/>
        <v>223.83999999999986</v>
      </c>
      <c r="AB58" s="206"/>
      <c r="AC58" s="206"/>
      <c r="AD58" s="206"/>
      <c r="AE58" s="206"/>
      <c r="AF58" s="206"/>
      <c r="AG58" s="206"/>
      <c r="AH58" s="206"/>
      <c r="AI58" s="206"/>
      <c r="AJ58" s="64"/>
      <c r="AK58" s="64"/>
      <c r="AL58" s="64"/>
      <c r="AM58" s="64"/>
      <c r="AN58" s="64"/>
      <c r="AO58" s="64"/>
      <c r="AP58" s="65"/>
      <c r="BZ58" s="83"/>
      <c r="CA58" s="83"/>
      <c r="CB58" s="83"/>
      <c r="CC58" s="83"/>
      <c r="CD58" s="83"/>
      <c r="CE58" s="83"/>
      <c r="CF58" s="83"/>
    </row>
    <row r="59" spans="1:85" ht="16.5" thickBot="1" x14ac:dyDescent="0.3">
      <c r="A59" s="3"/>
      <c r="B59" s="70"/>
      <c r="C59" s="71"/>
      <c r="D59" s="109" t="e">
        <f>I51</f>
        <v>#VALUE!</v>
      </c>
      <c r="E59" s="133" t="e">
        <f>INDEX(C18:V37,$I$52,$D$52)</f>
        <v>#VALUE!</v>
      </c>
      <c r="F59" s="133" t="e">
        <f>(((F56-E56)/(G56-E56))*(G59-E59))+E59</f>
        <v>#VALUE!</v>
      </c>
      <c r="G59" s="133" t="e">
        <f>INDEX(C18:V37,$I$52,$E$52)</f>
        <v>#VALUE!</v>
      </c>
      <c r="H59" s="71"/>
      <c r="I59" s="71"/>
      <c r="J59" s="71"/>
      <c r="K59" s="71"/>
      <c r="L59" s="75"/>
      <c r="N59" s="103">
        <v>19.060000000000002</v>
      </c>
      <c r="O59" s="162">
        <f t="shared" si="100"/>
        <v>84</v>
      </c>
      <c r="P59" s="302">
        <v>14</v>
      </c>
      <c r="Q59" s="336">
        <v>51.08</v>
      </c>
      <c r="R59" s="153">
        <v>70.14</v>
      </c>
      <c r="S59" s="153">
        <f t="shared" ref="S59:AA59" si="110">R59+$N59</f>
        <v>89.2</v>
      </c>
      <c r="T59" s="153">
        <f t="shared" si="110"/>
        <v>108.26</v>
      </c>
      <c r="U59" s="153">
        <f t="shared" si="110"/>
        <v>127.32000000000001</v>
      </c>
      <c r="V59" s="153">
        <f t="shared" si="110"/>
        <v>146.38</v>
      </c>
      <c r="W59" s="153">
        <f t="shared" si="110"/>
        <v>165.44</v>
      </c>
      <c r="X59" s="153">
        <f t="shared" si="110"/>
        <v>184.5</v>
      </c>
      <c r="Y59" s="153">
        <f t="shared" si="110"/>
        <v>203.56</v>
      </c>
      <c r="Z59" s="153">
        <f t="shared" si="110"/>
        <v>222.62</v>
      </c>
      <c r="AA59" s="153">
        <f t="shared" si="110"/>
        <v>241.68</v>
      </c>
      <c r="AB59" s="206"/>
      <c r="AC59" s="206"/>
      <c r="AD59" s="206"/>
      <c r="AE59" s="206"/>
      <c r="AF59" s="206"/>
      <c r="AG59" s="206"/>
      <c r="AH59" s="206"/>
      <c r="AI59" s="206"/>
      <c r="AJ59" s="64"/>
      <c r="AK59" s="64"/>
      <c r="AL59" s="64"/>
      <c r="AM59" s="64"/>
      <c r="AN59" s="64"/>
      <c r="AO59" s="64"/>
      <c r="AP59" s="97"/>
      <c r="BZ59" s="83"/>
      <c r="CA59" s="83"/>
      <c r="CB59" s="83"/>
      <c r="CC59" s="83"/>
      <c r="CD59" s="83"/>
      <c r="CE59" s="83"/>
      <c r="CF59" s="83"/>
    </row>
    <row r="60" spans="1:85" ht="15.75" thickBot="1" x14ac:dyDescent="0.3">
      <c r="A60" s="3"/>
      <c r="B60" s="70"/>
      <c r="C60" s="71"/>
      <c r="D60" s="71"/>
      <c r="E60" s="71"/>
      <c r="F60" s="71"/>
      <c r="G60" s="71"/>
      <c r="H60" s="71"/>
      <c r="I60" s="71"/>
      <c r="J60" s="71"/>
      <c r="K60" s="71"/>
      <c r="L60" s="75"/>
      <c r="N60" s="103">
        <v>20.480000000000004</v>
      </c>
      <c r="O60" s="162">
        <f t="shared" si="100"/>
        <v>90</v>
      </c>
      <c r="P60" s="302">
        <v>15</v>
      </c>
      <c r="Q60" s="336">
        <v>54.81</v>
      </c>
      <c r="R60" s="153">
        <v>75.290000000000006</v>
      </c>
      <c r="S60" s="153">
        <f t="shared" ref="S60:Z61" si="111">R60+$N60</f>
        <v>95.77000000000001</v>
      </c>
      <c r="T60" s="153">
        <f t="shared" si="111"/>
        <v>116.25000000000001</v>
      </c>
      <c r="U60" s="153">
        <f t="shared" si="111"/>
        <v>136.73000000000002</v>
      </c>
      <c r="V60" s="153">
        <f t="shared" si="111"/>
        <v>157.21000000000004</v>
      </c>
      <c r="W60" s="153">
        <f t="shared" si="111"/>
        <v>177.69000000000005</v>
      </c>
      <c r="X60" s="153">
        <f t="shared" si="111"/>
        <v>198.17000000000007</v>
      </c>
      <c r="Y60" s="153">
        <f t="shared" si="111"/>
        <v>218.65000000000009</v>
      </c>
      <c r="Z60" s="153">
        <f t="shared" si="111"/>
        <v>239.13000000000011</v>
      </c>
      <c r="AA60" s="153">
        <v>259.54000000000002</v>
      </c>
      <c r="AB60" s="206"/>
      <c r="AC60" s="206"/>
      <c r="AD60" s="206"/>
      <c r="AE60" s="206"/>
      <c r="AF60" s="206"/>
      <c r="AG60" s="206"/>
      <c r="AH60" s="206"/>
      <c r="AI60" s="206"/>
      <c r="AJ60" s="64"/>
      <c r="AK60" s="64"/>
      <c r="AL60" s="64"/>
      <c r="AM60" s="64"/>
      <c r="AN60" s="64"/>
      <c r="AO60" s="64"/>
      <c r="AP60" s="97"/>
      <c r="BF60" s="83"/>
      <c r="BX60" s="83"/>
      <c r="BY60" s="83"/>
      <c r="BZ60" s="83"/>
      <c r="CA60" s="83"/>
      <c r="CB60" s="83"/>
      <c r="CC60" s="83"/>
      <c r="CD60" s="83"/>
      <c r="CE60" s="83"/>
      <c r="CF60" s="83"/>
    </row>
    <row r="61" spans="1:85" ht="15.75" thickBot="1" x14ac:dyDescent="0.3">
      <c r="A61" s="3"/>
      <c r="B61" s="70"/>
      <c r="C61" s="71"/>
      <c r="D61" s="71"/>
      <c r="E61" s="71"/>
      <c r="F61" s="71"/>
      <c r="G61" s="71"/>
      <c r="H61" s="71"/>
      <c r="I61" s="71"/>
      <c r="J61" s="71"/>
      <c r="K61" s="71"/>
      <c r="L61" s="75"/>
      <c r="N61" s="103">
        <v>21.89</v>
      </c>
      <c r="O61" s="162">
        <f t="shared" si="100"/>
        <v>96</v>
      </c>
      <c r="P61" s="302">
        <v>16</v>
      </c>
      <c r="Q61" s="336">
        <v>58.55</v>
      </c>
      <c r="R61" s="153">
        <v>80.44</v>
      </c>
      <c r="S61" s="153">
        <f t="shared" si="111"/>
        <v>102.33</v>
      </c>
      <c r="T61" s="153">
        <f t="shared" si="111"/>
        <v>124.22</v>
      </c>
      <c r="U61" s="153">
        <f t="shared" si="111"/>
        <v>146.11000000000001</v>
      </c>
      <c r="V61" s="153">
        <f t="shared" si="111"/>
        <v>168</v>
      </c>
      <c r="W61" s="153">
        <f t="shared" si="111"/>
        <v>189.89</v>
      </c>
      <c r="X61" s="153">
        <f t="shared" si="111"/>
        <v>211.77999999999997</v>
      </c>
      <c r="Y61" s="153">
        <f t="shared" si="111"/>
        <v>233.66999999999996</v>
      </c>
      <c r="Z61" s="153">
        <f t="shared" si="111"/>
        <v>255.55999999999995</v>
      </c>
      <c r="AA61" s="153">
        <f>Z61+$N61</f>
        <v>277.44999999999993</v>
      </c>
      <c r="AB61" s="206"/>
      <c r="AC61" s="206"/>
      <c r="AD61" s="206"/>
      <c r="AE61" s="206"/>
      <c r="AF61" s="206"/>
      <c r="AG61" s="206"/>
      <c r="AH61" s="206"/>
      <c r="AI61" s="206"/>
      <c r="AJ61" s="64"/>
      <c r="AK61" s="64"/>
      <c r="AL61" s="64"/>
      <c r="AM61" s="64"/>
      <c r="AN61" s="64"/>
      <c r="AO61" s="64"/>
      <c r="AP61" s="97"/>
      <c r="BF61" s="83"/>
      <c r="BX61" s="83"/>
      <c r="BY61" s="83"/>
      <c r="BZ61" s="83"/>
      <c r="CA61" s="83"/>
      <c r="CB61" s="83"/>
      <c r="CC61" s="83"/>
      <c r="CD61" s="83"/>
      <c r="CE61" s="83"/>
      <c r="CF61" s="83"/>
    </row>
    <row r="62" spans="1:85" ht="15.75" thickBot="1" x14ac:dyDescent="0.3">
      <c r="A62" s="3"/>
      <c r="B62" s="70"/>
      <c r="C62" s="71"/>
      <c r="D62" s="71"/>
      <c r="E62" s="71"/>
      <c r="F62" s="71"/>
      <c r="G62" s="71"/>
      <c r="H62" s="71"/>
      <c r="I62" s="71"/>
      <c r="J62" s="71"/>
      <c r="K62" s="71"/>
      <c r="L62" s="75"/>
      <c r="N62" s="103"/>
      <c r="O62" s="162">
        <f t="shared" si="100"/>
        <v>102</v>
      </c>
      <c r="P62" s="302">
        <v>17</v>
      </c>
      <c r="Q62" s="339"/>
      <c r="R62" s="206"/>
      <c r="S62" s="206"/>
      <c r="T62" s="206"/>
      <c r="U62" s="206"/>
      <c r="V62" s="206"/>
      <c r="W62" s="206"/>
      <c r="X62" s="206"/>
      <c r="Y62" s="206"/>
      <c r="Z62" s="206"/>
      <c r="AA62" s="206"/>
      <c r="AB62" s="206"/>
      <c r="AC62" s="206"/>
      <c r="AD62" s="206"/>
      <c r="AE62" s="206"/>
      <c r="AF62" s="206"/>
      <c r="AG62" s="206"/>
      <c r="AH62" s="206"/>
      <c r="AI62" s="206"/>
      <c r="AJ62" s="64"/>
      <c r="AK62" s="64"/>
      <c r="AL62" s="64"/>
      <c r="AM62" s="64"/>
      <c r="AN62" s="64"/>
      <c r="AO62" s="64"/>
      <c r="AP62" s="97"/>
      <c r="BF62" s="83"/>
      <c r="BX62" s="83"/>
      <c r="BY62" s="83"/>
      <c r="BZ62" s="83"/>
      <c r="CA62" s="83"/>
      <c r="CB62" s="83"/>
      <c r="CC62" s="83"/>
      <c r="CD62" s="83"/>
      <c r="CE62" s="83"/>
      <c r="CF62" s="83"/>
    </row>
    <row r="63" spans="1:85" ht="21.75" thickBot="1" x14ac:dyDescent="0.4">
      <c r="A63" s="3"/>
      <c r="B63" s="111" t="s">
        <v>80</v>
      </c>
      <c r="C63" s="71"/>
      <c r="D63" s="71"/>
      <c r="E63" s="256"/>
      <c r="F63" s="71"/>
      <c r="G63" s="71"/>
      <c r="H63" s="71"/>
      <c r="I63" s="71"/>
      <c r="J63" s="71"/>
      <c r="K63" s="71"/>
      <c r="L63" s="75"/>
      <c r="N63" s="103"/>
      <c r="O63" s="162">
        <f t="shared" si="100"/>
        <v>108</v>
      </c>
      <c r="P63" s="302">
        <v>18</v>
      </c>
      <c r="Q63" s="339"/>
      <c r="R63" s="206"/>
      <c r="S63" s="206"/>
      <c r="T63" s="206"/>
      <c r="U63" s="206"/>
      <c r="V63" s="206"/>
      <c r="W63" s="206"/>
      <c r="X63" s="206"/>
      <c r="Y63" s="206"/>
      <c r="Z63" s="206"/>
      <c r="AA63" s="206"/>
      <c r="AB63" s="206"/>
      <c r="AC63" s="206"/>
      <c r="AD63" s="206"/>
      <c r="AE63" s="206"/>
      <c r="AF63" s="206"/>
      <c r="AG63" s="206"/>
      <c r="AH63" s="206"/>
      <c r="AI63" s="206"/>
      <c r="AJ63" s="64"/>
      <c r="AK63" s="64"/>
      <c r="AL63" s="64"/>
      <c r="AM63" s="64"/>
      <c r="AN63" s="64"/>
      <c r="AO63" s="64"/>
      <c r="AP63" s="97"/>
      <c r="BF63" s="83"/>
      <c r="BX63" s="83"/>
      <c r="BY63" s="83"/>
      <c r="BZ63" s="83"/>
      <c r="CA63" s="83"/>
      <c r="CB63" s="83"/>
      <c r="CC63" s="83"/>
      <c r="CD63" s="83"/>
      <c r="CE63" s="83"/>
      <c r="CF63" s="83"/>
    </row>
    <row r="64" spans="1:85" ht="19.5" thickBot="1" x14ac:dyDescent="0.35">
      <c r="A64" s="3"/>
      <c r="B64" s="135" t="s">
        <v>46</v>
      </c>
      <c r="C64" s="71"/>
      <c r="D64" s="141" t="e">
        <f>F58*(D3*D4)/144</f>
        <v>#VALUE!</v>
      </c>
      <c r="E64" s="256" t="s">
        <v>45</v>
      </c>
      <c r="F64" s="71"/>
      <c r="G64" s="71"/>
      <c r="H64" s="71"/>
      <c r="I64" s="71"/>
      <c r="J64" s="71"/>
      <c r="K64" s="71"/>
      <c r="L64" s="75"/>
      <c r="N64" s="103"/>
      <c r="O64" s="162">
        <f t="shared" si="100"/>
        <v>114</v>
      </c>
      <c r="P64" s="302">
        <v>19</v>
      </c>
      <c r="Q64" s="339"/>
      <c r="R64" s="206"/>
      <c r="S64" s="206"/>
      <c r="T64" s="206"/>
      <c r="U64" s="206"/>
      <c r="V64" s="206"/>
      <c r="W64" s="206"/>
      <c r="X64" s="206"/>
      <c r="Y64" s="206"/>
      <c r="Z64" s="206"/>
      <c r="AA64" s="206"/>
      <c r="AB64" s="206"/>
      <c r="AC64" s="206"/>
      <c r="AD64" s="206"/>
      <c r="AE64" s="206"/>
      <c r="AF64" s="206"/>
      <c r="AG64" s="206"/>
      <c r="AH64" s="206"/>
      <c r="AI64" s="206"/>
      <c r="AJ64" s="64"/>
      <c r="AK64" s="64"/>
      <c r="AL64" s="64"/>
      <c r="AM64" s="64"/>
      <c r="AN64" s="64"/>
      <c r="AO64" s="64"/>
      <c r="AP64" s="97"/>
      <c r="BF64" s="83"/>
      <c r="BX64" s="83"/>
      <c r="BY64" s="83"/>
      <c r="BZ64" s="83"/>
      <c r="CA64" s="83"/>
      <c r="CB64" s="83"/>
      <c r="CC64" s="83"/>
      <c r="CD64" s="83"/>
      <c r="CE64" s="83"/>
      <c r="CF64" s="83"/>
    </row>
    <row r="65" spans="1:84" ht="19.5" thickBot="1" x14ac:dyDescent="0.35">
      <c r="A65" s="3"/>
      <c r="B65" s="135" t="s">
        <v>47</v>
      </c>
      <c r="C65" s="71"/>
      <c r="D65" s="142" t="e">
        <f>(D3*D4)/144</f>
        <v>#VALUE!</v>
      </c>
      <c r="E65" s="256" t="s">
        <v>45</v>
      </c>
      <c r="F65" s="71"/>
      <c r="G65" s="71"/>
      <c r="H65" s="71"/>
      <c r="I65" s="71"/>
      <c r="J65" s="71"/>
      <c r="K65" s="71"/>
      <c r="L65" s="75"/>
      <c r="N65" s="103"/>
      <c r="O65" s="162">
        <f t="shared" si="100"/>
        <v>120</v>
      </c>
      <c r="P65" s="302">
        <v>20</v>
      </c>
      <c r="Q65" s="339"/>
      <c r="R65" s="206"/>
      <c r="S65" s="206"/>
      <c r="T65" s="206"/>
      <c r="U65" s="206"/>
      <c r="V65" s="206"/>
      <c r="W65" s="206"/>
      <c r="X65" s="206"/>
      <c r="Y65" s="206"/>
      <c r="Z65" s="206"/>
      <c r="AA65" s="206"/>
      <c r="AB65" s="206"/>
      <c r="AC65" s="206"/>
      <c r="AD65" s="206"/>
      <c r="AE65" s="206"/>
      <c r="AF65" s="206"/>
      <c r="AG65" s="206"/>
      <c r="AH65" s="206"/>
      <c r="AI65" s="206"/>
      <c r="AJ65" s="64"/>
      <c r="AK65" s="64"/>
      <c r="AL65" s="64"/>
      <c r="AM65" s="64"/>
      <c r="AN65" s="64"/>
      <c r="AO65" s="64"/>
      <c r="AP65" s="97"/>
      <c r="BF65" s="83"/>
      <c r="BX65" s="83"/>
      <c r="BY65" s="83"/>
      <c r="BZ65" s="83"/>
      <c r="CA65" s="83"/>
      <c r="CB65" s="83"/>
      <c r="CC65" s="83"/>
      <c r="CD65" s="83"/>
      <c r="CE65" s="83"/>
      <c r="CF65" s="83"/>
    </row>
    <row r="66" spans="1:84" ht="19.5" thickBot="1" x14ac:dyDescent="0.35">
      <c r="A66" s="3"/>
      <c r="B66" s="135" t="s">
        <v>81</v>
      </c>
      <c r="C66" s="71"/>
      <c r="D66" s="138" t="e">
        <f>F58*100</f>
        <v>#VALUE!</v>
      </c>
      <c r="E66" s="256" t="s">
        <v>16</v>
      </c>
      <c r="F66" s="71"/>
      <c r="G66" s="71"/>
      <c r="H66" s="71"/>
      <c r="I66" s="71"/>
      <c r="J66" s="71"/>
      <c r="K66" s="71"/>
      <c r="L66" s="75"/>
      <c r="N66" s="103"/>
      <c r="O66" s="149"/>
      <c r="P66" s="65"/>
      <c r="Q66" s="149"/>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5"/>
      <c r="BF66" s="83"/>
      <c r="BX66" s="83"/>
      <c r="BY66" s="83"/>
      <c r="BZ66" s="83"/>
      <c r="CA66" s="83"/>
      <c r="CB66" s="83"/>
      <c r="CC66" s="83"/>
      <c r="CD66" s="83"/>
      <c r="CE66" s="83"/>
      <c r="CF66" s="83"/>
    </row>
    <row r="67" spans="1:84" ht="19.5" thickBot="1" x14ac:dyDescent="0.35">
      <c r="A67" s="3"/>
      <c r="B67" s="70"/>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5"/>
    </row>
    <row r="68" spans="1:84" ht="19.5" thickBot="1" x14ac:dyDescent="0.35">
      <c r="A68" s="3"/>
      <c r="B68" s="137" t="s">
        <v>82</v>
      </c>
      <c r="D68" s="138" t="e">
        <f>C5/D64</f>
        <v>#VALUE!</v>
      </c>
      <c r="E68" s="256" t="s">
        <v>48</v>
      </c>
      <c r="F68" s="72"/>
      <c r="G68" s="72"/>
      <c r="H68" s="72"/>
      <c r="I68" s="72"/>
      <c r="J68" s="72"/>
      <c r="K68" s="72"/>
      <c r="L68" s="81"/>
      <c r="N68" s="164"/>
      <c r="O68" s="163"/>
      <c r="P68" s="69"/>
      <c r="Q68" s="163"/>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9"/>
    </row>
    <row r="69" spans="1:84" ht="18.75" x14ac:dyDescent="0.3">
      <c r="A69" s="3"/>
      <c r="B69" s="152" t="s">
        <v>83</v>
      </c>
      <c r="C69" s="136" t="s">
        <v>9</v>
      </c>
      <c r="D69" s="310" t="e">
        <f xml:space="preserve"> 9.87213743401068E-08*D68^2 + 2.85368447074893E-06*D68 - 0.0011669469509394</f>
        <v>#VALUE!</v>
      </c>
      <c r="E69" s="256" t="s">
        <v>99</v>
      </c>
      <c r="F69" s="72"/>
      <c r="G69" s="72"/>
      <c r="H69" s="72"/>
      <c r="I69" s="72"/>
      <c r="J69" s="72"/>
      <c r="K69" s="72"/>
      <c r="L69" s="81"/>
    </row>
    <row r="70" spans="1:84" ht="18.75" x14ac:dyDescent="0.3">
      <c r="A70" s="3"/>
      <c r="B70" s="80"/>
      <c r="C70" s="136" t="s">
        <v>10</v>
      </c>
      <c r="D70" s="310" t="e">
        <f>1.03666601394716E-07*D68^2 + 3.13639453549449E-06*D68 - 0.00113977364114182</f>
        <v>#VALUE!</v>
      </c>
      <c r="E70" s="256" t="s">
        <v>99</v>
      </c>
      <c r="F70" s="72"/>
      <c r="G70" s="72"/>
      <c r="H70" s="72"/>
      <c r="I70" s="72"/>
      <c r="J70" s="72"/>
      <c r="K70" s="72"/>
      <c r="L70" s="81"/>
    </row>
    <row r="71" spans="1:84" ht="15.75" thickBot="1" x14ac:dyDescent="0.3">
      <c r="A71" s="3"/>
      <c r="B71" s="211"/>
      <c r="C71" s="76"/>
      <c r="D71" s="257"/>
      <c r="E71" s="257"/>
      <c r="F71" s="76"/>
      <c r="G71" s="76"/>
      <c r="H71" s="76"/>
      <c r="I71" s="76"/>
      <c r="J71" s="76"/>
      <c r="K71" s="76"/>
      <c r="L71" s="77"/>
    </row>
    <row r="72" spans="1:84"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1:84"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1:84" ht="15.75" thickBot="1" x14ac:dyDescent="0.3">
      <c r="D74" s="140"/>
      <c r="N74" s="477"/>
      <c r="O74" s="480" t="s">
        <v>194</v>
      </c>
      <c r="P74" s="479"/>
      <c r="Q74" s="47"/>
      <c r="R74" s="47"/>
      <c r="S74" s="47"/>
      <c r="T74" s="47"/>
      <c r="U74" s="47"/>
      <c r="V74" s="47"/>
      <c r="W74" s="278"/>
      <c r="X74" s="178"/>
      <c r="Y74" s="48"/>
      <c r="Z74" s="47" t="s">
        <v>193</v>
      </c>
      <c r="AA74" s="47"/>
      <c r="AB74" s="47" t="e">
        <f>AN57</f>
        <v>#VALUE!</v>
      </c>
      <c r="AC74" s="47" t="s">
        <v>184</v>
      </c>
      <c r="AD74" s="47"/>
      <c r="AE74" s="47"/>
      <c r="AF74" s="47"/>
      <c r="AG74" s="47"/>
      <c r="AH74" s="47"/>
      <c r="AI74" s="47"/>
      <c r="AJ74" s="278"/>
    </row>
    <row r="75" spans="1:84" ht="15.75" thickBot="1" x14ac:dyDescent="0.3">
      <c r="N75" s="476"/>
      <c r="O75" s="47" t="s">
        <v>185</v>
      </c>
      <c r="P75" s="64">
        <v>1.8100000000000002E-2</v>
      </c>
      <c r="Q75" s="47" t="s">
        <v>182</v>
      </c>
      <c r="R75" s="47"/>
      <c r="S75" s="47"/>
      <c r="T75" s="47"/>
      <c r="U75" s="47"/>
      <c r="V75" s="47"/>
      <c r="W75" s="278"/>
      <c r="X75" s="175"/>
      <c r="Y75" s="48"/>
      <c r="Z75" s="47" t="s">
        <v>194</v>
      </c>
      <c r="AA75" s="47"/>
      <c r="AB75" s="471" t="e">
        <f>P78</f>
        <v>#VALUE!</v>
      </c>
      <c r="AC75" s="47" t="s">
        <v>184</v>
      </c>
      <c r="AD75" s="47"/>
      <c r="AE75" s="47"/>
      <c r="AF75" s="47"/>
      <c r="AG75" s="47"/>
      <c r="AH75" s="47"/>
      <c r="AI75" s="47"/>
      <c r="AJ75" s="278"/>
    </row>
    <row r="76" spans="1:84" ht="16.5" thickBot="1" x14ac:dyDescent="0.3">
      <c r="N76" s="477"/>
      <c r="O76" s="47" t="s">
        <v>195</v>
      </c>
      <c r="P76" s="64" t="e">
        <f>((2*D3)+(2*D4))</f>
        <v>#VALUE!</v>
      </c>
      <c r="Q76" s="47" t="s">
        <v>196</v>
      </c>
      <c r="R76" s="47"/>
      <c r="S76" s="47"/>
      <c r="T76" s="47"/>
      <c r="U76" s="47"/>
      <c r="V76" s="47"/>
      <c r="W76" s="278"/>
      <c r="X76" s="175"/>
      <c r="Y76" s="48"/>
      <c r="Z76" s="47" t="s">
        <v>192</v>
      </c>
      <c r="AA76" s="47"/>
      <c r="AB76" s="471" t="e">
        <f>P85</f>
        <v>#VALUE!</v>
      </c>
      <c r="AC76" s="47" t="s">
        <v>184</v>
      </c>
      <c r="AD76" s="47"/>
      <c r="AE76" s="47"/>
      <c r="AF76" s="47"/>
      <c r="AG76" s="47"/>
      <c r="AH76" s="47"/>
      <c r="AI76" s="47"/>
      <c r="AJ76" s="278"/>
      <c r="AL76" s="313"/>
      <c r="AM76" s="313"/>
      <c r="AN76" s="485"/>
      <c r="AO76" s="313"/>
    </row>
    <row r="77" spans="1:84" ht="16.5" thickBot="1" x14ac:dyDescent="0.3">
      <c r="N77" s="48"/>
      <c r="O77" s="47"/>
      <c r="P77" s="47"/>
      <c r="Q77" s="47"/>
      <c r="R77" s="47"/>
      <c r="S77" s="47"/>
      <c r="T77" s="47"/>
      <c r="U77" s="47"/>
      <c r="V77" s="47"/>
      <c r="W77" s="278"/>
      <c r="X77" s="175"/>
      <c r="Y77" s="48"/>
      <c r="Z77" s="47"/>
      <c r="AA77" s="47"/>
      <c r="AB77" s="47"/>
      <c r="AC77" s="47"/>
      <c r="AD77" s="47"/>
      <c r="AE77" s="47"/>
      <c r="AF77" s="47"/>
      <c r="AG77" s="47"/>
      <c r="AH77" s="47"/>
      <c r="AI77" s="47"/>
      <c r="AJ77" s="278"/>
      <c r="AK77" s="83"/>
      <c r="AL77" s="313"/>
      <c r="AM77" s="485"/>
      <c r="AN77" s="485"/>
      <c r="AO77" s="485"/>
    </row>
    <row r="78" spans="1:84" ht="16.5" thickBot="1" x14ac:dyDescent="0.3">
      <c r="N78" s="48"/>
      <c r="O78" s="492" t="s">
        <v>183</v>
      </c>
      <c r="P78" s="153" t="e">
        <f>P76*P75</f>
        <v>#VALUE!</v>
      </c>
      <c r="Q78" s="47" t="s">
        <v>184</v>
      </c>
      <c r="S78" s="47"/>
      <c r="T78" s="47"/>
      <c r="U78" s="47"/>
      <c r="V78" s="47"/>
      <c r="W78" s="278"/>
      <c r="X78" s="175"/>
      <c r="Y78" s="48"/>
      <c r="Z78" s="47" t="s">
        <v>91</v>
      </c>
      <c r="AA78" s="47"/>
      <c r="AB78" s="471" t="e">
        <f>AB74+AB75+AB76</f>
        <v>#VALUE!</v>
      </c>
      <c r="AC78" s="47" t="s">
        <v>184</v>
      </c>
      <c r="AD78" s="47"/>
      <c r="AE78" s="47"/>
      <c r="AF78" s="47"/>
      <c r="AG78" s="47"/>
      <c r="AH78" s="47"/>
      <c r="AI78" s="47"/>
      <c r="AJ78" s="278"/>
      <c r="AL78" s="486"/>
      <c r="AM78" s="485"/>
      <c r="AN78" s="487"/>
      <c r="AO78" s="485"/>
    </row>
    <row r="79" spans="1:84" ht="15.75" x14ac:dyDescent="0.25">
      <c r="N79" s="48"/>
      <c r="O79" s="480"/>
      <c r="P79" s="47"/>
      <c r="Q79" s="47"/>
      <c r="R79" s="47"/>
      <c r="S79" s="47"/>
      <c r="T79" s="47"/>
      <c r="U79" s="47"/>
      <c r="V79" s="47"/>
      <c r="W79" s="278"/>
      <c r="X79" s="175"/>
      <c r="Y79" s="48"/>
      <c r="Z79" s="47" t="s">
        <v>90</v>
      </c>
      <c r="AA79" s="47"/>
      <c r="AB79" s="471" t="e">
        <f>AB78/C11</f>
        <v>#VALUE!</v>
      </c>
      <c r="AC79" s="47" t="s">
        <v>184</v>
      </c>
      <c r="AD79" s="47"/>
      <c r="AE79" s="47"/>
      <c r="AF79" s="47"/>
      <c r="AG79" s="47"/>
      <c r="AH79" s="47"/>
      <c r="AI79" s="47"/>
      <c r="AJ79" s="278"/>
      <c r="AL79" s="313"/>
      <c r="AM79" s="485"/>
      <c r="AN79" s="485"/>
      <c r="AO79" s="485"/>
    </row>
    <row r="80" spans="1:84" x14ac:dyDescent="0.25">
      <c r="N80" s="48"/>
      <c r="O80" s="480"/>
      <c r="P80" s="47"/>
      <c r="Q80" s="47"/>
      <c r="R80" s="47"/>
      <c r="S80" s="47"/>
      <c r="T80" s="47"/>
      <c r="U80" s="47"/>
      <c r="V80" s="47"/>
      <c r="W80" s="278"/>
      <c r="X80" s="175"/>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X81" s="175"/>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X82" s="175"/>
      <c r="Y82" s="48"/>
      <c r="Z82" s="47"/>
      <c r="AA82" s="47"/>
      <c r="AB82" s="47"/>
      <c r="AC82" s="47"/>
      <c r="AD82" s="47"/>
      <c r="AE82" s="47"/>
      <c r="AF82" s="47"/>
      <c r="AG82" s="47"/>
      <c r="AH82" s="47"/>
      <c r="AI82" s="47"/>
      <c r="AJ82" s="278"/>
      <c r="AM82" s="146"/>
    </row>
    <row r="83" spans="14:43" ht="15.75" thickBot="1" x14ac:dyDescent="0.3">
      <c r="N83" s="48"/>
      <c r="O83" s="47" t="s">
        <v>197</v>
      </c>
      <c r="P83" s="64" t="e">
        <f>(D3*D4)</f>
        <v>#VALUE!</v>
      </c>
      <c r="Q83" s="47" t="s">
        <v>198</v>
      </c>
      <c r="R83" s="64"/>
      <c r="S83" s="47"/>
      <c r="T83" s="47"/>
      <c r="U83" s="47"/>
      <c r="V83" s="47"/>
      <c r="W83" s="278"/>
      <c r="X83" s="175"/>
      <c r="Y83" s="48"/>
      <c r="Z83" s="47"/>
      <c r="AA83" s="47"/>
      <c r="AB83" s="47"/>
      <c r="AC83" s="47"/>
      <c r="AD83" s="47"/>
      <c r="AE83" s="47"/>
      <c r="AF83" s="47"/>
      <c r="AG83" s="47"/>
      <c r="AH83" s="47"/>
      <c r="AI83" s="47"/>
      <c r="AJ83" s="278"/>
      <c r="AM83" s="146"/>
    </row>
    <row r="84" spans="14:43" ht="15.75" thickBot="1" x14ac:dyDescent="0.3">
      <c r="N84" s="48"/>
      <c r="O84" s="47"/>
      <c r="P84" s="47"/>
      <c r="Q84" s="47"/>
      <c r="R84" s="64"/>
      <c r="S84" s="47"/>
      <c r="T84" s="47"/>
      <c r="U84" s="47"/>
      <c r="V84" s="47"/>
      <c r="W84" s="278"/>
      <c r="X84" s="175"/>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X85" s="175"/>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X86" s="175"/>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X87" s="175"/>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X88" s="175"/>
      <c r="Y88" s="49"/>
      <c r="Z88" s="50"/>
      <c r="AA88" s="50"/>
      <c r="AB88" s="50"/>
      <c r="AC88" s="50"/>
      <c r="AD88" s="50"/>
      <c r="AE88" s="50"/>
      <c r="AF88" s="50"/>
      <c r="AG88" s="50"/>
      <c r="AH88" s="50"/>
      <c r="AI88" s="50"/>
      <c r="AJ88" s="279"/>
      <c r="AQ88" s="83"/>
    </row>
    <row r="89" spans="14:43" x14ac:dyDescent="0.25">
      <c r="O89" s="481"/>
      <c r="P89" s="482"/>
      <c r="Q89" s="175"/>
      <c r="R89" s="175"/>
      <c r="S89" s="175"/>
      <c r="T89" s="175"/>
      <c r="U89" s="175"/>
      <c r="V89" s="175"/>
      <c r="W89" s="175"/>
      <c r="X89" s="175"/>
      <c r="Y89" s="175"/>
      <c r="Z89" s="175"/>
      <c r="AA89" s="175"/>
      <c r="AB89" s="175"/>
      <c r="AC89" s="175"/>
      <c r="AD89" s="175"/>
      <c r="AE89" s="175"/>
      <c r="AF89" s="175"/>
      <c r="AG89" s="175"/>
      <c r="AH89" s="175"/>
      <c r="AI89" s="175"/>
      <c r="AK89" s="175"/>
      <c r="AQ89" s="83"/>
    </row>
    <row r="90" spans="14:43" x14ac:dyDescent="0.25">
      <c r="O90" s="481"/>
      <c r="P90" s="482"/>
      <c r="Q90" s="175"/>
      <c r="R90" s="175"/>
      <c r="S90" s="175"/>
      <c r="T90" s="175"/>
      <c r="U90" s="175"/>
      <c r="V90" s="175"/>
      <c r="W90" s="175"/>
      <c r="X90" s="175"/>
      <c r="Y90" s="175"/>
      <c r="Z90" s="175"/>
      <c r="AA90" s="175"/>
      <c r="AB90" s="175"/>
      <c r="AC90" s="175"/>
      <c r="AD90" s="175"/>
      <c r="AE90" s="175"/>
      <c r="AF90" s="175"/>
      <c r="AG90" s="175"/>
      <c r="AH90" s="175"/>
      <c r="AI90" s="175"/>
      <c r="AK90" s="175"/>
      <c r="AQ90" s="83"/>
    </row>
    <row r="91" spans="14:43" x14ac:dyDescent="0.25">
      <c r="O91" s="481"/>
      <c r="P91" s="482"/>
      <c r="Q91" s="175"/>
      <c r="R91" s="175"/>
      <c r="S91" s="175"/>
      <c r="T91" s="175"/>
      <c r="U91" s="175"/>
      <c r="V91" s="175"/>
      <c r="W91" s="175"/>
      <c r="X91" s="175"/>
      <c r="Y91" s="175"/>
      <c r="Z91" s="175"/>
      <c r="AA91" s="175"/>
      <c r="AB91" s="175"/>
      <c r="AC91" s="175"/>
      <c r="AD91" s="175"/>
      <c r="AE91" s="175"/>
      <c r="AF91" s="175"/>
      <c r="AG91" s="175"/>
      <c r="AH91" s="175"/>
      <c r="AI91" s="175"/>
      <c r="AK91" s="175"/>
      <c r="AQ91" s="83"/>
    </row>
    <row r="92" spans="14:43" x14ac:dyDescent="0.25">
      <c r="O92" s="481"/>
      <c r="P92" s="482"/>
      <c r="Q92" s="175"/>
      <c r="R92" s="175"/>
      <c r="S92" s="175"/>
      <c r="T92" s="175"/>
      <c r="U92" s="175"/>
      <c r="V92" s="175"/>
      <c r="W92" s="175"/>
      <c r="X92" s="175"/>
      <c r="Y92" s="175"/>
      <c r="Z92" s="175"/>
      <c r="AA92" s="175"/>
      <c r="AB92" s="175"/>
      <c r="AC92" s="175"/>
      <c r="AD92" s="175"/>
      <c r="AE92" s="175"/>
      <c r="AF92" s="175"/>
      <c r="AG92" s="175"/>
      <c r="AH92" s="175"/>
      <c r="AI92" s="175"/>
      <c r="AK92" s="175"/>
      <c r="AQ92" s="83"/>
    </row>
    <row r="93" spans="14:43" ht="18.75" customHeight="1" x14ac:dyDescent="0.25">
      <c r="O93" s="481"/>
      <c r="P93" s="482"/>
      <c r="Q93" s="175"/>
      <c r="R93" s="175"/>
      <c r="S93" s="175"/>
      <c r="T93" s="175"/>
      <c r="U93" s="175"/>
      <c r="V93" s="175"/>
      <c r="W93" s="175"/>
      <c r="X93" s="175"/>
      <c r="Y93" s="175"/>
      <c r="Z93" s="175"/>
      <c r="AA93" s="175"/>
      <c r="AB93" s="175"/>
      <c r="AC93" s="175"/>
      <c r="AD93" s="175"/>
      <c r="AE93" s="175"/>
      <c r="AF93" s="175"/>
      <c r="AG93" s="175"/>
      <c r="AH93" s="175"/>
      <c r="AI93" s="175"/>
      <c r="AK93" s="175"/>
      <c r="AQ93" s="83"/>
    </row>
    <row r="94" spans="14:43" ht="18.75" customHeight="1" x14ac:dyDescent="0.25">
      <c r="O94" s="481"/>
      <c r="P94" s="482"/>
      <c r="AK94" s="175"/>
      <c r="AQ94" s="83"/>
    </row>
    <row r="95" spans="14:43" x14ac:dyDescent="0.25">
      <c r="P95" s="482"/>
    </row>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c r="Q102" s="178"/>
      <c r="R102" s="178"/>
      <c r="S102" s="178"/>
      <c r="T102" s="178"/>
      <c r="U102" s="178"/>
      <c r="V102" s="178"/>
      <c r="W102" s="178"/>
      <c r="X102" s="178"/>
      <c r="Y102" s="178"/>
      <c r="Z102" s="178"/>
      <c r="AA102" s="178"/>
      <c r="AB102" s="178"/>
      <c r="AC102" s="178"/>
      <c r="AD102" s="178"/>
      <c r="AE102" s="178"/>
      <c r="AF102" s="178"/>
      <c r="AG102" s="178"/>
      <c r="AH102" s="178"/>
      <c r="AI102" s="178"/>
    </row>
    <row r="103" spans="14:41" x14ac:dyDescent="0.25">
      <c r="N103" s="483"/>
      <c r="O103" s="481"/>
      <c r="P103" s="482"/>
      <c r="Q103" s="175"/>
      <c r="R103" s="175"/>
      <c r="S103" s="175"/>
      <c r="T103" s="175"/>
      <c r="U103" s="175"/>
      <c r="V103" s="175"/>
      <c r="W103" s="175"/>
      <c r="X103" s="175"/>
      <c r="Y103" s="175"/>
      <c r="Z103" s="175"/>
      <c r="AA103" s="175"/>
      <c r="AB103" s="175"/>
      <c r="AC103" s="175"/>
      <c r="AD103" s="175"/>
      <c r="AE103" s="175"/>
      <c r="AF103" s="175"/>
      <c r="AG103" s="175"/>
      <c r="AH103" s="175"/>
      <c r="AI103" s="175"/>
    </row>
    <row r="104" spans="14:41" ht="15.75" x14ac:dyDescent="0.25">
      <c r="N104" s="484"/>
      <c r="O104" s="481"/>
      <c r="P104" s="482"/>
      <c r="Q104" s="175"/>
      <c r="R104" s="175"/>
      <c r="S104" s="175"/>
      <c r="T104" s="175"/>
      <c r="U104" s="175"/>
      <c r="V104" s="175"/>
      <c r="W104" s="175"/>
      <c r="X104" s="175"/>
      <c r="Y104" s="175"/>
      <c r="Z104" s="175"/>
      <c r="AA104" s="175"/>
      <c r="AB104" s="175"/>
      <c r="AC104" s="175"/>
      <c r="AD104" s="175"/>
      <c r="AE104" s="175"/>
      <c r="AF104" s="175"/>
      <c r="AG104" s="175"/>
      <c r="AH104" s="175"/>
      <c r="AI104" s="175"/>
      <c r="AL104" s="313"/>
      <c r="AM104" s="313"/>
      <c r="AN104" s="485"/>
      <c r="AO104" s="313"/>
    </row>
    <row r="105" spans="14:41" ht="15.75" x14ac:dyDescent="0.25">
      <c r="O105" s="481"/>
      <c r="P105" s="482"/>
      <c r="Q105" s="175"/>
      <c r="R105" s="175"/>
      <c r="S105" s="175"/>
      <c r="T105" s="175"/>
      <c r="U105" s="175"/>
      <c r="V105" s="175"/>
      <c r="W105" s="175"/>
      <c r="X105" s="175"/>
      <c r="Y105" s="175"/>
      <c r="Z105" s="175"/>
      <c r="AA105" s="175"/>
      <c r="AB105" s="175"/>
      <c r="AC105" s="175"/>
      <c r="AD105" s="175"/>
      <c r="AE105" s="175"/>
      <c r="AF105" s="175"/>
      <c r="AG105" s="175"/>
      <c r="AH105" s="175"/>
      <c r="AI105" s="175"/>
      <c r="AK105" s="83"/>
      <c r="AL105" s="313"/>
      <c r="AM105" s="485"/>
      <c r="AN105" s="485"/>
      <c r="AO105" s="485"/>
    </row>
    <row r="106" spans="14:41" ht="15.75" x14ac:dyDescent="0.25">
      <c r="O106" s="481"/>
      <c r="P106" s="482"/>
      <c r="Q106" s="175"/>
      <c r="R106" s="175"/>
      <c r="S106" s="175"/>
      <c r="T106" s="175"/>
      <c r="U106" s="175"/>
      <c r="V106" s="175"/>
      <c r="W106" s="175"/>
      <c r="X106" s="175"/>
      <c r="Y106" s="175"/>
      <c r="Z106" s="175"/>
      <c r="AA106" s="175"/>
      <c r="AB106" s="175"/>
      <c r="AC106" s="175"/>
      <c r="AD106" s="175"/>
      <c r="AE106" s="175"/>
      <c r="AF106" s="175"/>
      <c r="AG106" s="175"/>
      <c r="AH106" s="175"/>
      <c r="AI106" s="175"/>
      <c r="AL106" s="486"/>
      <c r="AM106" s="485"/>
      <c r="AN106" s="487"/>
      <c r="AO106" s="485"/>
    </row>
    <row r="107" spans="14:41" ht="15.75" x14ac:dyDescent="0.25">
      <c r="O107" s="481"/>
      <c r="P107" s="482"/>
      <c r="Q107" s="175"/>
      <c r="R107" s="175"/>
      <c r="S107" s="175"/>
      <c r="T107" s="175"/>
      <c r="U107" s="175"/>
      <c r="V107" s="175"/>
      <c r="W107" s="175"/>
      <c r="X107" s="175"/>
      <c r="Y107" s="175"/>
      <c r="Z107" s="175"/>
      <c r="AA107" s="175"/>
      <c r="AB107" s="175"/>
      <c r="AC107" s="175"/>
      <c r="AD107" s="175"/>
      <c r="AE107" s="175"/>
      <c r="AF107" s="175"/>
      <c r="AG107" s="175"/>
      <c r="AH107" s="175"/>
      <c r="AI107" s="175"/>
      <c r="AL107" s="313"/>
      <c r="AM107" s="485"/>
      <c r="AN107" s="485"/>
      <c r="AO107" s="485"/>
    </row>
    <row r="108" spans="14:41" x14ac:dyDescent="0.25">
      <c r="O108" s="481"/>
      <c r="P108" s="482"/>
      <c r="Q108" s="175"/>
      <c r="R108" s="175"/>
      <c r="S108" s="175"/>
      <c r="T108" s="175"/>
      <c r="U108" s="175"/>
      <c r="V108" s="175"/>
      <c r="W108" s="175"/>
      <c r="X108" s="175"/>
      <c r="Y108" s="175"/>
      <c r="Z108" s="175"/>
      <c r="AA108" s="175"/>
      <c r="AB108" s="175"/>
      <c r="AC108" s="175"/>
      <c r="AD108" s="175"/>
      <c r="AE108" s="175"/>
      <c r="AF108" s="175"/>
      <c r="AG108" s="175"/>
      <c r="AH108" s="175"/>
      <c r="AI108" s="175"/>
    </row>
    <row r="109" spans="14:41" x14ac:dyDescent="0.25">
      <c r="O109" s="481"/>
      <c r="P109" s="482"/>
      <c r="Q109" s="175"/>
      <c r="R109" s="175"/>
      <c r="S109" s="175"/>
      <c r="T109" s="175"/>
      <c r="U109" s="175"/>
      <c r="V109" s="175"/>
      <c r="W109" s="175"/>
      <c r="X109" s="175"/>
      <c r="Y109" s="175"/>
      <c r="Z109" s="175"/>
      <c r="AA109" s="175"/>
      <c r="AB109" s="175"/>
      <c r="AC109" s="175"/>
      <c r="AD109" s="175"/>
      <c r="AE109" s="175"/>
      <c r="AF109" s="175"/>
      <c r="AG109" s="175"/>
      <c r="AH109" s="175"/>
      <c r="AI109" s="175"/>
    </row>
    <row r="110" spans="14:41" x14ac:dyDescent="0.25">
      <c r="O110" s="481"/>
      <c r="P110" s="482"/>
      <c r="Q110" s="175"/>
      <c r="R110" s="175"/>
      <c r="S110" s="175"/>
      <c r="T110" s="175"/>
      <c r="U110" s="175"/>
      <c r="V110" s="175"/>
      <c r="W110" s="175"/>
      <c r="X110" s="175"/>
      <c r="Y110" s="175"/>
      <c r="Z110" s="175"/>
      <c r="AA110" s="175"/>
      <c r="AB110" s="175"/>
      <c r="AC110" s="175"/>
      <c r="AD110" s="175"/>
      <c r="AE110" s="175"/>
      <c r="AF110" s="175"/>
      <c r="AG110" s="175"/>
      <c r="AH110" s="175"/>
      <c r="AI110" s="175"/>
    </row>
    <row r="111" spans="14:41" x14ac:dyDescent="0.25">
      <c r="O111" s="481"/>
      <c r="P111" s="482"/>
      <c r="Q111" s="175"/>
      <c r="R111" s="175"/>
      <c r="S111" s="175"/>
      <c r="T111" s="175"/>
      <c r="U111" s="175"/>
      <c r="V111" s="175"/>
      <c r="W111" s="175"/>
      <c r="X111" s="175"/>
      <c r="Y111" s="175"/>
      <c r="Z111" s="175"/>
      <c r="AA111" s="175"/>
      <c r="AB111" s="175"/>
      <c r="AC111" s="175"/>
      <c r="AD111" s="175"/>
      <c r="AE111" s="175"/>
      <c r="AF111" s="175"/>
      <c r="AG111" s="175"/>
      <c r="AH111" s="175"/>
      <c r="AI111" s="175"/>
    </row>
    <row r="112" spans="14:41" x14ac:dyDescent="0.25">
      <c r="O112" s="481"/>
      <c r="P112" s="482"/>
      <c r="Q112" s="175"/>
      <c r="R112" s="175"/>
      <c r="S112" s="175"/>
      <c r="T112" s="175"/>
      <c r="U112" s="175"/>
      <c r="V112" s="175"/>
      <c r="W112" s="175"/>
      <c r="X112" s="175"/>
      <c r="Y112" s="175"/>
      <c r="Z112" s="175"/>
      <c r="AA112" s="175"/>
      <c r="AB112" s="175"/>
      <c r="AC112" s="175"/>
      <c r="AD112" s="175"/>
      <c r="AE112" s="175"/>
      <c r="AF112" s="175"/>
      <c r="AG112" s="175"/>
      <c r="AH112" s="175"/>
      <c r="AI112" s="175"/>
    </row>
    <row r="113" spans="15:43" ht="15.75" x14ac:dyDescent="0.25">
      <c r="O113" s="481"/>
      <c r="P113" s="482"/>
      <c r="Q113" s="175"/>
      <c r="R113" s="175"/>
      <c r="S113" s="175"/>
      <c r="T113" s="175"/>
      <c r="U113" s="175"/>
      <c r="V113" s="175"/>
      <c r="W113" s="175"/>
      <c r="X113" s="175"/>
      <c r="Y113" s="175"/>
      <c r="Z113" s="175"/>
      <c r="AA113" s="175"/>
      <c r="AB113" s="175"/>
      <c r="AC113" s="175"/>
      <c r="AD113" s="175"/>
      <c r="AE113" s="175"/>
      <c r="AF113" s="175"/>
      <c r="AG113" s="175"/>
      <c r="AH113" s="175"/>
      <c r="AI113" s="175"/>
      <c r="AN113" s="488"/>
    </row>
    <row r="114" spans="15:43" ht="15.75" x14ac:dyDescent="0.25">
      <c r="O114" s="481"/>
      <c r="P114" s="482"/>
      <c r="Q114" s="175"/>
      <c r="R114" s="175"/>
      <c r="S114" s="175"/>
      <c r="T114" s="175"/>
      <c r="U114" s="175"/>
      <c r="V114" s="175"/>
      <c r="W114" s="175"/>
      <c r="X114" s="175"/>
      <c r="Y114" s="175"/>
      <c r="Z114" s="175"/>
      <c r="AA114" s="175"/>
      <c r="AB114" s="175"/>
      <c r="AC114" s="175"/>
      <c r="AD114" s="175"/>
      <c r="AE114" s="175"/>
      <c r="AF114" s="175"/>
      <c r="AG114" s="175"/>
      <c r="AH114" s="175"/>
      <c r="AI114" s="175"/>
      <c r="AM114" s="488"/>
      <c r="AN114" s="488"/>
    </row>
    <row r="115" spans="15:43" x14ac:dyDescent="0.25">
      <c r="O115" s="481"/>
      <c r="P115" s="482"/>
      <c r="Q115" s="175"/>
      <c r="R115" s="175"/>
      <c r="S115" s="175"/>
      <c r="T115" s="175"/>
      <c r="U115" s="175"/>
      <c r="V115" s="175"/>
      <c r="W115" s="175"/>
      <c r="X115" s="175"/>
      <c r="Y115" s="175"/>
      <c r="Z115" s="175"/>
      <c r="AA115" s="175"/>
      <c r="AB115" s="175"/>
      <c r="AC115" s="175"/>
      <c r="AD115" s="175"/>
      <c r="AE115" s="175"/>
      <c r="AF115" s="175"/>
      <c r="AG115" s="175"/>
      <c r="AH115" s="175"/>
      <c r="AI115" s="175"/>
    </row>
    <row r="116" spans="15:43" x14ac:dyDescent="0.25">
      <c r="O116" s="481"/>
      <c r="P116" s="482"/>
      <c r="Q116" s="175"/>
      <c r="R116" s="175"/>
      <c r="S116" s="175"/>
      <c r="T116" s="175"/>
      <c r="U116" s="175"/>
      <c r="V116" s="175"/>
      <c r="W116" s="175"/>
      <c r="X116" s="175"/>
      <c r="Y116" s="175"/>
      <c r="Z116" s="175"/>
      <c r="AA116" s="175"/>
      <c r="AB116" s="175"/>
      <c r="AC116" s="175"/>
      <c r="AD116" s="175"/>
      <c r="AE116" s="175"/>
      <c r="AF116" s="175"/>
      <c r="AG116" s="175"/>
      <c r="AH116" s="175"/>
      <c r="AI116" s="175"/>
      <c r="AQ116" s="83"/>
    </row>
    <row r="117" spans="15:43" x14ac:dyDescent="0.25">
      <c r="O117" s="481"/>
      <c r="P117" s="482"/>
      <c r="Q117" s="175"/>
      <c r="R117" s="175"/>
      <c r="S117" s="175"/>
      <c r="T117" s="175"/>
      <c r="U117" s="175"/>
      <c r="V117" s="175"/>
      <c r="W117" s="175"/>
      <c r="X117" s="175"/>
      <c r="Y117" s="175"/>
      <c r="Z117" s="175"/>
      <c r="AA117" s="175"/>
      <c r="AB117" s="175"/>
      <c r="AC117" s="175"/>
      <c r="AD117" s="175"/>
      <c r="AE117" s="175"/>
      <c r="AF117" s="175"/>
      <c r="AG117" s="175"/>
      <c r="AH117" s="175"/>
      <c r="AI117" s="175"/>
      <c r="AK117" s="175"/>
      <c r="AQ117" s="83"/>
    </row>
    <row r="118" spans="15:43" x14ac:dyDescent="0.25">
      <c r="O118" s="481"/>
      <c r="P118" s="482"/>
      <c r="Q118" s="175"/>
      <c r="R118" s="175"/>
      <c r="S118" s="175"/>
      <c r="T118" s="175"/>
      <c r="U118" s="175"/>
      <c r="V118" s="175"/>
      <c r="W118" s="175"/>
      <c r="X118" s="175"/>
      <c r="Y118" s="175"/>
      <c r="Z118" s="175"/>
      <c r="AA118" s="175"/>
      <c r="AB118" s="175"/>
      <c r="AC118" s="175"/>
      <c r="AD118" s="175"/>
      <c r="AE118" s="175"/>
      <c r="AF118" s="175"/>
      <c r="AG118" s="175"/>
      <c r="AH118" s="175"/>
      <c r="AI118" s="175"/>
      <c r="AK118" s="175"/>
      <c r="AQ118" s="83"/>
    </row>
    <row r="119" spans="15:43" x14ac:dyDescent="0.25">
      <c r="O119" s="481"/>
      <c r="P119" s="482"/>
      <c r="Q119" s="175"/>
      <c r="R119" s="175"/>
      <c r="S119" s="175"/>
      <c r="T119" s="175"/>
      <c r="U119" s="175"/>
      <c r="V119" s="175"/>
      <c r="W119" s="175"/>
      <c r="X119" s="175"/>
      <c r="Y119" s="175"/>
      <c r="Z119" s="175"/>
      <c r="AA119" s="175"/>
      <c r="AB119" s="175"/>
      <c r="AC119" s="175"/>
      <c r="AD119" s="175"/>
      <c r="AE119" s="175"/>
      <c r="AF119" s="175"/>
      <c r="AG119" s="175"/>
      <c r="AH119" s="175"/>
      <c r="AI119" s="175"/>
      <c r="AK119" s="175"/>
      <c r="AQ119" s="83"/>
    </row>
    <row r="120" spans="15:43" x14ac:dyDescent="0.25">
      <c r="O120" s="481"/>
      <c r="P120" s="482"/>
      <c r="Q120" s="175"/>
      <c r="R120" s="175"/>
      <c r="S120" s="175"/>
      <c r="T120" s="175"/>
      <c r="U120" s="175"/>
      <c r="V120" s="175"/>
      <c r="W120" s="175"/>
      <c r="X120" s="175"/>
      <c r="Y120" s="175"/>
      <c r="Z120" s="175"/>
      <c r="AA120" s="175"/>
      <c r="AB120" s="175"/>
      <c r="AC120" s="175"/>
      <c r="AD120" s="175"/>
      <c r="AE120" s="175"/>
      <c r="AF120" s="175"/>
      <c r="AG120" s="175"/>
      <c r="AH120" s="175"/>
      <c r="AI120" s="175"/>
      <c r="AK120" s="175"/>
      <c r="AQ120" s="83"/>
    </row>
    <row r="121" spans="15:43" x14ac:dyDescent="0.25">
      <c r="O121" s="481"/>
      <c r="P121" s="482"/>
      <c r="Q121" s="175"/>
      <c r="R121" s="175"/>
      <c r="S121" s="175"/>
      <c r="T121" s="175"/>
      <c r="U121" s="175"/>
      <c r="V121" s="175"/>
      <c r="W121" s="175"/>
      <c r="X121" s="175"/>
      <c r="Y121" s="175"/>
      <c r="Z121" s="175"/>
      <c r="AA121" s="175"/>
      <c r="AB121" s="175"/>
      <c r="AC121" s="175"/>
      <c r="AD121" s="175"/>
      <c r="AE121" s="175"/>
      <c r="AF121" s="175"/>
      <c r="AG121" s="175"/>
      <c r="AH121" s="175"/>
      <c r="AI121" s="175"/>
      <c r="AK121" s="175"/>
      <c r="AQ121" s="83"/>
    </row>
    <row r="122" spans="15:43" x14ac:dyDescent="0.25">
      <c r="O122" s="481"/>
      <c r="P122" s="482"/>
      <c r="AK122" s="175"/>
      <c r="AQ122" s="83"/>
    </row>
    <row r="123" spans="15:43" x14ac:dyDescent="0.25">
      <c r="P123" s="482"/>
    </row>
    <row r="137" ht="150.75" customHeight="1" x14ac:dyDescent="0.25"/>
    <row r="145" spans="3:3" x14ac:dyDescent="0.25">
      <c r="C145" s="179"/>
    </row>
    <row r="146" spans="3:3" x14ac:dyDescent="0.25">
      <c r="C146" s="179"/>
    </row>
    <row r="278" spans="14:15" x14ac:dyDescent="0.25">
      <c r="N278" s="146"/>
      <c r="O278" s="145"/>
    </row>
  </sheetData>
  <sheetProtection selectLockedCells="1" selectUnlockedCells="1"/>
  <mergeCells count="6">
    <mergeCell ref="D16:V16"/>
    <mergeCell ref="N45:N46"/>
    <mergeCell ref="AT16:IN16"/>
    <mergeCell ref="AU18:AV20"/>
    <mergeCell ref="AX18:HW19"/>
    <mergeCell ref="IG19:IM19"/>
  </mergeCells>
  <conditionalFormatting sqref="Q48:AA61">
    <cfRule type="colorScale" priority="6">
      <colorScale>
        <cfvo type="min"/>
        <cfvo type="percentile" val="50"/>
        <cfvo type="max"/>
        <color rgb="FF63BE7B"/>
        <color rgb="FFFFEB84"/>
        <color rgb="FFF8696B"/>
      </colorScale>
    </cfRule>
  </conditionalFormatting>
  <conditionalFormatting sqref="Q89:AA89 X76:X88">
    <cfRule type="colorScale" priority="3">
      <colorScale>
        <cfvo type="min"/>
        <cfvo type="percentile" val="50"/>
        <cfvo type="max"/>
        <color rgb="FF63BE7B"/>
        <color rgb="FFFFEB84"/>
        <color rgb="FFF8696B"/>
      </colorScale>
    </cfRule>
  </conditionalFormatting>
  <conditionalFormatting sqref="Q104:AA117">
    <cfRule type="colorScale" priority="2">
      <colorScale>
        <cfvo type="min"/>
        <cfvo type="percentile" val="50"/>
        <cfvo type="max"/>
        <color rgb="FF63BE7B"/>
        <color rgb="FFFFEB84"/>
        <color rgb="FFF8696B"/>
      </colorScale>
    </cfRule>
  </conditionalFormatting>
  <conditionalFormatting sqref="Q94:AB94">
    <cfRule type="colorScale" priority="5">
      <colorScale>
        <cfvo type="min"/>
        <cfvo type="percentile" val="50"/>
        <cfvo type="max"/>
        <color rgb="FF63BE7B"/>
        <color rgb="FFFFEB84"/>
        <color rgb="FFF8696B"/>
      </colorScale>
    </cfRule>
  </conditionalFormatting>
  <conditionalFormatting sqref="Q122:AB122 AJ103:AJ112">
    <cfRule type="colorScale" priority="4">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IN278"/>
  <sheetViews>
    <sheetView topLeftCell="L31" zoomScale="80" zoomScaleNormal="80" workbookViewId="0">
      <selection activeCell="N67" sqref="N67:N68"/>
    </sheetView>
  </sheetViews>
  <sheetFormatPr defaultRowHeight="15" x14ac:dyDescent="0.25"/>
  <cols>
    <col min="1" max="1" width="12.85546875" customWidth="1"/>
    <col min="2" max="2" width="20.28515625" customWidth="1"/>
    <col min="3" max="3" width="19.7109375" customWidth="1"/>
    <col min="4" max="4" width="13.7109375" customWidth="1"/>
    <col min="5" max="5" width="20.140625" customWidth="1"/>
    <col min="6" max="6" width="13.42578125" customWidth="1"/>
    <col min="7" max="7" width="9.85546875" customWidth="1"/>
    <col min="8" max="8" width="10" customWidth="1"/>
    <col min="9" max="9" width="13.42578125" customWidth="1"/>
    <col min="10" max="10" width="10.28515625" customWidth="1"/>
    <col min="11" max="11" width="15.140625" customWidth="1"/>
    <col min="12" max="12" width="9.140625" customWidth="1"/>
    <col min="13" max="13" width="12.42578125" customWidth="1"/>
    <col min="14" max="14" width="19.5703125" customWidth="1"/>
    <col min="15" max="15" width="16.42578125" customWidth="1"/>
    <col min="16" max="16" width="11.85546875" customWidth="1"/>
    <col min="18" max="21" width="9.140625" customWidth="1"/>
    <col min="22" max="22" width="13.28515625" customWidth="1"/>
    <col min="23" max="25" width="9.140625" customWidth="1"/>
    <col min="28" max="35" width="9.140625" customWidth="1"/>
    <col min="38" max="38" width="12.42578125" customWidth="1"/>
    <col min="39" max="45" width="9.140625" customWidth="1"/>
    <col min="48" max="51" width="9.140625" customWidth="1"/>
    <col min="52" max="55" width="9.140625" hidden="1" customWidth="1"/>
    <col min="56" max="57" width="0" hidden="1" customWidth="1"/>
    <col min="58" max="59" width="9.140625" hidden="1" customWidth="1"/>
    <col min="60" max="62" width="9.140625" customWidth="1"/>
    <col min="63"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6" width="0" hidden="1" customWidth="1"/>
    <col min="107" max="107" width="12.140625" hidden="1" customWidth="1"/>
    <col min="108" max="109" width="9.140625" hidden="1" customWidth="1"/>
    <col min="110" max="111" width="9.140625" customWidth="1"/>
    <col min="112" max="115" width="9.140625" hidden="1" customWidth="1"/>
    <col min="116" max="117" width="0"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4" width="9.140625" hidden="1" customWidth="1"/>
    <col min="195" max="195" width="18.140625" hidden="1" customWidth="1"/>
    <col min="196" max="196" width="15.140625" hidden="1" customWidth="1"/>
    <col min="197" max="197" width="17.85546875" hidden="1" customWidth="1"/>
    <col min="198" max="198" width="29" hidden="1" customWidth="1"/>
    <col min="199" max="199" width="30.28515625" hidden="1" customWidth="1"/>
    <col min="200" max="200" width="35.42578125" hidden="1" customWidth="1"/>
    <col min="201" max="201" width="26.140625" hidden="1" customWidth="1"/>
    <col min="202" max="202" width="22.5703125" hidden="1" customWidth="1"/>
    <col min="203" max="203" width="28" hidden="1" customWidth="1"/>
    <col min="204" max="206" width="0" hidden="1" customWidth="1"/>
    <col min="207" max="207" width="20.28515625" hidden="1" customWidth="1"/>
    <col min="208" max="208" width="36" hidden="1" customWidth="1"/>
    <col min="209" max="209" width="35.42578125" hidden="1" customWidth="1"/>
    <col min="210" max="210" width="33.42578125" hidden="1" customWidth="1"/>
    <col min="211" max="211" width="30.85546875" hidden="1" customWidth="1"/>
    <col min="212" max="214" width="0" hidden="1" customWidth="1"/>
    <col min="215" max="215" width="18.28515625" hidden="1" customWidth="1"/>
    <col min="216" max="239" width="0" hidden="1" customWidth="1"/>
  </cols>
  <sheetData>
    <row r="1" spans="2:248" ht="21.75" thickBot="1" x14ac:dyDescent="0.4">
      <c r="B1" s="315" t="s">
        <v>39</v>
      </c>
      <c r="C1" s="381" t="s">
        <v>109</v>
      </c>
      <c r="D1" s="387"/>
      <c r="E1" s="387"/>
      <c r="F1" s="388"/>
    </row>
    <row r="2" spans="2:248" ht="21" x14ac:dyDescent="0.35">
      <c r="B2" s="382" t="s">
        <v>40</v>
      </c>
      <c r="C2" s="314"/>
      <c r="D2" s="314" t="s">
        <v>73</v>
      </c>
      <c r="E2" s="314"/>
      <c r="F2" s="331"/>
      <c r="H2" s="403" t="s">
        <v>277</v>
      </c>
      <c r="I2" s="387"/>
      <c r="J2" s="388"/>
      <c r="N2" s="315" t="s">
        <v>64</v>
      </c>
      <c r="O2" s="316"/>
      <c r="P2" s="316"/>
      <c r="Q2" s="316"/>
      <c r="R2" s="316"/>
      <c r="S2" s="316"/>
      <c r="T2" s="316"/>
      <c r="U2" s="316"/>
      <c r="V2" s="316"/>
      <c r="W2" s="324"/>
    </row>
    <row r="3" spans="2:248" ht="18.75" x14ac:dyDescent="0.3">
      <c r="B3" s="382" t="s">
        <v>41</v>
      </c>
      <c r="C3" s="314" t="str">
        <f>IF('DATA ENTRY'!B9="mm",'DATA ENTRY'!B10/25.4,'DATA ENTRY'!B10)</f>
        <v>ENTER WIDTH</v>
      </c>
      <c r="D3" s="287" t="e">
        <f>IF('DATA ENTRY'!B12="ACTUAL",'QAF845'!C3,'QAF845'!C3-0.5)</f>
        <v>#VALUE!</v>
      </c>
      <c r="E3" s="314"/>
      <c r="F3" s="331"/>
      <c r="G3" s="175"/>
      <c r="H3" s="330" t="s">
        <v>278</v>
      </c>
      <c r="J3" s="331" t="e">
        <f>D3*D4/144</f>
        <v>#VALUE!</v>
      </c>
      <c r="N3" s="280"/>
      <c r="O3" s="282"/>
      <c r="P3" s="282"/>
      <c r="Q3" s="282"/>
      <c r="R3" s="282"/>
      <c r="S3" s="282"/>
      <c r="T3" s="282"/>
      <c r="U3" s="282"/>
      <c r="V3" s="282"/>
      <c r="W3" s="291"/>
      <c r="X3" s="313"/>
    </row>
    <row r="4" spans="2:248" ht="18.75" x14ac:dyDescent="0.3">
      <c r="B4" s="382" t="s">
        <v>42</v>
      </c>
      <c r="C4" s="314" t="str">
        <f>IF('DATA ENTRY'!B11=400,15.75,IF('DATA ENTRY'!B9="mm",'DATA ENTRY'!B11/25.4,'DATA ENTRY'!B11))</f>
        <v>ENTER HEIGHT</v>
      </c>
      <c r="D4" s="287" t="e">
        <f>IF('DATA ENTRY'!B12="ACTUAL",'QAF845'!C4,'QAF845'!C4-0.5)</f>
        <v>#VALUE!</v>
      </c>
      <c r="E4" s="314"/>
      <c r="F4" s="331"/>
      <c r="H4" s="330" t="s">
        <v>279</v>
      </c>
      <c r="I4" s="314"/>
      <c r="J4" s="331" t="e">
        <f>C5/J3</f>
        <v>#VALUE!</v>
      </c>
      <c r="N4" s="280"/>
      <c r="O4" s="282" t="str">
        <f>C1&amp;"_MODEL"</f>
        <v>QAF845_MODEL</v>
      </c>
      <c r="P4" s="282" t="s">
        <v>112</v>
      </c>
      <c r="Q4" s="282"/>
      <c r="R4" s="282"/>
      <c r="S4" s="282"/>
      <c r="T4" s="282"/>
      <c r="U4" s="282"/>
      <c r="V4" s="287" t="s">
        <v>116</v>
      </c>
      <c r="W4" s="291"/>
      <c r="X4" s="313"/>
    </row>
    <row r="5" spans="2:248" ht="18.75" x14ac:dyDescent="0.3">
      <c r="B5" s="382" t="s">
        <v>43</v>
      </c>
      <c r="C5" s="509" t="str">
        <f>IF('DATA ENTRY'!B9="mm",'DATA ENTRY'!B13*2.1188799727597,'DATA ENTRY'!B13)</f>
        <v>ENTER AIR VOLUME</v>
      </c>
      <c r="D5" s="314"/>
      <c r="E5" s="314"/>
      <c r="F5" s="331"/>
      <c r="H5" s="330"/>
      <c r="I5" s="314"/>
      <c r="J5" s="331"/>
      <c r="N5" s="280" t="s">
        <v>93</v>
      </c>
      <c r="O5" s="282" t="str">
        <f>C1&amp;"_FA"</f>
        <v>QAF845_FA</v>
      </c>
      <c r="P5" s="283" t="e">
        <f>D64</f>
        <v>#VALUE!</v>
      </c>
      <c r="Q5" s="282" t="s">
        <v>45</v>
      </c>
      <c r="R5" s="282"/>
      <c r="S5" s="282"/>
      <c r="T5" s="282"/>
      <c r="U5" s="282"/>
      <c r="V5" s="282" t="str">
        <f>C1&amp;"_W"</f>
        <v>QAF845_W</v>
      </c>
      <c r="W5" s="286" t="e">
        <f>D3</f>
        <v>#VALUE!</v>
      </c>
      <c r="X5" s="313"/>
    </row>
    <row r="6" spans="2:248" ht="18.75" x14ac:dyDescent="0.3">
      <c r="B6" s="382" t="s">
        <v>44</v>
      </c>
      <c r="C6" s="383" t="str">
        <f>'DATA ENTRY'!B14</f>
        <v>SELECT AIR DIRECTION</v>
      </c>
      <c r="D6" s="314"/>
      <c r="E6" s="314"/>
      <c r="F6" s="331"/>
      <c r="H6" s="330"/>
      <c r="I6" s="314"/>
      <c r="J6" s="331"/>
      <c r="N6" s="280" t="s">
        <v>70</v>
      </c>
      <c r="O6" s="282" t="str">
        <f>C1&amp;"_FA%"</f>
        <v>QAF845_FA%</v>
      </c>
      <c r="P6" s="284" t="e">
        <f>D66</f>
        <v>#VALUE!</v>
      </c>
      <c r="Q6" s="282" t="s">
        <v>16</v>
      </c>
      <c r="R6" s="282"/>
      <c r="S6" s="282"/>
      <c r="T6" s="282"/>
      <c r="U6" s="282"/>
      <c r="V6" s="282" t="str">
        <f>C1&amp;"_H"</f>
        <v>QAF845_H</v>
      </c>
      <c r="W6" s="286" t="e">
        <f>D4</f>
        <v>#VALUE!</v>
      </c>
      <c r="X6" s="313"/>
    </row>
    <row r="7" spans="2:248" ht="19.5" thickBot="1" x14ac:dyDescent="0.35">
      <c r="B7" s="330"/>
      <c r="C7" s="314"/>
      <c r="D7" s="314"/>
      <c r="E7" s="314"/>
      <c r="F7" s="331"/>
      <c r="H7" s="543"/>
      <c r="I7" s="544"/>
      <c r="J7" s="545"/>
      <c r="N7" s="280" t="s">
        <v>96</v>
      </c>
      <c r="O7" s="282" t="str">
        <f>C1&amp;"_VEL"</f>
        <v>QAF845_VEL</v>
      </c>
      <c r="P7" s="284" t="e">
        <f>D68</f>
        <v>#VALUE!</v>
      </c>
      <c r="Q7" s="282" t="s">
        <v>0</v>
      </c>
      <c r="R7" s="282"/>
      <c r="S7" s="282"/>
      <c r="T7" s="282"/>
      <c r="U7" s="282"/>
      <c r="V7" s="282" t="str">
        <f>C1&amp;"_SW"</f>
        <v>QAF845_SW</v>
      </c>
      <c r="W7" s="286" t="e">
        <f>C8</f>
        <v>#VALUE!</v>
      </c>
      <c r="X7" s="313"/>
    </row>
    <row r="8" spans="2:248" ht="18.75" x14ac:dyDescent="0.3">
      <c r="B8" s="382" t="s">
        <v>74</v>
      </c>
      <c r="C8" s="314" t="e">
        <f>CEILING(D3/72,1)</f>
        <v>#VALUE!</v>
      </c>
      <c r="D8" s="314"/>
      <c r="E8" s="314" t="s">
        <v>75</v>
      </c>
      <c r="F8" s="331" t="e">
        <f>CEILING(D4/96,1)</f>
        <v>#VALUE!</v>
      </c>
      <c r="N8" s="280" t="s">
        <v>94</v>
      </c>
      <c r="O8" s="282" t="str">
        <f>C1&amp;"_Intake"</f>
        <v>QAF845_Intake</v>
      </c>
      <c r="P8" s="285" t="e">
        <f>D69</f>
        <v>#VALUE!</v>
      </c>
      <c r="Q8" s="282" t="s">
        <v>99</v>
      </c>
      <c r="R8" s="282"/>
      <c r="S8" s="282"/>
      <c r="T8" s="282"/>
      <c r="U8" s="282"/>
      <c r="V8" s="282" t="str">
        <f>C1&amp;"_SH"</f>
        <v>QAF845_SH</v>
      </c>
      <c r="W8" s="286" t="e">
        <f>F8</f>
        <v>#VALUE!</v>
      </c>
      <c r="X8" s="313"/>
    </row>
    <row r="9" spans="2:248" ht="18.75" x14ac:dyDescent="0.3">
      <c r="B9" s="382" t="s">
        <v>72</v>
      </c>
      <c r="C9" s="314" t="e">
        <f>D3/C8</f>
        <v>#VALUE!</v>
      </c>
      <c r="D9" s="314"/>
      <c r="E9" s="314" t="s">
        <v>63</v>
      </c>
      <c r="F9" s="331" t="e">
        <f>D4/F8</f>
        <v>#VALUE!</v>
      </c>
      <c r="N9" s="280" t="s">
        <v>95</v>
      </c>
      <c r="O9" s="282" t="str">
        <f>C1&amp;"_Exhaust"</f>
        <v>QAF845_Exhaust</v>
      </c>
      <c r="P9" s="285" t="e">
        <f>D70</f>
        <v>#VALUE!</v>
      </c>
      <c r="Q9" s="282" t="s">
        <v>99</v>
      </c>
      <c r="R9" s="282"/>
      <c r="S9" s="282"/>
      <c r="T9" s="282"/>
      <c r="U9" s="282"/>
      <c r="V9" s="282"/>
      <c r="W9" s="291"/>
      <c r="X9" s="313"/>
    </row>
    <row r="10" spans="2:248" ht="18.75" x14ac:dyDescent="0.3">
      <c r="B10" s="330"/>
      <c r="C10" s="314"/>
      <c r="D10" s="314"/>
      <c r="E10" s="314"/>
      <c r="F10" s="331"/>
      <c r="N10" s="280" t="s">
        <v>100</v>
      </c>
      <c r="O10" s="282" t="str">
        <f>C1&amp;"_SEC"</f>
        <v>QAF845_SEC</v>
      </c>
      <c r="P10" s="282" t="e">
        <f>C11</f>
        <v>#VALUE!</v>
      </c>
      <c r="Q10" s="282"/>
      <c r="R10" s="282"/>
      <c r="S10" s="282"/>
      <c r="T10" s="282"/>
      <c r="U10" s="282"/>
      <c r="V10" s="282"/>
      <c r="W10" s="291"/>
      <c r="X10" s="313"/>
    </row>
    <row r="11" spans="2:248" ht="18.75" x14ac:dyDescent="0.3">
      <c r="B11" s="382" t="s">
        <v>76</v>
      </c>
      <c r="C11" s="314" t="e">
        <f>C8*F8</f>
        <v>#VALUE!</v>
      </c>
      <c r="D11" s="314"/>
      <c r="E11" s="383" t="s">
        <v>164</v>
      </c>
      <c r="F11" s="384">
        <v>12</v>
      </c>
      <c r="N11" s="280" t="s">
        <v>97</v>
      </c>
      <c r="O11" s="282" t="str">
        <f>C1&amp;"_SECW"</f>
        <v>QAF845_SECW</v>
      </c>
      <c r="P11" s="364" t="e">
        <f>AB79</f>
        <v>#VALUE!</v>
      </c>
      <c r="Q11" s="282" t="s">
        <v>86</v>
      </c>
      <c r="R11" s="282"/>
      <c r="S11" s="282"/>
      <c r="T11" s="282"/>
      <c r="U11" s="282"/>
      <c r="V11" s="282"/>
      <c r="W11" s="291"/>
      <c r="X11" s="313"/>
    </row>
    <row r="12" spans="2:248" ht="18.75" x14ac:dyDescent="0.3">
      <c r="B12" s="330"/>
      <c r="C12" s="314"/>
      <c r="D12" s="314"/>
      <c r="E12" s="383" t="s">
        <v>165</v>
      </c>
      <c r="F12" s="384">
        <v>15.75</v>
      </c>
      <c r="N12" s="280" t="s">
        <v>98</v>
      </c>
      <c r="O12" s="282" t="str">
        <f>C1&amp;"_TW"</f>
        <v>QAF845_TW</v>
      </c>
      <c r="P12" s="364" t="e">
        <f>AB78</f>
        <v>#VALUE!</v>
      </c>
      <c r="Q12" s="282" t="s">
        <v>86</v>
      </c>
      <c r="R12" s="47"/>
      <c r="S12" s="47"/>
      <c r="T12" s="47"/>
      <c r="U12" s="47"/>
      <c r="V12" s="47"/>
      <c r="W12" s="278"/>
      <c r="X12" s="313"/>
    </row>
    <row r="13" spans="2:248" ht="18.75" x14ac:dyDescent="0.3">
      <c r="B13" s="330"/>
      <c r="C13" s="314"/>
      <c r="D13" s="314"/>
      <c r="E13" s="383"/>
      <c r="F13" s="384"/>
      <c r="N13" s="280" t="s">
        <v>280</v>
      </c>
      <c r="O13" s="282" t="str">
        <f>$C$1&amp;"_FACEAREA"</f>
        <v>QAF845_FACEAREA</v>
      </c>
      <c r="P13" s="364" t="e">
        <f>J3</f>
        <v>#VALUE!</v>
      </c>
      <c r="Q13" s="282" t="s">
        <v>45</v>
      </c>
      <c r="R13" s="47"/>
      <c r="S13" s="47"/>
      <c r="T13" s="47"/>
      <c r="U13" s="47"/>
      <c r="V13" s="47"/>
      <c r="W13" s="278"/>
      <c r="X13" s="313"/>
    </row>
    <row r="14" spans="2:248" ht="19.5" thickBot="1" x14ac:dyDescent="0.35">
      <c r="B14" s="330"/>
      <c r="C14" s="314"/>
      <c r="D14" s="314"/>
      <c r="E14" s="383"/>
      <c r="F14" s="384"/>
      <c r="N14" s="281" t="s">
        <v>277</v>
      </c>
      <c r="O14" s="395" t="str">
        <f>$C$1&amp;"_FACEVEL"</f>
        <v>QAF845_FACEVEL</v>
      </c>
      <c r="P14" s="472" t="e">
        <f>J4</f>
        <v>#VALUE!</v>
      </c>
      <c r="Q14" s="395" t="s">
        <v>0</v>
      </c>
      <c r="R14" s="50"/>
      <c r="S14" s="50"/>
      <c r="T14" s="50"/>
      <c r="U14" s="50"/>
      <c r="V14" s="50"/>
      <c r="W14" s="279"/>
      <c r="X14" s="313"/>
    </row>
    <row r="15" spans="2:248" ht="16.5" thickBot="1" x14ac:dyDescent="0.3">
      <c r="B15" s="49"/>
      <c r="C15" s="50"/>
      <c r="D15" s="50"/>
      <c r="E15" s="50"/>
      <c r="F15" s="279"/>
      <c r="N15" s="313"/>
      <c r="O15" s="313"/>
      <c r="P15" s="313"/>
      <c r="Q15" s="313"/>
      <c r="R15" s="313"/>
      <c r="S15" s="313"/>
      <c r="T15" s="313"/>
      <c r="U15" s="313"/>
      <c r="V15" s="313"/>
      <c r="W15" s="313"/>
      <c r="X15" s="313"/>
    </row>
    <row r="16" spans="2:24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5"/>
      <c r="W16" s="94"/>
      <c r="X16" s="95"/>
      <c r="AT16" s="886" t="s">
        <v>109</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8"/>
    </row>
    <row r="17" spans="2:248" ht="15.75" thickBot="1" x14ac:dyDescent="0.3">
      <c r="B17" s="66"/>
      <c r="C17" s="68"/>
      <c r="D17" s="68">
        <f>F11</f>
        <v>12</v>
      </c>
      <c r="E17" s="68">
        <f>D17+6</f>
        <v>18</v>
      </c>
      <c r="F17" s="68">
        <f t="shared" ref="F17:G17" si="0">E17+6</f>
        <v>24</v>
      </c>
      <c r="G17" s="68">
        <f t="shared" si="0"/>
        <v>30</v>
      </c>
      <c r="H17" s="68">
        <f>G17+6</f>
        <v>36</v>
      </c>
      <c r="I17" s="68">
        <v>42</v>
      </c>
      <c r="J17" s="68">
        <v>48</v>
      </c>
      <c r="K17" s="68">
        <v>54</v>
      </c>
      <c r="L17" s="68">
        <v>60</v>
      </c>
      <c r="M17" s="68">
        <v>66</v>
      </c>
      <c r="N17" s="68">
        <v>72</v>
      </c>
      <c r="O17" s="68">
        <v>78</v>
      </c>
      <c r="P17" s="68">
        <v>84</v>
      </c>
      <c r="Q17" s="68">
        <v>90</v>
      </c>
      <c r="R17" s="68">
        <v>96</v>
      </c>
      <c r="S17" s="68">
        <v>102</v>
      </c>
      <c r="T17" s="68">
        <v>108</v>
      </c>
      <c r="U17" s="68">
        <v>114</v>
      </c>
      <c r="V17" s="68">
        <v>120</v>
      </c>
      <c r="W17" s="64"/>
      <c r="X17" s="65"/>
      <c r="AT17" s="4"/>
      <c r="AU17" s="5"/>
      <c r="AV17" s="5"/>
      <c r="AW17" s="5"/>
      <c r="AX17" s="6"/>
      <c r="AY17" s="7"/>
      <c r="AZ17" s="7"/>
      <c r="BA17" s="7"/>
      <c r="BB17" s="7"/>
      <c r="BC17" s="7"/>
      <c r="BD17" s="7"/>
      <c r="BE17" s="7"/>
      <c r="BF17" s="7"/>
      <c r="BG17" s="7"/>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5"/>
      <c r="IE17" s="5"/>
      <c r="IF17" s="5"/>
      <c r="IG17" s="5"/>
      <c r="IH17" s="5"/>
      <c r="II17" s="5"/>
      <c r="IJ17" s="5"/>
      <c r="IK17" s="5"/>
      <c r="IL17" s="5"/>
      <c r="IM17" s="5"/>
      <c r="IN17" s="8"/>
    </row>
    <row r="18" spans="2:248" ht="16.5" thickBot="1" x14ac:dyDescent="0.3">
      <c r="B18" s="107" t="s">
        <v>123</v>
      </c>
      <c r="C18" s="104">
        <v>1</v>
      </c>
      <c r="D18" s="105">
        <v>2</v>
      </c>
      <c r="E18" s="106">
        <v>3</v>
      </c>
      <c r="F18" s="106">
        <v>4</v>
      </c>
      <c r="G18" s="106">
        <v>5</v>
      </c>
      <c r="H18" s="106">
        <v>6</v>
      </c>
      <c r="I18" s="106">
        <v>7</v>
      </c>
      <c r="J18" s="106">
        <v>8</v>
      </c>
      <c r="K18" s="106">
        <v>9</v>
      </c>
      <c r="L18" s="106">
        <v>10</v>
      </c>
      <c r="M18" s="106">
        <v>11</v>
      </c>
      <c r="N18" s="106">
        <v>12</v>
      </c>
      <c r="O18" s="106">
        <v>13</v>
      </c>
      <c r="P18" s="106">
        <v>14</v>
      </c>
      <c r="Q18" s="106">
        <v>15</v>
      </c>
      <c r="R18" s="106">
        <v>16</v>
      </c>
      <c r="S18" s="106">
        <v>17</v>
      </c>
      <c r="T18" s="106">
        <v>18</v>
      </c>
      <c r="U18" s="106">
        <v>19</v>
      </c>
      <c r="V18" s="106">
        <v>20</v>
      </c>
      <c r="W18" s="64"/>
      <c r="X18" s="65"/>
      <c r="AT18" s="4"/>
      <c r="AU18" s="889" t="s">
        <v>17</v>
      </c>
      <c r="AV18" s="890"/>
      <c r="AW18" s="209"/>
      <c r="AX18" s="895" t="s">
        <v>18</v>
      </c>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208"/>
      <c r="HY18" s="208"/>
      <c r="HZ18" s="208"/>
      <c r="IA18" s="208"/>
      <c r="IB18" s="208"/>
      <c r="IC18" s="208"/>
      <c r="ID18" s="198"/>
      <c r="IE18" s="200"/>
      <c r="IF18" s="5"/>
      <c r="IG18" s="9"/>
      <c r="IH18" s="9"/>
      <c r="II18" s="9"/>
      <c r="IJ18" s="9"/>
      <c r="IK18" s="9"/>
      <c r="IL18" s="9"/>
      <c r="IM18" s="9"/>
      <c r="IN18" s="8"/>
    </row>
    <row r="19" spans="2:248" ht="15" customHeight="1" thickBot="1" x14ac:dyDescent="0.3">
      <c r="B19" s="103">
        <f>F12</f>
        <v>15.75</v>
      </c>
      <c r="C19" s="101">
        <v>2</v>
      </c>
      <c r="D19" s="99">
        <f t="shared" ref="D19:D33" si="1">AX22/((D$17*B19)/144)</f>
        <v>0.18416864878761435</v>
      </c>
      <c r="E19" s="100">
        <f t="shared" ref="E19:E33" si="2">BH22/((E$17*$B19)/144)</f>
        <v>0.19644655870678868</v>
      </c>
      <c r="F19" s="100">
        <f t="shared" ref="F19:F33" si="3">BR22/((F$17*$B19)/144)</f>
        <v>0.20258551366637578</v>
      </c>
      <c r="G19" s="100">
        <f t="shared" ref="G19:G33" si="4">CB22/((G$17*$B19)/144)</f>
        <v>0.20626888664212809</v>
      </c>
      <c r="H19" s="100">
        <f t="shared" ref="H19:H33" si="5">CL22/((H$17*$B19)/144)</f>
        <v>0.20872446862596294</v>
      </c>
      <c r="I19" s="100">
        <f t="shared" ref="I19:I33" si="6">CV22/((I$17*$B19)/144)</f>
        <v>0.21047845575727356</v>
      </c>
      <c r="J19" s="100">
        <f t="shared" ref="J19:J33" si="7">DF22/((J$17*$B19)/144)</f>
        <v>0.21179394610575653</v>
      </c>
      <c r="K19" s="100">
        <f t="shared" ref="K19:K33" si="8">DP22/((K$17*$B19)/144)</f>
        <v>0.21281710526568773</v>
      </c>
      <c r="L19" s="100">
        <f t="shared" ref="L19:L33" si="9">DZ22/((L$17*$B19)/144)</f>
        <v>0.21363563259363266</v>
      </c>
      <c r="M19" s="100">
        <f t="shared" ref="M19:M33" si="10">EJ22/((M$17*$B19)/144)</f>
        <v>0.21430533677104219</v>
      </c>
      <c r="N19" s="100">
        <f t="shared" ref="N19:N33" si="11">ET22/((N$17*$B19)/144)</f>
        <v>0.21486342358555008</v>
      </c>
      <c r="O19" s="206"/>
      <c r="P19" s="206"/>
      <c r="Q19" s="206"/>
      <c r="R19" s="206"/>
      <c r="S19" s="206"/>
      <c r="T19" s="206"/>
      <c r="U19" s="206"/>
      <c r="V19" s="206"/>
      <c r="W19" s="96"/>
      <c r="X19" s="97"/>
      <c r="Y19" s="83"/>
      <c r="Z19" s="83"/>
      <c r="AA19" s="83"/>
      <c r="AT19" s="4"/>
      <c r="AU19" s="891"/>
      <c r="AV19" s="892"/>
      <c r="AW19" s="210"/>
      <c r="AX19" s="897"/>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207"/>
      <c r="HY19" s="207"/>
      <c r="HZ19" s="207"/>
      <c r="IA19" s="207"/>
      <c r="IB19" s="207"/>
      <c r="IC19" s="207"/>
      <c r="ID19" s="199"/>
      <c r="IE19" s="201"/>
      <c r="IF19" s="5"/>
      <c r="IG19" s="899" t="s">
        <v>19</v>
      </c>
      <c r="IH19" s="900"/>
      <c r="II19" s="900"/>
      <c r="IJ19" s="900"/>
      <c r="IK19" s="900"/>
      <c r="IL19" s="900"/>
      <c r="IM19" s="901"/>
      <c r="IN19" s="8"/>
    </row>
    <row r="20" spans="2:248" ht="15.75" thickBot="1" x14ac:dyDescent="0.3">
      <c r="B20" s="103">
        <v>18</v>
      </c>
      <c r="C20" s="102">
        <v>3</v>
      </c>
      <c r="D20" s="98">
        <f t="shared" si="1"/>
        <v>0.18953703703703706</v>
      </c>
      <c r="E20" s="96">
        <f t="shared" si="2"/>
        <v>0.20217283950617285</v>
      </c>
      <c r="F20" s="96">
        <f t="shared" si="3"/>
        <v>0.20849074074074078</v>
      </c>
      <c r="G20" s="96">
        <f t="shared" si="4"/>
        <v>0.21228148148148149</v>
      </c>
      <c r="H20" s="96">
        <f t="shared" si="5"/>
        <v>0.21480864197530863</v>
      </c>
      <c r="I20" s="96">
        <f t="shared" si="6"/>
        <v>0.21661375661375665</v>
      </c>
      <c r="J20" s="96">
        <f t="shared" si="7"/>
        <v>0.2179675925925926</v>
      </c>
      <c r="K20" s="96">
        <f t="shared" si="8"/>
        <v>0.21902057613168727</v>
      </c>
      <c r="L20" s="96">
        <f t="shared" si="9"/>
        <v>0.21986296296296301</v>
      </c>
      <c r="M20" s="96">
        <f t="shared" si="10"/>
        <v>0.22055218855218856</v>
      </c>
      <c r="N20" s="96">
        <f t="shared" si="11"/>
        <v>0.22112654320987657</v>
      </c>
      <c r="O20" s="206"/>
      <c r="P20" s="206"/>
      <c r="Q20" s="206"/>
      <c r="R20" s="206"/>
      <c r="S20" s="206"/>
      <c r="T20" s="206"/>
      <c r="U20" s="206"/>
      <c r="V20" s="206"/>
      <c r="W20" s="64"/>
      <c r="X20" s="65"/>
      <c r="Z20" s="83"/>
      <c r="AA20" s="83"/>
      <c r="AT20" s="4"/>
      <c r="AU20" s="893"/>
      <c r="AV20" s="894"/>
      <c r="AW20" s="10"/>
      <c r="AX20" s="11">
        <v>12</v>
      </c>
      <c r="AY20" s="12" t="str">
        <f>"("&amp;ROUND(AX20*25.4/50,0)*50&amp;")"</f>
        <v>(300)</v>
      </c>
      <c r="AZ20" s="13" t="s">
        <v>20</v>
      </c>
      <c r="BA20" s="13" t="s">
        <v>21</v>
      </c>
      <c r="BB20" s="13" t="s">
        <v>22</v>
      </c>
      <c r="BC20" s="13" t="s">
        <v>23</v>
      </c>
      <c r="BD20" s="13" t="s">
        <v>24</v>
      </c>
      <c r="BE20" s="13" t="s">
        <v>25</v>
      </c>
      <c r="BF20" s="13" t="s">
        <v>26</v>
      </c>
      <c r="BG20" s="13" t="s">
        <v>27</v>
      </c>
      <c r="BH20" s="11">
        <f>AX20+6</f>
        <v>18</v>
      </c>
      <c r="BI20" s="12" t="str">
        <f>"("&amp;ROUND(BH20*25.4/50,0)*50&amp;")"</f>
        <v>(450)</v>
      </c>
      <c r="BJ20" s="13" t="s">
        <v>20</v>
      </c>
      <c r="BK20" s="13" t="s">
        <v>21</v>
      </c>
      <c r="BL20" s="13" t="s">
        <v>22</v>
      </c>
      <c r="BM20" s="13" t="s">
        <v>23</v>
      </c>
      <c r="BN20" s="13" t="s">
        <v>24</v>
      </c>
      <c r="BO20" s="13" t="s">
        <v>25</v>
      </c>
      <c r="BP20" s="13" t="s">
        <v>26</v>
      </c>
      <c r="BQ20" s="13" t="s">
        <v>27</v>
      </c>
      <c r="BR20" s="11">
        <f>BH20+6</f>
        <v>24</v>
      </c>
      <c r="BS20" s="12" t="str">
        <f>"("&amp;ROUND(BR20*25.4/50,0)*50&amp;")"</f>
        <v>(600)</v>
      </c>
      <c r="BT20" s="13" t="s">
        <v>20</v>
      </c>
      <c r="BU20" s="13" t="s">
        <v>21</v>
      </c>
      <c r="BV20" s="13" t="s">
        <v>22</v>
      </c>
      <c r="BW20" s="13" t="s">
        <v>23</v>
      </c>
      <c r="BX20" s="13" t="s">
        <v>24</v>
      </c>
      <c r="BY20" s="13" t="s">
        <v>25</v>
      </c>
      <c r="BZ20" s="13" t="s">
        <v>26</v>
      </c>
      <c r="CA20" s="13" t="s">
        <v>27</v>
      </c>
      <c r="CB20" s="11">
        <f>BR20+6</f>
        <v>30</v>
      </c>
      <c r="CC20" s="12" t="str">
        <f>"("&amp;ROUND(CB20*25.4/50,0)*50&amp;")"</f>
        <v>(750)</v>
      </c>
      <c r="CD20" s="13" t="s">
        <v>20</v>
      </c>
      <c r="CE20" s="13" t="s">
        <v>21</v>
      </c>
      <c r="CF20" s="13" t="s">
        <v>22</v>
      </c>
      <c r="CG20" s="13" t="s">
        <v>23</v>
      </c>
      <c r="CH20" s="13" t="s">
        <v>24</v>
      </c>
      <c r="CI20" s="13" t="s">
        <v>25</v>
      </c>
      <c r="CJ20" s="13" t="s">
        <v>26</v>
      </c>
      <c r="CK20" s="13" t="s">
        <v>27</v>
      </c>
      <c r="CL20" s="11">
        <f>CB20+6</f>
        <v>36</v>
      </c>
      <c r="CM20" s="12" t="str">
        <f>"("&amp;ROUND(CL20*25.4/50,0)*50&amp;")"</f>
        <v>(900)</v>
      </c>
      <c r="CN20" s="13" t="s">
        <v>20</v>
      </c>
      <c r="CO20" s="13" t="s">
        <v>21</v>
      </c>
      <c r="CP20" s="13" t="s">
        <v>22</v>
      </c>
      <c r="CQ20" s="13" t="s">
        <v>23</v>
      </c>
      <c r="CR20" s="13" t="s">
        <v>24</v>
      </c>
      <c r="CS20" s="13" t="s">
        <v>25</v>
      </c>
      <c r="CT20" s="13" t="s">
        <v>26</v>
      </c>
      <c r="CU20" s="13" t="s">
        <v>27</v>
      </c>
      <c r="CV20" s="11">
        <f>CL20+6</f>
        <v>42</v>
      </c>
      <c r="CW20" s="12" t="str">
        <f>"("&amp;ROUND(CV20*25.4/50,0)*50&amp;")"</f>
        <v>(1050)</v>
      </c>
      <c r="CX20" s="13" t="s">
        <v>20</v>
      </c>
      <c r="CY20" s="13" t="s">
        <v>21</v>
      </c>
      <c r="CZ20" s="13" t="s">
        <v>22</v>
      </c>
      <c r="DA20" s="13" t="s">
        <v>23</v>
      </c>
      <c r="DB20" s="13" t="s">
        <v>24</v>
      </c>
      <c r="DC20" s="13" t="s">
        <v>25</v>
      </c>
      <c r="DD20" s="13" t="s">
        <v>26</v>
      </c>
      <c r="DE20" s="13" t="s">
        <v>27</v>
      </c>
      <c r="DF20" s="11">
        <f>CV20+6</f>
        <v>48</v>
      </c>
      <c r="DG20" s="12" t="str">
        <f>"("&amp;ROUND(DF20*25.4/50,0)*50&amp;")"</f>
        <v>(1200)</v>
      </c>
      <c r="DH20" s="13" t="s">
        <v>20</v>
      </c>
      <c r="DI20" s="13" t="s">
        <v>21</v>
      </c>
      <c r="DJ20" s="13" t="s">
        <v>22</v>
      </c>
      <c r="DK20" s="13" t="s">
        <v>23</v>
      </c>
      <c r="DL20" s="13" t="s">
        <v>24</v>
      </c>
      <c r="DM20" s="13" t="s">
        <v>25</v>
      </c>
      <c r="DN20" s="13" t="s">
        <v>26</v>
      </c>
      <c r="DO20" s="13" t="s">
        <v>27</v>
      </c>
      <c r="DP20" s="11">
        <f>DF20+6</f>
        <v>54</v>
      </c>
      <c r="DQ20" s="12" t="str">
        <f>"("&amp;ROUND(DP20*25.4/50,0)*50&amp;")"</f>
        <v>(1350)</v>
      </c>
      <c r="DR20" s="13" t="s">
        <v>20</v>
      </c>
      <c r="DS20" s="13" t="s">
        <v>21</v>
      </c>
      <c r="DT20" s="13" t="s">
        <v>22</v>
      </c>
      <c r="DU20" s="13" t="s">
        <v>23</v>
      </c>
      <c r="DV20" s="13" t="s">
        <v>24</v>
      </c>
      <c r="DW20" s="13" t="s">
        <v>25</v>
      </c>
      <c r="DX20" s="13" t="s">
        <v>26</v>
      </c>
      <c r="DY20" s="13" t="s">
        <v>27</v>
      </c>
      <c r="DZ20" s="11">
        <f>DP20+6</f>
        <v>60</v>
      </c>
      <c r="EA20" s="12" t="str">
        <f>"("&amp;ROUND(DZ20*25.4/50,0)*50&amp;")"</f>
        <v>(1500)</v>
      </c>
      <c r="EB20" s="13" t="s">
        <v>20</v>
      </c>
      <c r="EC20" s="13" t="s">
        <v>21</v>
      </c>
      <c r="ED20" s="13" t="s">
        <v>22</v>
      </c>
      <c r="EE20" s="13" t="s">
        <v>23</v>
      </c>
      <c r="EF20" s="13" t="s">
        <v>24</v>
      </c>
      <c r="EG20" s="13" t="s">
        <v>25</v>
      </c>
      <c r="EH20" s="13" t="s">
        <v>26</v>
      </c>
      <c r="EI20" s="13" t="s">
        <v>27</v>
      </c>
      <c r="EJ20" s="11">
        <f>DZ20+6</f>
        <v>66</v>
      </c>
      <c r="EK20" s="12" t="str">
        <f>"("&amp;ROUND(EJ20*25.4/50,0)*50&amp;")"</f>
        <v>(1700)</v>
      </c>
      <c r="EL20" s="13" t="s">
        <v>20</v>
      </c>
      <c r="EM20" s="13" t="s">
        <v>21</v>
      </c>
      <c r="EN20" s="13" t="s">
        <v>22</v>
      </c>
      <c r="EO20" s="13" t="s">
        <v>23</v>
      </c>
      <c r="EP20" s="13" t="s">
        <v>24</v>
      </c>
      <c r="EQ20" s="13" t="s">
        <v>25</v>
      </c>
      <c r="ER20" s="13" t="s">
        <v>26</v>
      </c>
      <c r="ES20" s="13" t="s">
        <v>27</v>
      </c>
      <c r="ET20" s="11">
        <f>EJ20+6</f>
        <v>72</v>
      </c>
      <c r="EU20" s="12" t="str">
        <f>"("&amp;ROUND(ET20*25.4/50,0)*50&amp;")"</f>
        <v>(1850)</v>
      </c>
      <c r="EV20" s="13" t="s">
        <v>20</v>
      </c>
      <c r="EW20" s="13" t="s">
        <v>21</v>
      </c>
      <c r="EX20" s="13" t="s">
        <v>22</v>
      </c>
      <c r="EY20" s="13" t="s">
        <v>23</v>
      </c>
      <c r="EZ20" s="13" t="s">
        <v>24</v>
      </c>
      <c r="FA20" s="13" t="s">
        <v>25</v>
      </c>
      <c r="FB20" s="13" t="s">
        <v>26</v>
      </c>
      <c r="FC20" s="13" t="s">
        <v>27</v>
      </c>
      <c r="FD20" s="11">
        <f>ET20+6</f>
        <v>78</v>
      </c>
      <c r="FE20" s="12" t="str">
        <f>"("&amp;ROUND(FD20*25.4/50,0)*50&amp;")"</f>
        <v>(2000)</v>
      </c>
      <c r="FF20" s="13" t="s">
        <v>20</v>
      </c>
      <c r="FG20" s="13" t="s">
        <v>21</v>
      </c>
      <c r="FH20" s="13" t="s">
        <v>22</v>
      </c>
      <c r="FI20" s="13" t="s">
        <v>23</v>
      </c>
      <c r="FJ20" s="13" t="s">
        <v>24</v>
      </c>
      <c r="FK20" s="13" t="s">
        <v>25</v>
      </c>
      <c r="FL20" s="13" t="s">
        <v>26</v>
      </c>
      <c r="FM20" s="13" t="s">
        <v>27</v>
      </c>
      <c r="FN20" s="11">
        <f>FD20+6</f>
        <v>84</v>
      </c>
      <c r="FO20" s="12" t="str">
        <f>"("&amp;ROUND(FN20*25.4/50,0)*50&amp;")"</f>
        <v>(2150)</v>
      </c>
      <c r="FP20" s="13" t="s">
        <v>20</v>
      </c>
      <c r="FQ20" s="13" t="s">
        <v>21</v>
      </c>
      <c r="FR20" s="13" t="s">
        <v>22</v>
      </c>
      <c r="FS20" s="13" t="s">
        <v>23</v>
      </c>
      <c r="FT20" s="13" t="s">
        <v>24</v>
      </c>
      <c r="FU20" s="13" t="s">
        <v>25</v>
      </c>
      <c r="FV20" s="13" t="s">
        <v>26</v>
      </c>
      <c r="FW20" s="13" t="s">
        <v>27</v>
      </c>
      <c r="FX20" s="11">
        <f>FN20+6</f>
        <v>90</v>
      </c>
      <c r="FY20" s="12" t="str">
        <f>"("&amp;ROUND(FX20*25.4/50,0)*50&amp;")"</f>
        <v>(2300)</v>
      </c>
      <c r="FZ20" s="13" t="s">
        <v>20</v>
      </c>
      <c r="GA20" s="13" t="s">
        <v>21</v>
      </c>
      <c r="GB20" s="13" t="s">
        <v>22</v>
      </c>
      <c r="GC20" s="13" t="s">
        <v>23</v>
      </c>
      <c r="GD20" s="13" t="s">
        <v>24</v>
      </c>
      <c r="GE20" s="13" t="s">
        <v>25</v>
      </c>
      <c r="GF20" s="13" t="s">
        <v>26</v>
      </c>
      <c r="GG20" s="13" t="s">
        <v>27</v>
      </c>
      <c r="GH20" s="11">
        <f>FX20+6</f>
        <v>96</v>
      </c>
      <c r="GI20" s="12" t="str">
        <f>"("&amp;ROUND(GH20*25.4/50,0)*50&amp;")"</f>
        <v>(2450)</v>
      </c>
      <c r="GJ20" s="13" t="s">
        <v>20</v>
      </c>
      <c r="GK20" s="13" t="s">
        <v>21</v>
      </c>
      <c r="GL20" s="13" t="s">
        <v>22</v>
      </c>
      <c r="GM20" s="13" t="s">
        <v>23</v>
      </c>
      <c r="GN20" s="13" t="s">
        <v>24</v>
      </c>
      <c r="GO20" s="13" t="s">
        <v>25</v>
      </c>
      <c r="GP20" s="13" t="s">
        <v>26</v>
      </c>
      <c r="GQ20" s="13" t="s">
        <v>27</v>
      </c>
      <c r="GR20" s="11">
        <f>GH20+6</f>
        <v>102</v>
      </c>
      <c r="GS20" s="12" t="str">
        <f>"("&amp;ROUND(GR20*25.4/50,0)*50&amp;")"</f>
        <v>(2600)</v>
      </c>
      <c r="GT20" s="13" t="s">
        <v>20</v>
      </c>
      <c r="GU20" s="13" t="s">
        <v>21</v>
      </c>
      <c r="GV20" s="13" t="s">
        <v>22</v>
      </c>
      <c r="GW20" s="13" t="s">
        <v>23</v>
      </c>
      <c r="GX20" s="13" t="s">
        <v>24</v>
      </c>
      <c r="GY20" s="13" t="s">
        <v>25</v>
      </c>
      <c r="GZ20" s="13" t="s">
        <v>26</v>
      </c>
      <c r="HA20" s="13" t="s">
        <v>27</v>
      </c>
      <c r="HB20" s="11">
        <f>GR20+6</f>
        <v>108</v>
      </c>
      <c r="HC20" s="12" t="str">
        <f>"("&amp;ROUND(HB20*25.4/50,0)*50&amp;")"</f>
        <v>(2750)</v>
      </c>
      <c r="HD20" s="13" t="s">
        <v>20</v>
      </c>
      <c r="HE20" s="13" t="s">
        <v>21</v>
      </c>
      <c r="HF20" s="13" t="s">
        <v>22</v>
      </c>
      <c r="HG20" s="13" t="s">
        <v>23</v>
      </c>
      <c r="HH20" s="13" t="s">
        <v>24</v>
      </c>
      <c r="HI20" s="13" t="s">
        <v>25</v>
      </c>
      <c r="HJ20" s="13" t="s">
        <v>26</v>
      </c>
      <c r="HK20" s="13" t="s">
        <v>27</v>
      </c>
      <c r="HL20" s="11">
        <f>HB20+6</f>
        <v>114</v>
      </c>
      <c r="HM20" s="12" t="str">
        <f>"("&amp;ROUND(HL20*25.4/50,0)*50&amp;")"</f>
        <v>(2900)</v>
      </c>
      <c r="HN20" s="13" t="s">
        <v>20</v>
      </c>
      <c r="HO20" s="13" t="s">
        <v>21</v>
      </c>
      <c r="HP20" s="13" t="s">
        <v>22</v>
      </c>
      <c r="HQ20" s="13" t="s">
        <v>23</v>
      </c>
      <c r="HR20" s="13" t="s">
        <v>24</v>
      </c>
      <c r="HS20" s="13" t="s">
        <v>25</v>
      </c>
      <c r="HT20" s="13" t="s">
        <v>26</v>
      </c>
      <c r="HU20" s="13" t="s">
        <v>27</v>
      </c>
      <c r="HV20" s="11">
        <f>HL20+6</f>
        <v>120</v>
      </c>
      <c r="HW20" s="12" t="str">
        <f>"("&amp;ROUND(HV20*25.4/50,0)*50&amp;")"</f>
        <v>(3050)</v>
      </c>
      <c r="HX20" s="13" t="s">
        <v>20</v>
      </c>
      <c r="HY20" s="13" t="s">
        <v>21</v>
      </c>
      <c r="HZ20" s="13" t="s">
        <v>22</v>
      </c>
      <c r="IA20" s="13" t="s">
        <v>23</v>
      </c>
      <c r="IB20" s="13" t="s">
        <v>24</v>
      </c>
      <c r="IC20" s="13" t="s">
        <v>25</v>
      </c>
      <c r="ID20" s="13" t="s">
        <v>26</v>
      </c>
      <c r="IE20" s="13" t="s">
        <v>27</v>
      </c>
      <c r="IF20" s="15"/>
      <c r="IG20" s="16" t="s">
        <v>28</v>
      </c>
      <c r="IH20" s="16" t="s">
        <v>29</v>
      </c>
      <c r="II20" s="16" t="s">
        <v>30</v>
      </c>
      <c r="IJ20" s="16" t="s">
        <v>31</v>
      </c>
      <c r="IK20" s="16" t="s">
        <v>32</v>
      </c>
      <c r="IL20" s="16" t="s">
        <v>33</v>
      </c>
      <c r="IM20" s="16" t="s">
        <v>34</v>
      </c>
      <c r="IN20" s="8"/>
    </row>
    <row r="21" spans="2:248" ht="15.75" thickBot="1" x14ac:dyDescent="0.3">
      <c r="B21" s="103">
        <f t="shared" ref="B21:B37" si="12">B20+6</f>
        <v>24</v>
      </c>
      <c r="C21" s="102">
        <v>4</v>
      </c>
      <c r="D21" s="98">
        <f t="shared" si="1"/>
        <v>0.22742071583731077</v>
      </c>
      <c r="E21" s="96">
        <f t="shared" si="2"/>
        <v>0.24258209689313148</v>
      </c>
      <c r="F21" s="96">
        <f t="shared" si="3"/>
        <v>0.25016278742104187</v>
      </c>
      <c r="G21" s="96">
        <f t="shared" si="4"/>
        <v>0.25471120173778805</v>
      </c>
      <c r="H21" s="96">
        <f t="shared" si="5"/>
        <v>0.25774347794895219</v>
      </c>
      <c r="I21" s="96">
        <f t="shared" si="6"/>
        <v>0.25990938952835518</v>
      </c>
      <c r="J21" s="96">
        <f t="shared" si="7"/>
        <v>0.26153382321290741</v>
      </c>
      <c r="K21" s="96">
        <f t="shared" si="8"/>
        <v>0.26279727163422573</v>
      </c>
      <c r="L21" s="96">
        <f t="shared" si="9"/>
        <v>0.26380803037128048</v>
      </c>
      <c r="M21" s="96">
        <f t="shared" si="10"/>
        <v>0.26463501479250706</v>
      </c>
      <c r="N21" s="96">
        <f t="shared" si="11"/>
        <v>0.26532416847686252</v>
      </c>
      <c r="O21" s="206"/>
      <c r="P21" s="206"/>
      <c r="Q21" s="206"/>
      <c r="R21" s="206"/>
      <c r="S21" s="206"/>
      <c r="T21" s="206"/>
      <c r="U21" s="206"/>
      <c r="V21" s="206"/>
      <c r="W21" s="64"/>
      <c r="X21" s="65"/>
      <c r="Z21" s="83"/>
      <c r="AA21" s="83"/>
      <c r="AT21" s="4"/>
      <c r="AU21" s="10"/>
      <c r="AV21" s="17"/>
      <c r="AW21" s="18"/>
      <c r="AX21" s="11">
        <v>6</v>
      </c>
      <c r="AY21" s="12">
        <f>AX21+1</f>
        <v>7</v>
      </c>
      <c r="AZ21" s="12">
        <f t="shared" ref="AZ21:DK21" si="13">AY21+1</f>
        <v>8</v>
      </c>
      <c r="BA21" s="12">
        <f t="shared" si="13"/>
        <v>9</v>
      </c>
      <c r="BB21" s="12">
        <f t="shared" si="13"/>
        <v>10</v>
      </c>
      <c r="BC21" s="12">
        <f t="shared" si="13"/>
        <v>11</v>
      </c>
      <c r="BD21" s="12">
        <f t="shared" si="13"/>
        <v>12</v>
      </c>
      <c r="BE21" s="12">
        <f t="shared" si="13"/>
        <v>13</v>
      </c>
      <c r="BF21" s="12">
        <f t="shared" si="13"/>
        <v>14</v>
      </c>
      <c r="BG21" s="12">
        <f t="shared" si="13"/>
        <v>15</v>
      </c>
      <c r="BH21" s="12">
        <f>BG21+1</f>
        <v>16</v>
      </c>
      <c r="BI21" s="12">
        <f t="shared" si="13"/>
        <v>17</v>
      </c>
      <c r="BJ21" s="12">
        <f t="shared" si="13"/>
        <v>18</v>
      </c>
      <c r="BK21" s="12">
        <f t="shared" si="13"/>
        <v>19</v>
      </c>
      <c r="BL21" s="12">
        <f t="shared" si="13"/>
        <v>20</v>
      </c>
      <c r="BM21" s="12">
        <f t="shared" si="13"/>
        <v>21</v>
      </c>
      <c r="BN21" s="12">
        <f t="shared" si="13"/>
        <v>22</v>
      </c>
      <c r="BO21" s="12">
        <f t="shared" si="13"/>
        <v>23</v>
      </c>
      <c r="BP21" s="12">
        <f t="shared" si="13"/>
        <v>24</v>
      </c>
      <c r="BQ21" s="12">
        <f t="shared" si="13"/>
        <v>25</v>
      </c>
      <c r="BR21" s="12">
        <f t="shared" si="13"/>
        <v>26</v>
      </c>
      <c r="BS21" s="12">
        <f t="shared" si="13"/>
        <v>27</v>
      </c>
      <c r="BT21" s="12">
        <f t="shared" si="13"/>
        <v>28</v>
      </c>
      <c r="BU21" s="12">
        <f t="shared" si="13"/>
        <v>29</v>
      </c>
      <c r="BV21" s="12">
        <f t="shared" si="13"/>
        <v>30</v>
      </c>
      <c r="BW21" s="12">
        <f t="shared" si="13"/>
        <v>31</v>
      </c>
      <c r="BX21" s="12">
        <f t="shared" si="13"/>
        <v>32</v>
      </c>
      <c r="BY21" s="12">
        <f t="shared" si="13"/>
        <v>33</v>
      </c>
      <c r="BZ21" s="12">
        <f t="shared" si="13"/>
        <v>34</v>
      </c>
      <c r="CA21" s="12">
        <f t="shared" si="13"/>
        <v>35</v>
      </c>
      <c r="CB21" s="12">
        <f t="shared" si="13"/>
        <v>36</v>
      </c>
      <c r="CC21" s="12">
        <f t="shared" si="13"/>
        <v>37</v>
      </c>
      <c r="CD21" s="12">
        <f t="shared" si="13"/>
        <v>38</v>
      </c>
      <c r="CE21" s="12">
        <f t="shared" si="13"/>
        <v>39</v>
      </c>
      <c r="CF21" s="12">
        <f t="shared" si="13"/>
        <v>40</v>
      </c>
      <c r="CG21" s="12">
        <f t="shared" si="13"/>
        <v>41</v>
      </c>
      <c r="CH21" s="12">
        <f t="shared" si="13"/>
        <v>42</v>
      </c>
      <c r="CI21" s="12">
        <f t="shared" si="13"/>
        <v>43</v>
      </c>
      <c r="CJ21" s="12">
        <f t="shared" si="13"/>
        <v>44</v>
      </c>
      <c r="CK21" s="12">
        <f t="shared" si="13"/>
        <v>45</v>
      </c>
      <c r="CL21" s="12">
        <f t="shared" si="13"/>
        <v>46</v>
      </c>
      <c r="CM21" s="12">
        <f t="shared" si="13"/>
        <v>47</v>
      </c>
      <c r="CN21" s="12">
        <f t="shared" si="13"/>
        <v>48</v>
      </c>
      <c r="CO21" s="12">
        <f t="shared" si="13"/>
        <v>49</v>
      </c>
      <c r="CP21" s="12">
        <f t="shared" si="13"/>
        <v>50</v>
      </c>
      <c r="CQ21" s="12">
        <f t="shared" si="13"/>
        <v>51</v>
      </c>
      <c r="CR21" s="12">
        <f t="shared" si="13"/>
        <v>52</v>
      </c>
      <c r="CS21" s="12">
        <f t="shared" si="13"/>
        <v>53</v>
      </c>
      <c r="CT21" s="12">
        <f t="shared" si="13"/>
        <v>54</v>
      </c>
      <c r="CU21" s="12">
        <f t="shared" si="13"/>
        <v>55</v>
      </c>
      <c r="CV21" s="12">
        <f t="shared" si="13"/>
        <v>56</v>
      </c>
      <c r="CW21" s="12">
        <f t="shared" si="13"/>
        <v>57</v>
      </c>
      <c r="CX21" s="12">
        <f t="shared" si="13"/>
        <v>58</v>
      </c>
      <c r="CY21" s="12">
        <f t="shared" si="13"/>
        <v>59</v>
      </c>
      <c r="CZ21" s="12">
        <f t="shared" si="13"/>
        <v>60</v>
      </c>
      <c r="DA21" s="12">
        <f t="shared" si="13"/>
        <v>61</v>
      </c>
      <c r="DB21" s="12">
        <f t="shared" si="13"/>
        <v>62</v>
      </c>
      <c r="DC21" s="12">
        <f t="shared" si="13"/>
        <v>63</v>
      </c>
      <c r="DD21" s="12">
        <f t="shared" si="13"/>
        <v>64</v>
      </c>
      <c r="DE21" s="12">
        <f t="shared" si="13"/>
        <v>65</v>
      </c>
      <c r="DF21" s="12">
        <f t="shared" si="13"/>
        <v>66</v>
      </c>
      <c r="DG21" s="12">
        <f t="shared" si="13"/>
        <v>67</v>
      </c>
      <c r="DH21" s="12">
        <f t="shared" si="13"/>
        <v>68</v>
      </c>
      <c r="DI21" s="12">
        <f t="shared" si="13"/>
        <v>69</v>
      </c>
      <c r="DJ21" s="12">
        <f t="shared" si="13"/>
        <v>70</v>
      </c>
      <c r="DK21" s="12">
        <f t="shared" si="13"/>
        <v>71</v>
      </c>
      <c r="DL21" s="12">
        <f t="shared" ref="DL21:FW21" si="14">DK21+1</f>
        <v>72</v>
      </c>
      <c r="DM21" s="12">
        <f t="shared" si="14"/>
        <v>73</v>
      </c>
      <c r="DN21" s="12">
        <f t="shared" si="14"/>
        <v>74</v>
      </c>
      <c r="DO21" s="12">
        <f t="shared" si="14"/>
        <v>75</v>
      </c>
      <c r="DP21" s="12">
        <f t="shared" si="14"/>
        <v>76</v>
      </c>
      <c r="DQ21" s="12">
        <f t="shared" si="14"/>
        <v>77</v>
      </c>
      <c r="DR21" s="12">
        <f t="shared" si="14"/>
        <v>78</v>
      </c>
      <c r="DS21" s="12">
        <f t="shared" si="14"/>
        <v>79</v>
      </c>
      <c r="DT21" s="12">
        <f t="shared" si="14"/>
        <v>80</v>
      </c>
      <c r="DU21" s="12">
        <f t="shared" si="14"/>
        <v>81</v>
      </c>
      <c r="DV21" s="12">
        <f t="shared" si="14"/>
        <v>82</v>
      </c>
      <c r="DW21" s="12">
        <f t="shared" si="14"/>
        <v>83</v>
      </c>
      <c r="DX21" s="12">
        <f t="shared" si="14"/>
        <v>84</v>
      </c>
      <c r="DY21" s="12">
        <f t="shared" si="14"/>
        <v>85</v>
      </c>
      <c r="DZ21" s="12">
        <f t="shared" si="14"/>
        <v>86</v>
      </c>
      <c r="EA21" s="12">
        <f t="shared" si="14"/>
        <v>87</v>
      </c>
      <c r="EB21" s="12">
        <f t="shared" si="14"/>
        <v>88</v>
      </c>
      <c r="EC21" s="12">
        <f t="shared" si="14"/>
        <v>89</v>
      </c>
      <c r="ED21" s="12">
        <f t="shared" si="14"/>
        <v>90</v>
      </c>
      <c r="EE21" s="12">
        <f t="shared" si="14"/>
        <v>91</v>
      </c>
      <c r="EF21" s="12">
        <f t="shared" si="14"/>
        <v>92</v>
      </c>
      <c r="EG21" s="12">
        <f t="shared" si="14"/>
        <v>93</v>
      </c>
      <c r="EH21" s="12">
        <f t="shared" si="14"/>
        <v>94</v>
      </c>
      <c r="EI21" s="12">
        <f t="shared" si="14"/>
        <v>95</v>
      </c>
      <c r="EJ21" s="12">
        <f t="shared" si="14"/>
        <v>96</v>
      </c>
      <c r="EK21" s="12">
        <f t="shared" si="14"/>
        <v>97</v>
      </c>
      <c r="EL21" s="12">
        <f t="shared" si="14"/>
        <v>98</v>
      </c>
      <c r="EM21" s="12">
        <f t="shared" si="14"/>
        <v>99</v>
      </c>
      <c r="EN21" s="12">
        <f t="shared" si="14"/>
        <v>100</v>
      </c>
      <c r="EO21" s="12">
        <f t="shared" si="14"/>
        <v>101</v>
      </c>
      <c r="EP21" s="12">
        <f t="shared" si="14"/>
        <v>102</v>
      </c>
      <c r="EQ21" s="12">
        <f t="shared" si="14"/>
        <v>103</v>
      </c>
      <c r="ER21" s="12">
        <f t="shared" si="14"/>
        <v>104</v>
      </c>
      <c r="ES21" s="12">
        <f t="shared" si="14"/>
        <v>105</v>
      </c>
      <c r="ET21" s="12">
        <f t="shared" si="14"/>
        <v>106</v>
      </c>
      <c r="EU21" s="12">
        <f t="shared" si="14"/>
        <v>107</v>
      </c>
      <c r="EV21" s="12">
        <f t="shared" si="14"/>
        <v>108</v>
      </c>
      <c r="EW21" s="12">
        <f t="shared" si="14"/>
        <v>109</v>
      </c>
      <c r="EX21" s="12">
        <f t="shared" si="14"/>
        <v>110</v>
      </c>
      <c r="EY21" s="12">
        <f t="shared" si="14"/>
        <v>111</v>
      </c>
      <c r="EZ21" s="12">
        <f t="shared" si="14"/>
        <v>112</v>
      </c>
      <c r="FA21" s="12">
        <f t="shared" si="14"/>
        <v>113</v>
      </c>
      <c r="FB21" s="12">
        <f t="shared" si="14"/>
        <v>114</v>
      </c>
      <c r="FC21" s="12">
        <f t="shared" si="14"/>
        <v>115</v>
      </c>
      <c r="FD21" s="12">
        <f t="shared" si="14"/>
        <v>116</v>
      </c>
      <c r="FE21" s="12">
        <f t="shared" si="14"/>
        <v>117</v>
      </c>
      <c r="FF21" s="12">
        <f t="shared" si="14"/>
        <v>118</v>
      </c>
      <c r="FG21" s="12">
        <f t="shared" si="14"/>
        <v>119</v>
      </c>
      <c r="FH21" s="12">
        <f t="shared" si="14"/>
        <v>120</v>
      </c>
      <c r="FI21" s="12">
        <f t="shared" si="14"/>
        <v>121</v>
      </c>
      <c r="FJ21" s="12">
        <f t="shared" si="14"/>
        <v>122</v>
      </c>
      <c r="FK21" s="12">
        <f t="shared" si="14"/>
        <v>123</v>
      </c>
      <c r="FL21" s="12">
        <f t="shared" si="14"/>
        <v>124</v>
      </c>
      <c r="FM21" s="12">
        <f t="shared" si="14"/>
        <v>125</v>
      </c>
      <c r="FN21" s="12">
        <f t="shared" si="14"/>
        <v>126</v>
      </c>
      <c r="FO21" s="12">
        <f t="shared" si="14"/>
        <v>127</v>
      </c>
      <c r="FP21" s="12">
        <f t="shared" si="14"/>
        <v>128</v>
      </c>
      <c r="FQ21" s="12">
        <f t="shared" si="14"/>
        <v>129</v>
      </c>
      <c r="FR21" s="12">
        <f t="shared" si="14"/>
        <v>130</v>
      </c>
      <c r="FS21" s="12">
        <f t="shared" si="14"/>
        <v>131</v>
      </c>
      <c r="FT21" s="12">
        <f t="shared" si="14"/>
        <v>132</v>
      </c>
      <c r="FU21" s="12">
        <f t="shared" si="14"/>
        <v>133</v>
      </c>
      <c r="FV21" s="12">
        <f t="shared" si="14"/>
        <v>134</v>
      </c>
      <c r="FW21" s="12">
        <f t="shared" si="14"/>
        <v>135</v>
      </c>
      <c r="FX21" s="12">
        <f t="shared" ref="FX21:HW21" si="15">FW21+1</f>
        <v>136</v>
      </c>
      <c r="FY21" s="12">
        <f t="shared" si="15"/>
        <v>137</v>
      </c>
      <c r="FZ21" s="12">
        <f t="shared" si="15"/>
        <v>138</v>
      </c>
      <c r="GA21" s="12">
        <f t="shared" si="15"/>
        <v>139</v>
      </c>
      <c r="GB21" s="12">
        <f t="shared" si="15"/>
        <v>140</v>
      </c>
      <c r="GC21" s="12">
        <f t="shared" si="15"/>
        <v>141</v>
      </c>
      <c r="GD21" s="12">
        <f t="shared" si="15"/>
        <v>142</v>
      </c>
      <c r="GE21" s="12">
        <f t="shared" si="15"/>
        <v>143</v>
      </c>
      <c r="GF21" s="12">
        <f t="shared" si="15"/>
        <v>144</v>
      </c>
      <c r="GG21" s="12">
        <f t="shared" si="15"/>
        <v>145</v>
      </c>
      <c r="GH21" s="12">
        <f t="shared" si="15"/>
        <v>146</v>
      </c>
      <c r="GI21" s="12">
        <f t="shared" si="15"/>
        <v>147</v>
      </c>
      <c r="GJ21" s="12">
        <f t="shared" si="15"/>
        <v>148</v>
      </c>
      <c r="GK21" s="12">
        <f t="shared" si="15"/>
        <v>149</v>
      </c>
      <c r="GL21" s="12">
        <f t="shared" si="15"/>
        <v>150</v>
      </c>
      <c r="GM21" s="12">
        <f t="shared" si="15"/>
        <v>151</v>
      </c>
      <c r="GN21" s="12">
        <f t="shared" si="15"/>
        <v>152</v>
      </c>
      <c r="GO21" s="12">
        <f t="shared" si="15"/>
        <v>153</v>
      </c>
      <c r="GP21" s="12">
        <f t="shared" si="15"/>
        <v>154</v>
      </c>
      <c r="GQ21" s="12">
        <f t="shared" si="15"/>
        <v>155</v>
      </c>
      <c r="GR21" s="12">
        <f t="shared" si="15"/>
        <v>156</v>
      </c>
      <c r="GS21" s="12">
        <f t="shared" si="15"/>
        <v>157</v>
      </c>
      <c r="GT21" s="12">
        <f t="shared" si="15"/>
        <v>158</v>
      </c>
      <c r="GU21" s="12">
        <f t="shared" si="15"/>
        <v>159</v>
      </c>
      <c r="GV21" s="12">
        <f t="shared" si="15"/>
        <v>160</v>
      </c>
      <c r="GW21" s="12">
        <f t="shared" si="15"/>
        <v>161</v>
      </c>
      <c r="GX21" s="12">
        <f t="shared" si="15"/>
        <v>162</v>
      </c>
      <c r="GY21" s="12">
        <f t="shared" si="15"/>
        <v>163</v>
      </c>
      <c r="GZ21" s="12">
        <f t="shared" si="15"/>
        <v>164</v>
      </c>
      <c r="HA21" s="12">
        <f t="shared" si="15"/>
        <v>165</v>
      </c>
      <c r="HB21" s="12">
        <f t="shared" si="15"/>
        <v>166</v>
      </c>
      <c r="HC21" s="12">
        <f t="shared" si="15"/>
        <v>167</v>
      </c>
      <c r="HD21" s="12">
        <f t="shared" si="15"/>
        <v>168</v>
      </c>
      <c r="HE21" s="12">
        <f t="shared" si="15"/>
        <v>169</v>
      </c>
      <c r="HF21" s="12">
        <f t="shared" si="15"/>
        <v>170</v>
      </c>
      <c r="HG21" s="12">
        <f t="shared" si="15"/>
        <v>171</v>
      </c>
      <c r="HH21" s="12">
        <f t="shared" si="15"/>
        <v>172</v>
      </c>
      <c r="HI21" s="12">
        <f t="shared" si="15"/>
        <v>173</v>
      </c>
      <c r="HJ21" s="12">
        <f t="shared" si="15"/>
        <v>174</v>
      </c>
      <c r="HK21" s="12">
        <f t="shared" si="15"/>
        <v>175</v>
      </c>
      <c r="HL21" s="12">
        <f t="shared" si="15"/>
        <v>176</v>
      </c>
      <c r="HM21" s="12">
        <f t="shared" si="15"/>
        <v>177</v>
      </c>
      <c r="HN21" s="12">
        <f t="shared" si="15"/>
        <v>178</v>
      </c>
      <c r="HO21" s="12">
        <f t="shared" si="15"/>
        <v>179</v>
      </c>
      <c r="HP21" s="12">
        <f t="shared" si="15"/>
        <v>180</v>
      </c>
      <c r="HQ21" s="12">
        <f t="shared" si="15"/>
        <v>181</v>
      </c>
      <c r="HR21" s="12">
        <f t="shared" si="15"/>
        <v>182</v>
      </c>
      <c r="HS21" s="12">
        <f t="shared" si="15"/>
        <v>183</v>
      </c>
      <c r="HT21" s="12">
        <f t="shared" si="15"/>
        <v>184</v>
      </c>
      <c r="HU21" s="12">
        <f t="shared" si="15"/>
        <v>185</v>
      </c>
      <c r="HV21" s="12">
        <f t="shared" si="15"/>
        <v>186</v>
      </c>
      <c r="HW21" s="12">
        <f t="shared" si="15"/>
        <v>187</v>
      </c>
      <c r="HX21" s="13"/>
      <c r="HY21" s="13"/>
      <c r="HZ21" s="13"/>
      <c r="IA21" s="13"/>
      <c r="IB21" s="13"/>
      <c r="IC21" s="13"/>
      <c r="ID21" s="13"/>
      <c r="IE21" s="13"/>
      <c r="IF21" s="15"/>
      <c r="IG21" s="16"/>
      <c r="IH21" s="16"/>
      <c r="II21" s="16"/>
      <c r="IJ21" s="16"/>
      <c r="IK21" s="16"/>
      <c r="IL21" s="16"/>
      <c r="IM21" s="16"/>
      <c r="IN21" s="8"/>
    </row>
    <row r="22" spans="2:248" ht="15.75" thickBot="1" x14ac:dyDescent="0.3">
      <c r="B22" s="103">
        <f t="shared" si="12"/>
        <v>30</v>
      </c>
      <c r="C22" s="102">
        <v>5</v>
      </c>
      <c r="D22" s="98">
        <f t="shared" si="1"/>
        <v>0.18191666666666667</v>
      </c>
      <c r="E22" s="96">
        <f t="shared" si="2"/>
        <v>0.19404444444444444</v>
      </c>
      <c r="F22" s="96">
        <f t="shared" si="3"/>
        <v>0.20010833333333333</v>
      </c>
      <c r="G22" s="96">
        <f t="shared" si="4"/>
        <v>0.20374666666666669</v>
      </c>
      <c r="H22" s="96">
        <f t="shared" si="5"/>
        <v>0.20617222222222226</v>
      </c>
      <c r="I22" s="96">
        <f t="shared" si="6"/>
        <v>0.20790476190476193</v>
      </c>
      <c r="J22" s="96">
        <f t="shared" si="7"/>
        <v>0.20920416666666669</v>
      </c>
      <c r="K22" s="96">
        <f t="shared" si="8"/>
        <v>0.21021481481481483</v>
      </c>
      <c r="L22" s="96">
        <f t="shared" si="9"/>
        <v>0.21102333333333334</v>
      </c>
      <c r="M22" s="96">
        <f t="shared" si="10"/>
        <v>0.2116848484848485</v>
      </c>
      <c r="N22" s="96">
        <f t="shared" si="11"/>
        <v>0.21223611111111113</v>
      </c>
      <c r="O22" s="206"/>
      <c r="P22" s="206"/>
      <c r="Q22" s="206"/>
      <c r="R22" s="206"/>
      <c r="S22" s="206"/>
      <c r="T22" s="206"/>
      <c r="U22" s="206"/>
      <c r="V22" s="206"/>
      <c r="W22" s="64"/>
      <c r="X22" s="65"/>
      <c r="Z22" s="83"/>
      <c r="AA22" s="83"/>
      <c r="AT22" s="4"/>
      <c r="AU22" s="248">
        <f>F12</f>
        <v>15.75</v>
      </c>
      <c r="AV22" s="12" t="str">
        <f>"("&amp;ROUND(AU22*25.4/50,0)*50&amp;")"</f>
        <v>(400)</v>
      </c>
      <c r="AW22" s="19">
        <v>8</v>
      </c>
      <c r="AX22" s="20">
        <v>0.24172135153374386</v>
      </c>
      <c r="AY22" s="21" t="str">
        <f t="shared" ref="AY22" si="16">"("&amp;FIXED(AX22*0.092903,2)&amp;")"</f>
        <v>(0.02)</v>
      </c>
      <c r="AZ22" s="22">
        <v>2</v>
      </c>
      <c r="BA22" s="22">
        <f t="shared" ref="BA22:BA36" si="17">$IK$22*AZ22</f>
        <v>2</v>
      </c>
      <c r="BB22" s="22">
        <v>0</v>
      </c>
      <c r="BC22" s="22">
        <f t="shared" ref="BC22:BC36" si="18">$IM$22*BB22</f>
        <v>0</v>
      </c>
      <c r="BD22" s="22">
        <v>0</v>
      </c>
      <c r="BE22" s="22">
        <f t="shared" ref="BE22:BE36" si="19">$IL$22*BD22</f>
        <v>0</v>
      </c>
      <c r="BF22" s="22">
        <f t="shared" ref="BF22" si="20">BA22+BC22+BE22</f>
        <v>2</v>
      </c>
      <c r="BG22" s="23">
        <f t="shared" ref="BG22:BG36" si="21">AX$20-BA22-BC22-BE22</f>
        <v>10</v>
      </c>
      <c r="BH22" s="20">
        <v>0.38675416245399019</v>
      </c>
      <c r="BI22" s="21" t="str">
        <f t="shared" ref="BI22" si="22">"("&amp;ROUND(BH22*0.092903,2)&amp;")"</f>
        <v>(0.04)</v>
      </c>
      <c r="BJ22" s="22">
        <v>2</v>
      </c>
      <c r="BK22" s="22">
        <f t="shared" ref="BK22:BK36" si="23">$IK$22*BJ22</f>
        <v>2</v>
      </c>
      <c r="BL22" s="22">
        <v>0</v>
      </c>
      <c r="BM22" s="22">
        <f t="shared" ref="BM22:BM36" si="24">$IM$22*BL22</f>
        <v>0</v>
      </c>
      <c r="BN22" s="22">
        <v>0</v>
      </c>
      <c r="BO22" s="22">
        <f t="shared" ref="BO22:BO36" si="25">$IL$22*BN22</f>
        <v>0</v>
      </c>
      <c r="BP22" s="22">
        <f t="shared" ref="BP22" si="26">BK22+BM22+BO22</f>
        <v>2</v>
      </c>
      <c r="BQ22" s="23">
        <f t="shared" ref="BQ22:BQ36" si="27">BH$20-BK22-BM22-BO22</f>
        <v>16</v>
      </c>
      <c r="BR22" s="20">
        <v>0.53178697337423642</v>
      </c>
      <c r="BS22" s="21" t="str">
        <f t="shared" ref="BS22" si="28">"("&amp;ROUND(BR22*0.092903,2)&amp;")"</f>
        <v>(0.05)</v>
      </c>
      <c r="BT22" s="22">
        <v>2</v>
      </c>
      <c r="BU22" s="22">
        <f t="shared" ref="BU22:BU36" si="29">$IK$22*BT22</f>
        <v>2</v>
      </c>
      <c r="BV22" s="22">
        <v>0</v>
      </c>
      <c r="BW22" s="22">
        <f t="shared" ref="BW22:BW36" si="30">$IM$22*BV22</f>
        <v>0</v>
      </c>
      <c r="BX22" s="22">
        <v>0</v>
      </c>
      <c r="BY22" s="22">
        <f t="shared" ref="BY22:BY36" si="31">$IL$22*BX22</f>
        <v>0</v>
      </c>
      <c r="BZ22" s="22">
        <f t="shared" ref="BZ22" si="32">BU22+BW22+BY22</f>
        <v>2</v>
      </c>
      <c r="CA22" s="23">
        <f t="shared" ref="CA22:CA36" si="33">BR$20-BU22-BW22-BY22</f>
        <v>22</v>
      </c>
      <c r="CB22" s="20">
        <v>0.67681978429448275</v>
      </c>
      <c r="CC22" s="21" t="str">
        <f t="shared" ref="CC22" si="34">"("&amp;ROUND(CB22*0.092903,2)&amp;")"</f>
        <v>(0.06)</v>
      </c>
      <c r="CD22" s="22">
        <v>2</v>
      </c>
      <c r="CE22" s="22">
        <f t="shared" ref="CE22:CE36" si="35">$IK$22*CD22</f>
        <v>2</v>
      </c>
      <c r="CF22" s="22">
        <v>0</v>
      </c>
      <c r="CG22" s="22">
        <f t="shared" ref="CG22:CG36" si="36">$IM$22*CF22</f>
        <v>0</v>
      </c>
      <c r="CH22" s="22">
        <v>0</v>
      </c>
      <c r="CI22" s="22">
        <f t="shared" ref="CI22:CI36" si="37">$IL$22*CH22</f>
        <v>0</v>
      </c>
      <c r="CJ22" s="22">
        <f t="shared" ref="CJ22" si="38">CE22+CG22+CI22</f>
        <v>2</v>
      </c>
      <c r="CK22" s="23">
        <f t="shared" ref="CK22:CK36" si="39">CB$20-CE22-CG22-CI22</f>
        <v>28</v>
      </c>
      <c r="CL22" s="20">
        <v>0.82185259521472909</v>
      </c>
      <c r="CM22" s="21" t="str">
        <f t="shared" ref="CM22" si="40">"("&amp;ROUND(CL22*0.092903,2)&amp;")"</f>
        <v>(0.08)</v>
      </c>
      <c r="CN22" s="22">
        <v>2</v>
      </c>
      <c r="CO22" s="22">
        <f t="shared" ref="CO22:CO36" si="41">$IK$22*CN22</f>
        <v>2</v>
      </c>
      <c r="CP22" s="22">
        <v>0</v>
      </c>
      <c r="CQ22" s="22">
        <f t="shared" ref="CQ22:CQ36" si="42">$IM$22*CP22</f>
        <v>0</v>
      </c>
      <c r="CR22" s="22">
        <v>0</v>
      </c>
      <c r="CS22" s="22">
        <f t="shared" ref="CS22:CS36" si="43">$IL$22*CR22</f>
        <v>0</v>
      </c>
      <c r="CT22" s="22">
        <f t="shared" ref="CT22" si="44">CO22+CQ22+CS22</f>
        <v>2</v>
      </c>
      <c r="CU22" s="23">
        <f t="shared" ref="CU22:CU36" si="45">CL$20-CO22-CQ22-CS22</f>
        <v>34</v>
      </c>
      <c r="CV22" s="20">
        <v>0.96688540613497542</v>
      </c>
      <c r="CW22" s="21" t="str">
        <f t="shared" ref="CW22" si="46">"("&amp;ROUND(CV22*0.092903,2)&amp;")"</f>
        <v>(0.09)</v>
      </c>
      <c r="CX22" s="22">
        <v>2</v>
      </c>
      <c r="CY22" s="22">
        <f t="shared" ref="CY22:CY36" si="47">$IK$22*CX22</f>
        <v>2</v>
      </c>
      <c r="CZ22" s="22">
        <v>0</v>
      </c>
      <c r="DA22" s="22">
        <f t="shared" ref="DA22:DA36" si="48">$IM$22*CZ22</f>
        <v>0</v>
      </c>
      <c r="DB22" s="22">
        <v>0</v>
      </c>
      <c r="DC22" s="22">
        <f t="shared" ref="DC22:DC36" si="49">$IL$22*DB22</f>
        <v>0</v>
      </c>
      <c r="DD22" s="22">
        <f t="shared" ref="DD22" si="50">CY22+DA22+DC22</f>
        <v>2</v>
      </c>
      <c r="DE22" s="23">
        <f t="shared" ref="DE22:DE36" si="51">CV$20-CY22-DA22-DC22</f>
        <v>40</v>
      </c>
      <c r="DF22" s="20">
        <v>1.1119182170552218</v>
      </c>
      <c r="DG22" s="21" t="str">
        <f t="shared" ref="DG22" si="52">"("&amp;ROUND(DF22*0.092903,2)&amp;")"</f>
        <v>(0.1)</v>
      </c>
      <c r="DH22" s="22">
        <v>2</v>
      </c>
      <c r="DI22" s="22">
        <f t="shared" ref="DI22:DI36" si="53">$IK$22*DH22</f>
        <v>2</v>
      </c>
      <c r="DJ22" s="22">
        <v>0</v>
      </c>
      <c r="DK22" s="22">
        <f t="shared" ref="DK22:DK36" si="54">$IM$22*DJ22</f>
        <v>0</v>
      </c>
      <c r="DL22" s="22">
        <v>0</v>
      </c>
      <c r="DM22" s="22">
        <f t="shared" ref="DM22:DM36" si="55">$IL$22*DL22</f>
        <v>0</v>
      </c>
      <c r="DN22" s="22">
        <f t="shared" ref="DN22" si="56">DI22+DK22+DM22</f>
        <v>2</v>
      </c>
      <c r="DO22" s="23">
        <f t="shared" ref="DO22:DO36" si="57">DF$20-DI22-DK22-DM22</f>
        <v>46</v>
      </c>
      <c r="DP22" s="20">
        <v>1.2569510279754681</v>
      </c>
      <c r="DQ22" s="21" t="str">
        <f t="shared" ref="DQ22" si="58">"("&amp;FIXED(DP22*0.092903,2)&amp;")"</f>
        <v>(0.12)</v>
      </c>
      <c r="DR22" s="22">
        <v>2</v>
      </c>
      <c r="DS22" s="22">
        <f t="shared" ref="DS22:DS36" si="59">$IK$22*DR22</f>
        <v>2</v>
      </c>
      <c r="DT22" s="22">
        <v>0</v>
      </c>
      <c r="DU22" s="22">
        <f t="shared" ref="DU22:DU36" si="60">$IM$22*DT22</f>
        <v>0</v>
      </c>
      <c r="DV22" s="22">
        <v>0</v>
      </c>
      <c r="DW22" s="22">
        <f t="shared" ref="DW22:DW36" si="61">$IL$22*DV22</f>
        <v>0</v>
      </c>
      <c r="DX22" s="22">
        <f t="shared" ref="DX22" si="62">DS22+DU22+DW22</f>
        <v>2</v>
      </c>
      <c r="DY22" s="23">
        <f t="shared" ref="DY22:DY36" si="63">DP$20-DS22-DU22-DW22</f>
        <v>52</v>
      </c>
      <c r="DZ22" s="20">
        <v>1.4019838388957144</v>
      </c>
      <c r="EA22" s="21" t="str">
        <f t="shared" ref="EA22" si="64">"("&amp;FIXED(DZ22*0.092903,2)&amp;")"</f>
        <v>(0.13)</v>
      </c>
      <c r="EB22" s="22">
        <v>2</v>
      </c>
      <c r="EC22" s="22">
        <f t="shared" ref="EC22:EC36" si="65">$IK$22*EB22</f>
        <v>2</v>
      </c>
      <c r="ED22" s="22">
        <v>0</v>
      </c>
      <c r="EE22" s="22">
        <f t="shared" ref="EE22:EE36" si="66">$IM$22*ED22</f>
        <v>0</v>
      </c>
      <c r="EF22" s="22">
        <v>0</v>
      </c>
      <c r="EG22" s="22">
        <f t="shared" ref="EG22:EG36" si="67">$IL$22*EF22</f>
        <v>0</v>
      </c>
      <c r="EH22" s="22">
        <f t="shared" ref="EH22" si="68">EC22+EE22+EG22</f>
        <v>2</v>
      </c>
      <c r="EI22" s="23">
        <f t="shared" ref="EI22:EI36" si="69">DZ$20-EC22-EE22-EG22</f>
        <v>58</v>
      </c>
      <c r="EJ22" s="20">
        <v>1.5470166498159608</v>
      </c>
      <c r="EK22" s="21" t="str">
        <f t="shared" ref="EK22" si="70">"("&amp;FIXED(EJ22*0.092903,2)&amp;")"</f>
        <v>(0.14)</v>
      </c>
      <c r="EL22" s="22">
        <v>2</v>
      </c>
      <c r="EM22" s="22">
        <f t="shared" ref="EM22:EM36" si="71">$IK$22*EL22</f>
        <v>2</v>
      </c>
      <c r="EN22" s="22">
        <v>0</v>
      </c>
      <c r="EO22" s="22">
        <f t="shared" ref="EO22:EO36" si="72">$IM$22*EN22</f>
        <v>0</v>
      </c>
      <c r="EP22" s="22">
        <v>0</v>
      </c>
      <c r="EQ22" s="22">
        <f t="shared" ref="EQ22:EQ36" si="73">$IL$22*EP22</f>
        <v>0</v>
      </c>
      <c r="ER22" s="22">
        <f t="shared" ref="ER22" si="74">EM22+EO22+EQ22</f>
        <v>2</v>
      </c>
      <c r="ES22" s="23">
        <f t="shared" ref="ES22:ES36" si="75">EJ$20-EM22-EO22-EQ22</f>
        <v>64</v>
      </c>
      <c r="ET22" s="20">
        <v>1.6920494607362069</v>
      </c>
      <c r="EU22" s="21" t="str">
        <f t="shared" ref="EU22" si="76">"("&amp;FIXED(ET22*0.092903,2)&amp;")"</f>
        <v>(0.16)</v>
      </c>
      <c r="EV22" s="22">
        <v>2</v>
      </c>
      <c r="EW22" s="22">
        <f t="shared" ref="EW22:EW36" si="77">$IK$22*EV22</f>
        <v>2</v>
      </c>
      <c r="EX22" s="22">
        <v>0</v>
      </c>
      <c r="EY22" s="22">
        <f t="shared" ref="EY22:EY36" si="78">$IM$22*EX22</f>
        <v>0</v>
      </c>
      <c r="EZ22" s="22">
        <v>0</v>
      </c>
      <c r="FA22" s="22">
        <f t="shared" ref="FA22:FA36" si="79">$IL$22*EZ22</f>
        <v>0</v>
      </c>
      <c r="FB22" s="22">
        <f t="shared" ref="FB22" si="80">EW22+EY22+FA22</f>
        <v>2</v>
      </c>
      <c r="FC22" s="23">
        <f t="shared" ref="FC22:FC36" si="81">ET$20-EW22-EY22-FA22</f>
        <v>70</v>
      </c>
      <c r="FD22" s="202"/>
      <c r="FE22" s="203"/>
      <c r="FF22" s="204"/>
      <c r="FG22" s="204"/>
      <c r="FH22" s="204"/>
      <c r="FI22" s="204"/>
      <c r="FJ22" s="204"/>
      <c r="FK22" s="204"/>
      <c r="FL22" s="204"/>
      <c r="FM22" s="205"/>
      <c r="FN22" s="202"/>
      <c r="FO22" s="203"/>
      <c r="FP22" s="204"/>
      <c r="FQ22" s="204"/>
      <c r="FR22" s="204"/>
      <c r="FS22" s="204"/>
      <c r="FT22" s="204"/>
      <c r="FU22" s="204"/>
      <c r="FV22" s="204"/>
      <c r="FW22" s="205"/>
      <c r="FX22" s="202"/>
      <c r="FY22" s="203"/>
      <c r="FZ22" s="204"/>
      <c r="GA22" s="204"/>
      <c r="GB22" s="204"/>
      <c r="GC22" s="204"/>
      <c r="GD22" s="204"/>
      <c r="GE22" s="204"/>
      <c r="GF22" s="204"/>
      <c r="GG22" s="205"/>
      <c r="GH22" s="202"/>
      <c r="GI22" s="203"/>
      <c r="GJ22" s="204"/>
      <c r="GK22" s="204"/>
      <c r="GL22" s="204"/>
      <c r="GM22" s="204"/>
      <c r="GN22" s="204"/>
      <c r="GO22" s="204"/>
      <c r="GP22" s="204"/>
      <c r="GQ22" s="205"/>
      <c r="GR22" s="202"/>
      <c r="GS22" s="203"/>
      <c r="GT22" s="204"/>
      <c r="GU22" s="204"/>
      <c r="GV22" s="204"/>
      <c r="GW22" s="204"/>
      <c r="GX22" s="204"/>
      <c r="GY22" s="204"/>
      <c r="GZ22" s="204"/>
      <c r="HA22" s="205"/>
      <c r="HB22" s="202"/>
      <c r="HC22" s="203"/>
      <c r="HD22" s="204"/>
      <c r="HE22" s="204"/>
      <c r="HF22" s="204"/>
      <c r="HG22" s="204"/>
      <c r="HH22" s="204"/>
      <c r="HI22" s="204"/>
      <c r="HJ22" s="204"/>
      <c r="HK22" s="205"/>
      <c r="HL22" s="202"/>
      <c r="HM22" s="203"/>
      <c r="HN22" s="204"/>
      <c r="HO22" s="204"/>
      <c r="HP22" s="204"/>
      <c r="HQ22" s="204"/>
      <c r="HR22" s="204"/>
      <c r="HS22" s="204"/>
      <c r="HT22" s="204"/>
      <c r="HU22" s="205"/>
      <c r="HV22" s="202"/>
      <c r="HW22" s="203"/>
      <c r="HX22" s="204"/>
      <c r="HY22" s="204"/>
      <c r="HZ22" s="204"/>
      <c r="IA22" s="204"/>
      <c r="IB22" s="204"/>
      <c r="IC22" s="204"/>
      <c r="ID22" s="204"/>
      <c r="IE22" s="205"/>
      <c r="IF22" s="262"/>
      <c r="IG22" s="25">
        <v>0</v>
      </c>
      <c r="IH22" s="26">
        <v>1.6759999999999999</v>
      </c>
      <c r="II22" s="26">
        <v>2.4550000000000001</v>
      </c>
      <c r="IJ22" s="26">
        <v>2.4180000000000001</v>
      </c>
      <c r="IK22" s="26">
        <v>1</v>
      </c>
      <c r="IL22" s="26">
        <v>1</v>
      </c>
      <c r="IM22" s="26">
        <v>1.125</v>
      </c>
      <c r="IN22" s="8"/>
    </row>
    <row r="23" spans="2:248" ht="15.75" thickBot="1" x14ac:dyDescent="0.3">
      <c r="B23" s="103">
        <f t="shared" si="12"/>
        <v>36</v>
      </c>
      <c r="C23" s="102">
        <v>6</v>
      </c>
      <c r="D23" s="98">
        <f t="shared" si="1"/>
        <v>0.20842592592592599</v>
      </c>
      <c r="E23" s="96">
        <f t="shared" si="2"/>
        <v>0.22232098765432104</v>
      </c>
      <c r="F23" s="96">
        <f t="shared" si="3"/>
        <v>0.22926851851851857</v>
      </c>
      <c r="G23" s="96">
        <f t="shared" si="4"/>
        <v>0.23343703703703705</v>
      </c>
      <c r="H23" s="96">
        <f t="shared" si="5"/>
        <v>0.23621604938271604</v>
      </c>
      <c r="I23" s="96">
        <f t="shared" si="6"/>
        <v>0.23820105820105825</v>
      </c>
      <c r="J23" s="96">
        <f t="shared" si="7"/>
        <v>0.23968981481481486</v>
      </c>
      <c r="K23" s="96">
        <f t="shared" si="8"/>
        <v>0.24084773662551445</v>
      </c>
      <c r="L23" s="96">
        <f t="shared" si="9"/>
        <v>0.24177407407407411</v>
      </c>
      <c r="M23" s="96">
        <f t="shared" si="10"/>
        <v>0.2425319865319866</v>
      </c>
      <c r="N23" s="96">
        <f t="shared" si="11"/>
        <v>0.24316358024691359</v>
      </c>
      <c r="O23" s="206"/>
      <c r="P23" s="206"/>
      <c r="Q23" s="206"/>
      <c r="R23" s="206"/>
      <c r="S23" s="206"/>
      <c r="T23" s="206"/>
      <c r="U23" s="206"/>
      <c r="V23" s="206"/>
      <c r="W23" s="64"/>
      <c r="X23" s="65"/>
      <c r="Z23" s="83"/>
      <c r="AA23" s="83"/>
      <c r="AT23" s="4"/>
      <c r="AU23" s="14">
        <v>18</v>
      </c>
      <c r="AV23" s="12" t="str">
        <f t="shared" ref="AV23:AV40" si="82">"("&amp;ROUND(AU23*25.4/50,0)*50&amp;")"</f>
        <v>(450)</v>
      </c>
      <c r="AW23" s="19">
        <f>AW22+1</f>
        <v>9</v>
      </c>
      <c r="AX23" s="373">
        <f t="shared" ref="AX23:AX36" si="83">($IH23+(($IG23-1)*$II23)+$IJ23)*BG23/144</f>
        <v>0.28430555555555559</v>
      </c>
      <c r="AY23" s="374" t="str">
        <f t="shared" ref="AY23:AY36" si="84">"("&amp;FIXED(AX23*0.092903,2)&amp;")"</f>
        <v>(0.03)</v>
      </c>
      <c r="AZ23" s="375">
        <v>2</v>
      </c>
      <c r="BA23" s="375">
        <f t="shared" si="17"/>
        <v>2</v>
      </c>
      <c r="BB23" s="375">
        <v>0</v>
      </c>
      <c r="BC23" s="375">
        <f t="shared" si="18"/>
        <v>0</v>
      </c>
      <c r="BD23" s="375">
        <v>0</v>
      </c>
      <c r="BE23" s="375">
        <f t="shared" si="19"/>
        <v>0</v>
      </c>
      <c r="BF23" s="375">
        <f t="shared" ref="BF23:BF36" si="85">BA23+BC23+BE23</f>
        <v>2</v>
      </c>
      <c r="BG23" s="376">
        <f t="shared" si="21"/>
        <v>10</v>
      </c>
      <c r="BH23" s="373">
        <f t="shared" ref="BH23:BH36" si="86">($IH23+(($IG23-1)*$II23)+$IJ23)*BQ23/144</f>
        <v>0.4548888888888889</v>
      </c>
      <c r="BI23" s="374" t="str">
        <f t="shared" ref="BI23:BI36" si="87">"("&amp;ROUND(BH23*0.092903,2)&amp;")"</f>
        <v>(0.04)</v>
      </c>
      <c r="BJ23" s="375">
        <v>2</v>
      </c>
      <c r="BK23" s="375">
        <f t="shared" si="23"/>
        <v>2</v>
      </c>
      <c r="BL23" s="375">
        <v>0</v>
      </c>
      <c r="BM23" s="375">
        <f t="shared" si="24"/>
        <v>0</v>
      </c>
      <c r="BN23" s="375">
        <v>0</v>
      </c>
      <c r="BO23" s="375">
        <f t="shared" si="25"/>
        <v>0</v>
      </c>
      <c r="BP23" s="375">
        <f t="shared" ref="BP23:BP36" si="88">BK23+BM23+BO23</f>
        <v>2</v>
      </c>
      <c r="BQ23" s="376">
        <f t="shared" si="27"/>
        <v>16</v>
      </c>
      <c r="BR23" s="373">
        <f t="shared" ref="BR23:BR36" si="89">($IH23+(($IG23-1)*$II23)+$IJ23)*CA23/144</f>
        <v>0.62547222222222232</v>
      </c>
      <c r="BS23" s="374" t="str">
        <f t="shared" ref="BS23:BS36" si="90">"("&amp;ROUND(BR23*0.092903,2)&amp;")"</f>
        <v>(0.06)</v>
      </c>
      <c r="BT23" s="375">
        <v>2</v>
      </c>
      <c r="BU23" s="375">
        <f t="shared" si="29"/>
        <v>2</v>
      </c>
      <c r="BV23" s="375">
        <v>0</v>
      </c>
      <c r="BW23" s="375">
        <f t="shared" si="30"/>
        <v>0</v>
      </c>
      <c r="BX23" s="375">
        <v>0</v>
      </c>
      <c r="BY23" s="375">
        <f t="shared" si="31"/>
        <v>0</v>
      </c>
      <c r="BZ23" s="375">
        <f t="shared" ref="BZ23:BZ36" si="91">BU23+BW23+BY23</f>
        <v>2</v>
      </c>
      <c r="CA23" s="376">
        <f t="shared" si="33"/>
        <v>22</v>
      </c>
      <c r="CB23" s="373">
        <f t="shared" ref="CB23:CB36" si="92">($IH23+(($IG23-1)*$II23)+$IJ23)*CK23/144</f>
        <v>0.79605555555555563</v>
      </c>
      <c r="CC23" s="374" t="str">
        <f t="shared" ref="CC23:CC36" si="93">"("&amp;ROUND(CB23*0.092903,2)&amp;")"</f>
        <v>(0.07)</v>
      </c>
      <c r="CD23" s="375">
        <v>2</v>
      </c>
      <c r="CE23" s="375">
        <f t="shared" si="35"/>
        <v>2</v>
      </c>
      <c r="CF23" s="375">
        <v>0</v>
      </c>
      <c r="CG23" s="375">
        <f t="shared" si="36"/>
        <v>0</v>
      </c>
      <c r="CH23" s="375">
        <v>0</v>
      </c>
      <c r="CI23" s="375">
        <f t="shared" si="37"/>
        <v>0</v>
      </c>
      <c r="CJ23" s="375">
        <f t="shared" ref="CJ23:CJ36" si="94">CE23+CG23+CI23</f>
        <v>2</v>
      </c>
      <c r="CK23" s="376">
        <f t="shared" si="39"/>
        <v>28</v>
      </c>
      <c r="CL23" s="373">
        <f t="shared" ref="CL23:CL36" si="95">($IH23+(($IG23-1)*$II23)+$IJ23)*CU23/144</f>
        <v>0.96663888888888883</v>
      </c>
      <c r="CM23" s="374" t="str">
        <f t="shared" ref="CM23:CM36" si="96">"("&amp;ROUND(CL23*0.092903,2)&amp;")"</f>
        <v>(0.09)</v>
      </c>
      <c r="CN23" s="375">
        <v>2</v>
      </c>
      <c r="CO23" s="375">
        <f t="shared" si="41"/>
        <v>2</v>
      </c>
      <c r="CP23" s="375">
        <v>0</v>
      </c>
      <c r="CQ23" s="375">
        <f t="shared" si="42"/>
        <v>0</v>
      </c>
      <c r="CR23" s="375">
        <v>0</v>
      </c>
      <c r="CS23" s="375">
        <f t="shared" si="43"/>
        <v>0</v>
      </c>
      <c r="CT23" s="375">
        <f t="shared" ref="CT23:CT36" si="97">CO23+CQ23+CS23</f>
        <v>2</v>
      </c>
      <c r="CU23" s="376">
        <f t="shared" si="45"/>
        <v>34</v>
      </c>
      <c r="CV23" s="373">
        <f t="shared" ref="CV23:CV36" si="98">($IH23+(($IG23-1)*$II23)+$IJ23)*DE23/144</f>
        <v>1.1372222222222224</v>
      </c>
      <c r="CW23" s="374" t="str">
        <f t="shared" ref="CW23:CW36" si="99">"("&amp;ROUND(CV23*0.092903,2)&amp;")"</f>
        <v>(0.11)</v>
      </c>
      <c r="CX23" s="375">
        <v>2</v>
      </c>
      <c r="CY23" s="375">
        <f t="shared" si="47"/>
        <v>2</v>
      </c>
      <c r="CZ23" s="375">
        <v>0</v>
      </c>
      <c r="DA23" s="375">
        <f t="shared" si="48"/>
        <v>0</v>
      </c>
      <c r="DB23" s="375">
        <v>0</v>
      </c>
      <c r="DC23" s="375">
        <f t="shared" si="49"/>
        <v>0</v>
      </c>
      <c r="DD23" s="375">
        <f t="shared" ref="DD23:DD36" si="100">CY23+DA23+DC23</f>
        <v>2</v>
      </c>
      <c r="DE23" s="376">
        <f t="shared" si="51"/>
        <v>40</v>
      </c>
      <c r="DF23" s="373">
        <f t="shared" ref="DF23:DF36" si="101">($IH23+(($IG23-1)*$II23)+$IJ23)*DO23/144</f>
        <v>1.3078055555555557</v>
      </c>
      <c r="DG23" s="374" t="str">
        <f t="shared" ref="DG23:DG36" si="102">"("&amp;ROUND(DF23*0.092903,2)&amp;")"</f>
        <v>(0.12)</v>
      </c>
      <c r="DH23" s="375">
        <v>2</v>
      </c>
      <c r="DI23" s="375">
        <f t="shared" si="53"/>
        <v>2</v>
      </c>
      <c r="DJ23" s="375">
        <v>0</v>
      </c>
      <c r="DK23" s="375">
        <f t="shared" si="54"/>
        <v>0</v>
      </c>
      <c r="DL23" s="375">
        <v>0</v>
      </c>
      <c r="DM23" s="375">
        <f t="shared" si="55"/>
        <v>0</v>
      </c>
      <c r="DN23" s="375">
        <f t="shared" ref="DN23:DN36" si="103">DI23+DK23+DM23</f>
        <v>2</v>
      </c>
      <c r="DO23" s="376">
        <f t="shared" si="57"/>
        <v>46</v>
      </c>
      <c r="DP23" s="373">
        <f t="shared" ref="DP23:DP36" si="104">($IH23+(($IG23-1)*$II23)+$IJ23)*DY23/144</f>
        <v>1.478388888888889</v>
      </c>
      <c r="DQ23" s="374" t="str">
        <f t="shared" ref="DQ23:DQ36" si="105">"("&amp;FIXED(DP23*0.092903,2)&amp;")"</f>
        <v>(0.14)</v>
      </c>
      <c r="DR23" s="375">
        <v>2</v>
      </c>
      <c r="DS23" s="375">
        <f t="shared" si="59"/>
        <v>2</v>
      </c>
      <c r="DT23" s="375">
        <v>0</v>
      </c>
      <c r="DU23" s="375">
        <f t="shared" si="60"/>
        <v>0</v>
      </c>
      <c r="DV23" s="375">
        <v>0</v>
      </c>
      <c r="DW23" s="375">
        <f t="shared" si="61"/>
        <v>0</v>
      </c>
      <c r="DX23" s="375">
        <f t="shared" ref="DX23:DX36" si="106">DS23+DU23+DW23</f>
        <v>2</v>
      </c>
      <c r="DY23" s="376">
        <f t="shared" si="63"/>
        <v>52</v>
      </c>
      <c r="DZ23" s="373">
        <f t="shared" ref="DZ23:DZ36" si="107">($IH23+(($IG23-1)*$II23)+$IJ23)*EI23/144</f>
        <v>1.6489722222222225</v>
      </c>
      <c r="EA23" s="374" t="str">
        <f t="shared" ref="EA23:EA29" si="108">"("&amp;FIXED(DZ23*0.092903,2)&amp;")"</f>
        <v>(0.15)</v>
      </c>
      <c r="EB23" s="375">
        <v>2</v>
      </c>
      <c r="EC23" s="375">
        <f t="shared" si="65"/>
        <v>2</v>
      </c>
      <c r="ED23" s="375">
        <v>0</v>
      </c>
      <c r="EE23" s="375">
        <f t="shared" si="66"/>
        <v>0</v>
      </c>
      <c r="EF23" s="375">
        <v>0</v>
      </c>
      <c r="EG23" s="375">
        <f t="shared" si="67"/>
        <v>0</v>
      </c>
      <c r="EH23" s="375">
        <f t="shared" ref="EH23:EH36" si="109">EC23+EE23+EG23</f>
        <v>2</v>
      </c>
      <c r="EI23" s="376">
        <f t="shared" si="69"/>
        <v>58</v>
      </c>
      <c r="EJ23" s="373">
        <f t="shared" ref="EJ23:EJ36" si="110">($IH23+(($IG23-1)*$II23)+$IJ23)*ES23/144</f>
        <v>1.8195555555555556</v>
      </c>
      <c r="EK23" s="374" t="str">
        <f t="shared" ref="EK23:EK29" si="111">"("&amp;FIXED(EJ23*0.092903,2)&amp;")"</f>
        <v>(0.17)</v>
      </c>
      <c r="EL23" s="375">
        <v>2</v>
      </c>
      <c r="EM23" s="375">
        <f t="shared" si="71"/>
        <v>2</v>
      </c>
      <c r="EN23" s="375">
        <v>0</v>
      </c>
      <c r="EO23" s="375">
        <f t="shared" si="72"/>
        <v>0</v>
      </c>
      <c r="EP23" s="375">
        <v>0</v>
      </c>
      <c r="EQ23" s="375">
        <f t="shared" si="73"/>
        <v>0</v>
      </c>
      <c r="ER23" s="375">
        <f t="shared" ref="ER23:ER36" si="112">EM23+EO23+EQ23</f>
        <v>2</v>
      </c>
      <c r="ES23" s="376">
        <f t="shared" si="75"/>
        <v>64</v>
      </c>
      <c r="ET23" s="373">
        <f t="shared" ref="ET23:ET36" si="113">($IH23+(($IG23-1)*$II23)+$IJ23)*FC23/144</f>
        <v>1.9901388888888891</v>
      </c>
      <c r="EU23" s="374" t="str">
        <f t="shared" ref="EU23:EU36" si="114">"("&amp;FIXED(ET23*0.092903,2)&amp;")"</f>
        <v>(0.18)</v>
      </c>
      <c r="EV23" s="22">
        <v>2</v>
      </c>
      <c r="EW23" s="22">
        <f t="shared" si="77"/>
        <v>2</v>
      </c>
      <c r="EX23" s="22">
        <v>0</v>
      </c>
      <c r="EY23" s="22">
        <f t="shared" si="78"/>
        <v>0</v>
      </c>
      <c r="EZ23" s="22">
        <v>0</v>
      </c>
      <c r="FA23" s="22">
        <f t="shared" si="79"/>
        <v>0</v>
      </c>
      <c r="FB23" s="22">
        <f t="shared" ref="FB23:FB36" si="115">EW23+EY23+FA23</f>
        <v>2</v>
      </c>
      <c r="FC23" s="23">
        <f t="shared" si="81"/>
        <v>70</v>
      </c>
      <c r="FD23" s="202"/>
      <c r="FE23" s="203"/>
      <c r="FF23" s="204"/>
      <c r="FG23" s="204"/>
      <c r="FH23" s="204"/>
      <c r="FI23" s="204"/>
      <c r="FJ23" s="204"/>
      <c r="FK23" s="204"/>
      <c r="FL23" s="204"/>
      <c r="FM23" s="205"/>
      <c r="FN23" s="202"/>
      <c r="FO23" s="203"/>
      <c r="FP23" s="204"/>
      <c r="FQ23" s="204"/>
      <c r="FR23" s="204"/>
      <c r="FS23" s="204"/>
      <c r="FT23" s="204"/>
      <c r="FU23" s="204"/>
      <c r="FV23" s="204"/>
      <c r="FW23" s="205"/>
      <c r="FX23" s="202"/>
      <c r="FY23" s="203"/>
      <c r="FZ23" s="204"/>
      <c r="GA23" s="204"/>
      <c r="GB23" s="204"/>
      <c r="GC23" s="204"/>
      <c r="GD23" s="204"/>
      <c r="GE23" s="204"/>
      <c r="GF23" s="204"/>
      <c r="GG23" s="205"/>
      <c r="GH23" s="202"/>
      <c r="GI23" s="203"/>
      <c r="GJ23" s="204"/>
      <c r="GK23" s="204"/>
      <c r="GL23" s="204"/>
      <c r="GM23" s="204"/>
      <c r="GN23" s="204"/>
      <c r="GO23" s="204"/>
      <c r="GP23" s="204"/>
      <c r="GQ23" s="205"/>
      <c r="GR23" s="202"/>
      <c r="GS23" s="203"/>
      <c r="GT23" s="204"/>
      <c r="GU23" s="204"/>
      <c r="GV23" s="204"/>
      <c r="GW23" s="204"/>
      <c r="GX23" s="204"/>
      <c r="GY23" s="204"/>
      <c r="GZ23" s="204"/>
      <c r="HA23" s="205"/>
      <c r="HB23" s="202"/>
      <c r="HC23" s="203"/>
      <c r="HD23" s="204"/>
      <c r="HE23" s="204"/>
      <c r="HF23" s="204"/>
      <c r="HG23" s="204"/>
      <c r="HH23" s="204"/>
      <c r="HI23" s="204"/>
      <c r="HJ23" s="204"/>
      <c r="HK23" s="205"/>
      <c r="HL23" s="202"/>
      <c r="HM23" s="203"/>
      <c r="HN23" s="204"/>
      <c r="HO23" s="204"/>
      <c r="HP23" s="204"/>
      <c r="HQ23" s="204"/>
      <c r="HR23" s="204"/>
      <c r="HS23" s="204"/>
      <c r="HT23" s="204"/>
      <c r="HU23" s="205"/>
      <c r="HV23" s="202"/>
      <c r="HW23" s="203"/>
      <c r="HX23" s="204"/>
      <c r="HY23" s="204"/>
      <c r="HZ23" s="204"/>
      <c r="IA23" s="204"/>
      <c r="IB23" s="204"/>
      <c r="IC23" s="204"/>
      <c r="ID23" s="204"/>
      <c r="IE23" s="205"/>
      <c r="IF23" s="262"/>
      <c r="IG23" s="25">
        <v>1</v>
      </c>
      <c r="IH23" s="26">
        <v>1.6759999999999999</v>
      </c>
      <c r="II23" s="26">
        <v>2.4550000000000001</v>
      </c>
      <c r="IJ23" s="26">
        <v>2.4180000000000001</v>
      </c>
      <c r="IK23" s="26">
        <v>1</v>
      </c>
      <c r="IL23" s="26">
        <v>1</v>
      </c>
      <c r="IM23" s="26">
        <v>1.125</v>
      </c>
      <c r="IN23" s="8"/>
    </row>
    <row r="24" spans="2:248" ht="15.75" thickBot="1" x14ac:dyDescent="0.3">
      <c r="B24" s="103">
        <f t="shared" si="12"/>
        <v>42</v>
      </c>
      <c r="C24" s="102">
        <v>7</v>
      </c>
      <c r="D24" s="98">
        <f t="shared" si="1"/>
        <v>0.22736111111111112</v>
      </c>
      <c r="E24" s="96">
        <f t="shared" si="2"/>
        <v>0.24251851851851852</v>
      </c>
      <c r="F24" s="96">
        <f t="shared" si="3"/>
        <v>0.25009722222222219</v>
      </c>
      <c r="G24" s="96">
        <f t="shared" si="4"/>
        <v>0.2546444444444444</v>
      </c>
      <c r="H24" s="96">
        <f t="shared" si="5"/>
        <v>0.25767592592592592</v>
      </c>
      <c r="I24" s="96">
        <f t="shared" si="6"/>
        <v>0.25984126984126987</v>
      </c>
      <c r="J24" s="96">
        <f t="shared" si="7"/>
        <v>0.26146527777777778</v>
      </c>
      <c r="K24" s="96">
        <f t="shared" si="8"/>
        <v>0.26272839506172835</v>
      </c>
      <c r="L24" s="96">
        <f t="shared" si="9"/>
        <v>0.26373888888888886</v>
      </c>
      <c r="M24" s="96">
        <f t="shared" si="10"/>
        <v>0.26456565656565656</v>
      </c>
      <c r="N24" s="96">
        <f t="shared" si="11"/>
        <v>0.26525462962962959</v>
      </c>
      <c r="O24" s="206"/>
      <c r="P24" s="206"/>
      <c r="Q24" s="206"/>
      <c r="R24" s="206"/>
      <c r="S24" s="206"/>
      <c r="T24" s="206"/>
      <c r="U24" s="206"/>
      <c r="V24" s="206"/>
      <c r="W24" s="64"/>
      <c r="X24" s="65"/>
      <c r="Z24" s="83"/>
      <c r="AA24" s="83"/>
      <c r="AT24" s="4"/>
      <c r="AU24" s="14">
        <f t="shared" ref="AU24:AU40" si="116">AU23+6</f>
        <v>24</v>
      </c>
      <c r="AV24" s="12" t="str">
        <f t="shared" si="82"/>
        <v>(600)</v>
      </c>
      <c r="AW24" s="19">
        <f t="shared" ref="AW24:AW40" si="117">AW23+1</f>
        <v>10</v>
      </c>
      <c r="AX24" s="373">
        <f t="shared" si="83"/>
        <v>0.45484143167462154</v>
      </c>
      <c r="AY24" s="374" t="str">
        <f t="shared" si="84"/>
        <v>(0.04)</v>
      </c>
      <c r="AZ24" s="375">
        <v>2</v>
      </c>
      <c r="BA24" s="375">
        <f t="shared" si="17"/>
        <v>2</v>
      </c>
      <c r="BB24" s="375">
        <v>0</v>
      </c>
      <c r="BC24" s="375">
        <f t="shared" si="18"/>
        <v>0</v>
      </c>
      <c r="BD24" s="375">
        <v>0</v>
      </c>
      <c r="BE24" s="375">
        <f t="shared" si="19"/>
        <v>0</v>
      </c>
      <c r="BF24" s="375">
        <f t="shared" si="85"/>
        <v>2</v>
      </c>
      <c r="BG24" s="376">
        <f t="shared" si="21"/>
        <v>10</v>
      </c>
      <c r="BH24" s="373">
        <f t="shared" si="86"/>
        <v>0.72774629067939445</v>
      </c>
      <c r="BI24" s="374" t="str">
        <f t="shared" si="87"/>
        <v>(0.07)</v>
      </c>
      <c r="BJ24" s="375">
        <v>2</v>
      </c>
      <c r="BK24" s="375">
        <f t="shared" si="23"/>
        <v>2</v>
      </c>
      <c r="BL24" s="375">
        <v>0</v>
      </c>
      <c r="BM24" s="375">
        <f t="shared" si="24"/>
        <v>0</v>
      </c>
      <c r="BN24" s="375">
        <v>0</v>
      </c>
      <c r="BO24" s="375">
        <f t="shared" si="25"/>
        <v>0</v>
      </c>
      <c r="BP24" s="375">
        <f t="shared" si="88"/>
        <v>2</v>
      </c>
      <c r="BQ24" s="376">
        <f t="shared" si="27"/>
        <v>16</v>
      </c>
      <c r="BR24" s="373">
        <f t="shared" si="89"/>
        <v>1.0006511496841675</v>
      </c>
      <c r="BS24" s="374" t="str">
        <f t="shared" si="90"/>
        <v>(0.09)</v>
      </c>
      <c r="BT24" s="375">
        <v>2</v>
      </c>
      <c r="BU24" s="375">
        <f t="shared" si="29"/>
        <v>2</v>
      </c>
      <c r="BV24" s="375">
        <v>0</v>
      </c>
      <c r="BW24" s="375">
        <f t="shared" si="30"/>
        <v>0</v>
      </c>
      <c r="BX24" s="375">
        <v>0</v>
      </c>
      <c r="BY24" s="375">
        <f t="shared" si="31"/>
        <v>0</v>
      </c>
      <c r="BZ24" s="375">
        <f t="shared" si="91"/>
        <v>2</v>
      </c>
      <c r="CA24" s="376">
        <f t="shared" si="33"/>
        <v>22</v>
      </c>
      <c r="CB24" s="373">
        <f t="shared" si="92"/>
        <v>1.2735560086889401</v>
      </c>
      <c r="CC24" s="374" t="str">
        <f t="shared" si="93"/>
        <v>(0.12)</v>
      </c>
      <c r="CD24" s="375">
        <v>2</v>
      </c>
      <c r="CE24" s="375">
        <f t="shared" si="35"/>
        <v>2</v>
      </c>
      <c r="CF24" s="375">
        <v>0</v>
      </c>
      <c r="CG24" s="375">
        <f t="shared" si="36"/>
        <v>0</v>
      </c>
      <c r="CH24" s="375">
        <v>0</v>
      </c>
      <c r="CI24" s="375">
        <f t="shared" si="37"/>
        <v>0</v>
      </c>
      <c r="CJ24" s="375">
        <f t="shared" si="94"/>
        <v>2</v>
      </c>
      <c r="CK24" s="376">
        <f t="shared" si="39"/>
        <v>28</v>
      </c>
      <c r="CL24" s="373">
        <f t="shared" si="95"/>
        <v>1.546460867693713</v>
      </c>
      <c r="CM24" s="374" t="str">
        <f t="shared" si="96"/>
        <v>(0.14)</v>
      </c>
      <c r="CN24" s="375">
        <v>2</v>
      </c>
      <c r="CO24" s="375">
        <f t="shared" si="41"/>
        <v>2</v>
      </c>
      <c r="CP24" s="375">
        <v>0</v>
      </c>
      <c r="CQ24" s="375">
        <f t="shared" si="42"/>
        <v>0</v>
      </c>
      <c r="CR24" s="375">
        <v>0</v>
      </c>
      <c r="CS24" s="375">
        <f t="shared" si="43"/>
        <v>0</v>
      </c>
      <c r="CT24" s="375">
        <f t="shared" si="97"/>
        <v>2</v>
      </c>
      <c r="CU24" s="376">
        <f t="shared" si="45"/>
        <v>34</v>
      </c>
      <c r="CV24" s="373">
        <f t="shared" si="98"/>
        <v>1.8193657266984862</v>
      </c>
      <c r="CW24" s="374" t="str">
        <f t="shared" si="99"/>
        <v>(0.17)</v>
      </c>
      <c r="CX24" s="375">
        <v>2</v>
      </c>
      <c r="CY24" s="375">
        <f t="shared" si="47"/>
        <v>2</v>
      </c>
      <c r="CZ24" s="375">
        <v>0</v>
      </c>
      <c r="DA24" s="375">
        <f t="shared" si="48"/>
        <v>0</v>
      </c>
      <c r="DB24" s="375">
        <v>0</v>
      </c>
      <c r="DC24" s="375">
        <f t="shared" si="49"/>
        <v>0</v>
      </c>
      <c r="DD24" s="375">
        <f t="shared" si="100"/>
        <v>2</v>
      </c>
      <c r="DE24" s="376">
        <f t="shared" si="51"/>
        <v>40</v>
      </c>
      <c r="DF24" s="373">
        <f t="shared" si="101"/>
        <v>2.0922705857032593</v>
      </c>
      <c r="DG24" s="374" t="str">
        <f t="shared" si="102"/>
        <v>(0.19)</v>
      </c>
      <c r="DH24" s="375">
        <v>2</v>
      </c>
      <c r="DI24" s="375">
        <f t="shared" si="53"/>
        <v>2</v>
      </c>
      <c r="DJ24" s="375">
        <v>0</v>
      </c>
      <c r="DK24" s="375">
        <f t="shared" si="54"/>
        <v>0</v>
      </c>
      <c r="DL24" s="375">
        <v>0</v>
      </c>
      <c r="DM24" s="375">
        <f t="shared" si="55"/>
        <v>0</v>
      </c>
      <c r="DN24" s="375">
        <f t="shared" si="103"/>
        <v>2</v>
      </c>
      <c r="DO24" s="376">
        <f t="shared" si="57"/>
        <v>46</v>
      </c>
      <c r="DP24" s="373">
        <f t="shared" si="104"/>
        <v>2.3651754447080315</v>
      </c>
      <c r="DQ24" s="374" t="str">
        <f t="shared" si="105"/>
        <v>(0.22)</v>
      </c>
      <c r="DR24" s="375">
        <v>2</v>
      </c>
      <c r="DS24" s="375">
        <f t="shared" si="59"/>
        <v>2</v>
      </c>
      <c r="DT24" s="375">
        <v>0</v>
      </c>
      <c r="DU24" s="375">
        <f t="shared" si="60"/>
        <v>0</v>
      </c>
      <c r="DV24" s="375">
        <v>0</v>
      </c>
      <c r="DW24" s="375">
        <f t="shared" si="61"/>
        <v>0</v>
      </c>
      <c r="DX24" s="375">
        <f t="shared" si="106"/>
        <v>2</v>
      </c>
      <c r="DY24" s="376">
        <f t="shared" si="63"/>
        <v>52</v>
      </c>
      <c r="DZ24" s="373">
        <f t="shared" si="107"/>
        <v>2.6380803037128047</v>
      </c>
      <c r="EA24" s="374" t="str">
        <f t="shared" si="108"/>
        <v>(0.25)</v>
      </c>
      <c r="EB24" s="375">
        <v>2</v>
      </c>
      <c r="EC24" s="375">
        <f t="shared" si="65"/>
        <v>2</v>
      </c>
      <c r="ED24" s="375">
        <v>0</v>
      </c>
      <c r="EE24" s="375">
        <f t="shared" si="66"/>
        <v>0</v>
      </c>
      <c r="EF24" s="375">
        <v>0</v>
      </c>
      <c r="EG24" s="375">
        <f t="shared" si="67"/>
        <v>0</v>
      </c>
      <c r="EH24" s="375">
        <f t="shared" si="109"/>
        <v>2</v>
      </c>
      <c r="EI24" s="376">
        <f t="shared" si="69"/>
        <v>58</v>
      </c>
      <c r="EJ24" s="373">
        <f t="shared" si="110"/>
        <v>2.9109851627175778</v>
      </c>
      <c r="EK24" s="374" t="str">
        <f t="shared" si="111"/>
        <v>(0.27)</v>
      </c>
      <c r="EL24" s="375">
        <v>2</v>
      </c>
      <c r="EM24" s="375">
        <f t="shared" si="71"/>
        <v>2</v>
      </c>
      <c r="EN24" s="375">
        <v>0</v>
      </c>
      <c r="EO24" s="375">
        <f t="shared" si="72"/>
        <v>0</v>
      </c>
      <c r="EP24" s="375">
        <v>0</v>
      </c>
      <c r="EQ24" s="375">
        <f t="shared" si="73"/>
        <v>0</v>
      </c>
      <c r="ER24" s="375">
        <f t="shared" si="112"/>
        <v>2</v>
      </c>
      <c r="ES24" s="376">
        <f t="shared" si="75"/>
        <v>64</v>
      </c>
      <c r="ET24" s="373">
        <f t="shared" si="113"/>
        <v>3.1838900217223505</v>
      </c>
      <c r="EU24" s="374" t="str">
        <f t="shared" si="114"/>
        <v>(0.30)</v>
      </c>
      <c r="EV24" s="22">
        <v>2</v>
      </c>
      <c r="EW24" s="22">
        <f t="shared" si="77"/>
        <v>2</v>
      </c>
      <c r="EX24" s="22">
        <v>0</v>
      </c>
      <c r="EY24" s="22">
        <f t="shared" si="78"/>
        <v>0</v>
      </c>
      <c r="EZ24" s="22">
        <v>0</v>
      </c>
      <c r="FA24" s="22">
        <f t="shared" si="79"/>
        <v>0</v>
      </c>
      <c r="FB24" s="22">
        <f t="shared" si="115"/>
        <v>2</v>
      </c>
      <c r="FC24" s="23">
        <f t="shared" si="81"/>
        <v>70</v>
      </c>
      <c r="FD24" s="202"/>
      <c r="FE24" s="203"/>
      <c r="FF24" s="204"/>
      <c r="FG24" s="204"/>
      <c r="FH24" s="204"/>
      <c r="FI24" s="204"/>
      <c r="FJ24" s="204"/>
      <c r="FK24" s="204"/>
      <c r="FL24" s="204"/>
      <c r="FM24" s="205"/>
      <c r="FN24" s="202"/>
      <c r="FO24" s="203"/>
      <c r="FP24" s="204"/>
      <c r="FQ24" s="204"/>
      <c r="FR24" s="204"/>
      <c r="FS24" s="204"/>
      <c r="FT24" s="204"/>
      <c r="FU24" s="204"/>
      <c r="FV24" s="204"/>
      <c r="FW24" s="205"/>
      <c r="FX24" s="202"/>
      <c r="FY24" s="203"/>
      <c r="FZ24" s="204"/>
      <c r="GA24" s="204"/>
      <c r="GB24" s="204"/>
      <c r="GC24" s="204"/>
      <c r="GD24" s="204"/>
      <c r="GE24" s="204"/>
      <c r="GF24" s="204"/>
      <c r="GG24" s="205"/>
      <c r="GH24" s="202"/>
      <c r="GI24" s="203"/>
      <c r="GJ24" s="204"/>
      <c r="GK24" s="204"/>
      <c r="GL24" s="204"/>
      <c r="GM24" s="204"/>
      <c r="GN24" s="204"/>
      <c r="GO24" s="204"/>
      <c r="GP24" s="204"/>
      <c r="GQ24" s="205"/>
      <c r="GR24" s="202"/>
      <c r="GS24" s="203"/>
      <c r="GT24" s="204"/>
      <c r="GU24" s="204"/>
      <c r="GV24" s="204"/>
      <c r="GW24" s="204"/>
      <c r="GX24" s="204"/>
      <c r="GY24" s="204"/>
      <c r="GZ24" s="204"/>
      <c r="HA24" s="205"/>
      <c r="HB24" s="202"/>
      <c r="HC24" s="203"/>
      <c r="HD24" s="204"/>
      <c r="HE24" s="204"/>
      <c r="HF24" s="204"/>
      <c r="HG24" s="204"/>
      <c r="HH24" s="204"/>
      <c r="HI24" s="204"/>
      <c r="HJ24" s="204"/>
      <c r="HK24" s="205"/>
      <c r="HL24" s="202"/>
      <c r="HM24" s="203"/>
      <c r="HN24" s="204"/>
      <c r="HO24" s="204"/>
      <c r="HP24" s="204"/>
      <c r="HQ24" s="204"/>
      <c r="HR24" s="204"/>
      <c r="HS24" s="204"/>
      <c r="HT24" s="204"/>
      <c r="HU24" s="205"/>
      <c r="HV24" s="202"/>
      <c r="HW24" s="203"/>
      <c r="HX24" s="204"/>
      <c r="HY24" s="204"/>
      <c r="HZ24" s="204"/>
      <c r="IA24" s="204"/>
      <c r="IB24" s="204"/>
      <c r="IC24" s="204"/>
      <c r="ID24" s="204"/>
      <c r="IE24" s="205"/>
      <c r="IF24" s="262"/>
      <c r="IG24" s="25">
        <v>2</v>
      </c>
      <c r="IH24" s="26">
        <v>1.6759999999999999</v>
      </c>
      <c r="II24" s="26">
        <v>2.4550000000000001</v>
      </c>
      <c r="IJ24" s="26">
        <v>2.418716616114549</v>
      </c>
      <c r="IK24" s="26">
        <v>1</v>
      </c>
      <c r="IL24" s="26">
        <v>1</v>
      </c>
      <c r="IM24" s="26">
        <v>1.125</v>
      </c>
      <c r="IN24" s="8"/>
    </row>
    <row r="25" spans="2:248" ht="15.75" thickBot="1" x14ac:dyDescent="0.3">
      <c r="B25" s="103">
        <f t="shared" si="12"/>
        <v>48</v>
      </c>
      <c r="C25" s="102">
        <v>8</v>
      </c>
      <c r="D25" s="98">
        <f t="shared" si="1"/>
        <v>0.2415749412519887</v>
      </c>
      <c r="E25" s="96">
        <f t="shared" si="2"/>
        <v>0.25767993733545463</v>
      </c>
      <c r="F25" s="96">
        <f t="shared" si="3"/>
        <v>0.2657324353771876</v>
      </c>
      <c r="G25" s="96">
        <f t="shared" si="4"/>
        <v>0.27056393420222735</v>
      </c>
      <c r="H25" s="96">
        <f t="shared" si="5"/>
        <v>0.27378493341892057</v>
      </c>
      <c r="I25" s="96">
        <f t="shared" si="6"/>
        <v>0.27608564714512995</v>
      </c>
      <c r="J25" s="96">
        <f t="shared" si="7"/>
        <v>0.27781118243978703</v>
      </c>
      <c r="K25" s="96">
        <f t="shared" si="8"/>
        <v>0.27915326544674252</v>
      </c>
      <c r="L25" s="96">
        <f t="shared" si="9"/>
        <v>0.2802269318523069</v>
      </c>
      <c r="M25" s="96">
        <f t="shared" si="10"/>
        <v>0.28110538618413233</v>
      </c>
      <c r="N25" s="96">
        <f t="shared" si="11"/>
        <v>0.28183743146065349</v>
      </c>
      <c r="O25" s="206"/>
      <c r="P25" s="206"/>
      <c r="Q25" s="206"/>
      <c r="R25" s="206"/>
      <c r="S25" s="206"/>
      <c r="T25" s="206"/>
      <c r="U25" s="206"/>
      <c r="V25" s="206"/>
      <c r="W25" s="64"/>
      <c r="X25" s="65"/>
      <c r="Z25" s="83"/>
      <c r="AA25" s="83"/>
      <c r="AT25" s="4"/>
      <c r="AU25" s="27">
        <f t="shared" si="116"/>
        <v>30</v>
      </c>
      <c r="AV25" s="28" t="str">
        <f t="shared" si="82"/>
        <v>(750)</v>
      </c>
      <c r="AW25" s="19">
        <f t="shared" si="117"/>
        <v>11</v>
      </c>
      <c r="AX25" s="373">
        <f t="shared" si="83"/>
        <v>0.45479166666666671</v>
      </c>
      <c r="AY25" s="374" t="str">
        <f t="shared" si="84"/>
        <v>(0.04)</v>
      </c>
      <c r="AZ25" s="375">
        <v>2</v>
      </c>
      <c r="BA25" s="375">
        <f t="shared" si="17"/>
        <v>2</v>
      </c>
      <c r="BB25" s="375">
        <v>0</v>
      </c>
      <c r="BC25" s="375">
        <f t="shared" si="18"/>
        <v>0</v>
      </c>
      <c r="BD25" s="375">
        <v>0</v>
      </c>
      <c r="BE25" s="375">
        <f t="shared" si="19"/>
        <v>0</v>
      </c>
      <c r="BF25" s="375">
        <f t="shared" si="85"/>
        <v>2</v>
      </c>
      <c r="BG25" s="376">
        <f t="shared" si="21"/>
        <v>10</v>
      </c>
      <c r="BH25" s="373">
        <f t="shared" si="86"/>
        <v>0.72766666666666668</v>
      </c>
      <c r="BI25" s="374" t="str">
        <f t="shared" si="87"/>
        <v>(0.07)</v>
      </c>
      <c r="BJ25" s="375">
        <v>2</v>
      </c>
      <c r="BK25" s="375">
        <f t="shared" si="23"/>
        <v>2</v>
      </c>
      <c r="BL25" s="375">
        <v>0</v>
      </c>
      <c r="BM25" s="375">
        <f t="shared" si="24"/>
        <v>0</v>
      </c>
      <c r="BN25" s="375">
        <v>0</v>
      </c>
      <c r="BO25" s="375">
        <f t="shared" si="25"/>
        <v>0</v>
      </c>
      <c r="BP25" s="375">
        <f t="shared" si="88"/>
        <v>2</v>
      </c>
      <c r="BQ25" s="376">
        <f t="shared" si="27"/>
        <v>16</v>
      </c>
      <c r="BR25" s="373">
        <f t="shared" si="89"/>
        <v>1.0005416666666667</v>
      </c>
      <c r="BS25" s="374" t="str">
        <f t="shared" si="90"/>
        <v>(0.09)</v>
      </c>
      <c r="BT25" s="375">
        <v>2</v>
      </c>
      <c r="BU25" s="375">
        <f t="shared" si="29"/>
        <v>2</v>
      </c>
      <c r="BV25" s="375">
        <v>0</v>
      </c>
      <c r="BW25" s="375">
        <f t="shared" si="30"/>
        <v>0</v>
      </c>
      <c r="BX25" s="375">
        <v>0</v>
      </c>
      <c r="BY25" s="375">
        <f t="shared" si="31"/>
        <v>0</v>
      </c>
      <c r="BZ25" s="375">
        <f t="shared" si="91"/>
        <v>2</v>
      </c>
      <c r="CA25" s="376">
        <f t="shared" si="33"/>
        <v>22</v>
      </c>
      <c r="CB25" s="373">
        <f t="shared" si="92"/>
        <v>1.2734166666666669</v>
      </c>
      <c r="CC25" s="374" t="str">
        <f t="shared" si="93"/>
        <v>(0.12)</v>
      </c>
      <c r="CD25" s="375">
        <v>2</v>
      </c>
      <c r="CE25" s="375">
        <f t="shared" si="35"/>
        <v>2</v>
      </c>
      <c r="CF25" s="375">
        <v>0</v>
      </c>
      <c r="CG25" s="375">
        <f t="shared" si="36"/>
        <v>0</v>
      </c>
      <c r="CH25" s="375">
        <v>0</v>
      </c>
      <c r="CI25" s="375">
        <f t="shared" si="37"/>
        <v>0</v>
      </c>
      <c r="CJ25" s="375">
        <f t="shared" si="94"/>
        <v>2</v>
      </c>
      <c r="CK25" s="376">
        <f t="shared" si="39"/>
        <v>28</v>
      </c>
      <c r="CL25" s="373">
        <f t="shared" si="95"/>
        <v>1.5462916666666668</v>
      </c>
      <c r="CM25" s="374" t="str">
        <f t="shared" si="96"/>
        <v>(0.14)</v>
      </c>
      <c r="CN25" s="375">
        <v>2</v>
      </c>
      <c r="CO25" s="375">
        <f t="shared" si="41"/>
        <v>2</v>
      </c>
      <c r="CP25" s="375">
        <v>0</v>
      </c>
      <c r="CQ25" s="375">
        <f t="shared" si="42"/>
        <v>0</v>
      </c>
      <c r="CR25" s="375">
        <v>0</v>
      </c>
      <c r="CS25" s="375">
        <f t="shared" si="43"/>
        <v>0</v>
      </c>
      <c r="CT25" s="375">
        <f t="shared" si="97"/>
        <v>2</v>
      </c>
      <c r="CU25" s="376">
        <f t="shared" si="45"/>
        <v>34</v>
      </c>
      <c r="CV25" s="373">
        <f t="shared" si="98"/>
        <v>1.8191666666666668</v>
      </c>
      <c r="CW25" s="374" t="str">
        <f t="shared" si="99"/>
        <v>(0.17)</v>
      </c>
      <c r="CX25" s="375">
        <v>2</v>
      </c>
      <c r="CY25" s="375">
        <f t="shared" si="47"/>
        <v>2</v>
      </c>
      <c r="CZ25" s="375">
        <v>0</v>
      </c>
      <c r="DA25" s="375">
        <f t="shared" si="48"/>
        <v>0</v>
      </c>
      <c r="DB25" s="375">
        <v>0</v>
      </c>
      <c r="DC25" s="375">
        <f t="shared" si="49"/>
        <v>0</v>
      </c>
      <c r="DD25" s="375">
        <f t="shared" si="100"/>
        <v>2</v>
      </c>
      <c r="DE25" s="376">
        <f t="shared" si="51"/>
        <v>40</v>
      </c>
      <c r="DF25" s="373">
        <f t="shared" si="101"/>
        <v>2.0920416666666668</v>
      </c>
      <c r="DG25" s="374" t="str">
        <f t="shared" si="102"/>
        <v>(0.19)</v>
      </c>
      <c r="DH25" s="375">
        <v>2</v>
      </c>
      <c r="DI25" s="375">
        <f t="shared" si="53"/>
        <v>2</v>
      </c>
      <c r="DJ25" s="375">
        <v>0</v>
      </c>
      <c r="DK25" s="375">
        <f t="shared" si="54"/>
        <v>0</v>
      </c>
      <c r="DL25" s="375">
        <v>0</v>
      </c>
      <c r="DM25" s="375">
        <f t="shared" si="55"/>
        <v>0</v>
      </c>
      <c r="DN25" s="375">
        <f t="shared" si="103"/>
        <v>2</v>
      </c>
      <c r="DO25" s="376">
        <f t="shared" si="57"/>
        <v>46</v>
      </c>
      <c r="DP25" s="373">
        <f t="shared" si="104"/>
        <v>2.3649166666666668</v>
      </c>
      <c r="DQ25" s="374" t="str">
        <f t="shared" si="105"/>
        <v>(0.22)</v>
      </c>
      <c r="DR25" s="375">
        <v>2</v>
      </c>
      <c r="DS25" s="375">
        <f t="shared" si="59"/>
        <v>2</v>
      </c>
      <c r="DT25" s="375">
        <v>0</v>
      </c>
      <c r="DU25" s="375">
        <f t="shared" si="60"/>
        <v>0</v>
      </c>
      <c r="DV25" s="375">
        <v>0</v>
      </c>
      <c r="DW25" s="375">
        <f t="shared" si="61"/>
        <v>0</v>
      </c>
      <c r="DX25" s="375">
        <f t="shared" si="106"/>
        <v>2</v>
      </c>
      <c r="DY25" s="376">
        <f t="shared" si="63"/>
        <v>52</v>
      </c>
      <c r="DZ25" s="373">
        <f t="shared" si="107"/>
        <v>2.6377916666666668</v>
      </c>
      <c r="EA25" s="374" t="str">
        <f t="shared" si="108"/>
        <v>(0.25)</v>
      </c>
      <c r="EB25" s="375">
        <v>2</v>
      </c>
      <c r="EC25" s="375">
        <f t="shared" si="65"/>
        <v>2</v>
      </c>
      <c r="ED25" s="375">
        <v>0</v>
      </c>
      <c r="EE25" s="375">
        <f t="shared" si="66"/>
        <v>0</v>
      </c>
      <c r="EF25" s="375">
        <v>0</v>
      </c>
      <c r="EG25" s="375">
        <f t="shared" si="67"/>
        <v>0</v>
      </c>
      <c r="EH25" s="375">
        <f t="shared" si="109"/>
        <v>2</v>
      </c>
      <c r="EI25" s="376">
        <f t="shared" si="69"/>
        <v>58</v>
      </c>
      <c r="EJ25" s="373">
        <f t="shared" si="110"/>
        <v>2.9106666666666667</v>
      </c>
      <c r="EK25" s="374" t="str">
        <f t="shared" si="111"/>
        <v>(0.27)</v>
      </c>
      <c r="EL25" s="375">
        <v>2</v>
      </c>
      <c r="EM25" s="375">
        <f t="shared" si="71"/>
        <v>2</v>
      </c>
      <c r="EN25" s="375">
        <v>0</v>
      </c>
      <c r="EO25" s="375">
        <f t="shared" si="72"/>
        <v>0</v>
      </c>
      <c r="EP25" s="375">
        <v>0</v>
      </c>
      <c r="EQ25" s="375">
        <f t="shared" si="73"/>
        <v>0</v>
      </c>
      <c r="ER25" s="375">
        <f t="shared" si="112"/>
        <v>2</v>
      </c>
      <c r="ES25" s="376">
        <f t="shared" si="75"/>
        <v>64</v>
      </c>
      <c r="ET25" s="373">
        <f t="shared" si="113"/>
        <v>3.1835416666666667</v>
      </c>
      <c r="EU25" s="374" t="str">
        <f t="shared" si="114"/>
        <v>(0.30)</v>
      </c>
      <c r="EV25" s="22">
        <v>2</v>
      </c>
      <c r="EW25" s="22">
        <f t="shared" si="77"/>
        <v>2</v>
      </c>
      <c r="EX25" s="22">
        <v>0</v>
      </c>
      <c r="EY25" s="22">
        <f t="shared" si="78"/>
        <v>0</v>
      </c>
      <c r="EZ25" s="30">
        <v>0</v>
      </c>
      <c r="FA25" s="22">
        <f t="shared" si="79"/>
        <v>0</v>
      </c>
      <c r="FB25" s="22">
        <f t="shared" si="115"/>
        <v>2</v>
      </c>
      <c r="FC25" s="23">
        <f t="shared" si="81"/>
        <v>70</v>
      </c>
      <c r="FD25" s="202"/>
      <c r="FE25" s="203"/>
      <c r="FF25" s="204"/>
      <c r="FG25" s="204"/>
      <c r="FH25" s="204"/>
      <c r="FI25" s="204"/>
      <c r="FJ25" s="204"/>
      <c r="FK25" s="204"/>
      <c r="FL25" s="204"/>
      <c r="FM25" s="205"/>
      <c r="FN25" s="202"/>
      <c r="FO25" s="203"/>
      <c r="FP25" s="204"/>
      <c r="FQ25" s="204"/>
      <c r="FR25" s="204"/>
      <c r="FS25" s="204"/>
      <c r="FT25" s="204"/>
      <c r="FU25" s="204"/>
      <c r="FV25" s="204"/>
      <c r="FW25" s="205"/>
      <c r="FX25" s="202"/>
      <c r="FY25" s="203"/>
      <c r="FZ25" s="204"/>
      <c r="GA25" s="204"/>
      <c r="GB25" s="204"/>
      <c r="GC25" s="204"/>
      <c r="GD25" s="204"/>
      <c r="GE25" s="204"/>
      <c r="GF25" s="204"/>
      <c r="GG25" s="205"/>
      <c r="GH25" s="202"/>
      <c r="GI25" s="203"/>
      <c r="GJ25" s="204"/>
      <c r="GK25" s="204"/>
      <c r="GL25" s="204"/>
      <c r="GM25" s="204"/>
      <c r="GN25" s="204"/>
      <c r="GO25" s="204"/>
      <c r="GP25" s="204"/>
      <c r="GQ25" s="205"/>
      <c r="GR25" s="202"/>
      <c r="GS25" s="203"/>
      <c r="GT25" s="204"/>
      <c r="GU25" s="204"/>
      <c r="GV25" s="204"/>
      <c r="GW25" s="204"/>
      <c r="GX25" s="204"/>
      <c r="GY25" s="204"/>
      <c r="GZ25" s="204"/>
      <c r="HA25" s="205"/>
      <c r="HB25" s="202"/>
      <c r="HC25" s="203"/>
      <c r="HD25" s="204"/>
      <c r="HE25" s="204"/>
      <c r="HF25" s="204"/>
      <c r="HG25" s="204"/>
      <c r="HH25" s="204"/>
      <c r="HI25" s="204"/>
      <c r="HJ25" s="204"/>
      <c r="HK25" s="205"/>
      <c r="HL25" s="202"/>
      <c r="HM25" s="203"/>
      <c r="HN25" s="204"/>
      <c r="HO25" s="204"/>
      <c r="HP25" s="204"/>
      <c r="HQ25" s="204"/>
      <c r="HR25" s="204"/>
      <c r="HS25" s="204"/>
      <c r="HT25" s="204"/>
      <c r="HU25" s="205"/>
      <c r="HV25" s="202"/>
      <c r="HW25" s="203"/>
      <c r="HX25" s="204"/>
      <c r="HY25" s="204"/>
      <c r="HZ25" s="204"/>
      <c r="IA25" s="204"/>
      <c r="IB25" s="204"/>
      <c r="IC25" s="204"/>
      <c r="ID25" s="204"/>
      <c r="IE25" s="205"/>
      <c r="IF25" s="262"/>
      <c r="IG25" s="25">
        <v>2</v>
      </c>
      <c r="IH25" s="26">
        <v>1.6759999999999999</v>
      </c>
      <c r="II25" s="26">
        <v>2.4550000000000001</v>
      </c>
      <c r="IJ25" s="26">
        <v>2.4180000000000001</v>
      </c>
      <c r="IK25" s="26">
        <v>1</v>
      </c>
      <c r="IL25" s="26">
        <v>1</v>
      </c>
      <c r="IM25" s="26">
        <v>1.125</v>
      </c>
      <c r="IN25" s="8"/>
    </row>
    <row r="26" spans="2:248" ht="15.75" thickBot="1" x14ac:dyDescent="0.3">
      <c r="B26" s="103">
        <f t="shared" si="12"/>
        <v>54</v>
      </c>
      <c r="C26" s="102">
        <v>9</v>
      </c>
      <c r="D26" s="98">
        <f t="shared" si="1"/>
        <v>0.21472222222222223</v>
      </c>
      <c r="E26" s="96">
        <f t="shared" si="2"/>
        <v>0.22903703703703707</v>
      </c>
      <c r="F26" s="96">
        <f t="shared" si="3"/>
        <v>0.23619444444444448</v>
      </c>
      <c r="G26" s="96">
        <f t="shared" si="4"/>
        <v>0.24048888888888892</v>
      </c>
      <c r="H26" s="96">
        <f t="shared" si="5"/>
        <v>0.24335185185185185</v>
      </c>
      <c r="I26" s="96">
        <f t="shared" si="6"/>
        <v>0.24539682539682542</v>
      </c>
      <c r="J26" s="96">
        <f t="shared" si="7"/>
        <v>0.2469305555555556</v>
      </c>
      <c r="K26" s="96">
        <f t="shared" si="8"/>
        <v>0.24812345679012343</v>
      </c>
      <c r="L26" s="96">
        <f t="shared" si="9"/>
        <v>0.24907777777777779</v>
      </c>
      <c r="M26" s="96">
        <f t="shared" si="10"/>
        <v>0.24985858585858589</v>
      </c>
      <c r="N26" s="96">
        <f t="shared" si="11"/>
        <v>0.25050925925925926</v>
      </c>
      <c r="O26" s="206"/>
      <c r="P26" s="206"/>
      <c r="Q26" s="206"/>
      <c r="R26" s="206"/>
      <c r="S26" s="206"/>
      <c r="T26" s="206"/>
      <c r="U26" s="206"/>
      <c r="V26" s="206"/>
      <c r="W26" s="64"/>
      <c r="X26" s="65"/>
      <c r="Z26" s="83"/>
      <c r="AA26" s="83"/>
      <c r="AT26" s="4"/>
      <c r="AU26" s="14">
        <f t="shared" si="116"/>
        <v>36</v>
      </c>
      <c r="AV26" s="12" t="str">
        <f t="shared" si="82"/>
        <v>(900)</v>
      </c>
      <c r="AW26" s="19">
        <f t="shared" si="117"/>
        <v>12</v>
      </c>
      <c r="AX26" s="373">
        <f t="shared" si="83"/>
        <v>0.62527777777777793</v>
      </c>
      <c r="AY26" s="374" t="str">
        <f t="shared" si="84"/>
        <v>(0.06)</v>
      </c>
      <c r="AZ26" s="375">
        <v>2</v>
      </c>
      <c r="BA26" s="375">
        <f t="shared" si="17"/>
        <v>2</v>
      </c>
      <c r="BB26" s="375">
        <v>0</v>
      </c>
      <c r="BC26" s="375">
        <f t="shared" si="18"/>
        <v>0</v>
      </c>
      <c r="BD26" s="375">
        <v>0</v>
      </c>
      <c r="BE26" s="375">
        <f t="shared" si="19"/>
        <v>0</v>
      </c>
      <c r="BF26" s="375">
        <f t="shared" si="85"/>
        <v>2</v>
      </c>
      <c r="BG26" s="376">
        <f t="shared" si="21"/>
        <v>10</v>
      </c>
      <c r="BH26" s="373">
        <f t="shared" si="86"/>
        <v>1.0004444444444447</v>
      </c>
      <c r="BI26" s="374" t="str">
        <f t="shared" si="87"/>
        <v>(0.09)</v>
      </c>
      <c r="BJ26" s="375">
        <v>2</v>
      </c>
      <c r="BK26" s="375">
        <f t="shared" si="23"/>
        <v>2</v>
      </c>
      <c r="BL26" s="375">
        <v>0</v>
      </c>
      <c r="BM26" s="375">
        <f t="shared" si="24"/>
        <v>0</v>
      </c>
      <c r="BN26" s="375">
        <v>0</v>
      </c>
      <c r="BO26" s="375">
        <f t="shared" si="25"/>
        <v>0</v>
      </c>
      <c r="BP26" s="375">
        <f t="shared" si="88"/>
        <v>2</v>
      </c>
      <c r="BQ26" s="376">
        <f t="shared" si="27"/>
        <v>16</v>
      </c>
      <c r="BR26" s="373">
        <f t="shared" si="89"/>
        <v>1.3756111111111113</v>
      </c>
      <c r="BS26" s="374" t="str">
        <f t="shared" si="90"/>
        <v>(0.13)</v>
      </c>
      <c r="BT26" s="375">
        <v>2</v>
      </c>
      <c r="BU26" s="375">
        <f t="shared" si="29"/>
        <v>2</v>
      </c>
      <c r="BV26" s="375">
        <v>0</v>
      </c>
      <c r="BW26" s="375">
        <f t="shared" si="30"/>
        <v>0</v>
      </c>
      <c r="BX26" s="375">
        <v>0</v>
      </c>
      <c r="BY26" s="375">
        <f t="shared" si="31"/>
        <v>0</v>
      </c>
      <c r="BZ26" s="375">
        <f t="shared" si="91"/>
        <v>2</v>
      </c>
      <c r="CA26" s="376">
        <f t="shared" si="33"/>
        <v>22</v>
      </c>
      <c r="CB26" s="373">
        <f t="shared" si="92"/>
        <v>1.750777777777778</v>
      </c>
      <c r="CC26" s="374" t="str">
        <f t="shared" si="93"/>
        <v>(0.16)</v>
      </c>
      <c r="CD26" s="375">
        <v>2</v>
      </c>
      <c r="CE26" s="375">
        <f t="shared" si="35"/>
        <v>2</v>
      </c>
      <c r="CF26" s="375">
        <v>0</v>
      </c>
      <c r="CG26" s="375">
        <f t="shared" si="36"/>
        <v>0</v>
      </c>
      <c r="CH26" s="375">
        <v>0</v>
      </c>
      <c r="CI26" s="375">
        <f t="shared" si="37"/>
        <v>0</v>
      </c>
      <c r="CJ26" s="375">
        <f t="shared" si="94"/>
        <v>2</v>
      </c>
      <c r="CK26" s="376">
        <f t="shared" si="39"/>
        <v>28</v>
      </c>
      <c r="CL26" s="373">
        <f t="shared" si="95"/>
        <v>2.1259444444444444</v>
      </c>
      <c r="CM26" s="374" t="str">
        <f t="shared" si="96"/>
        <v>(0.2)</v>
      </c>
      <c r="CN26" s="375">
        <v>2</v>
      </c>
      <c r="CO26" s="375">
        <f t="shared" si="41"/>
        <v>2</v>
      </c>
      <c r="CP26" s="375">
        <v>0</v>
      </c>
      <c r="CQ26" s="375">
        <f t="shared" si="42"/>
        <v>0</v>
      </c>
      <c r="CR26" s="375">
        <v>0</v>
      </c>
      <c r="CS26" s="375">
        <f t="shared" si="43"/>
        <v>0</v>
      </c>
      <c r="CT26" s="375">
        <f t="shared" si="97"/>
        <v>2</v>
      </c>
      <c r="CU26" s="376">
        <f t="shared" si="45"/>
        <v>34</v>
      </c>
      <c r="CV26" s="373">
        <f t="shared" si="98"/>
        <v>2.5011111111111117</v>
      </c>
      <c r="CW26" s="374" t="str">
        <f t="shared" si="99"/>
        <v>(0.23)</v>
      </c>
      <c r="CX26" s="375">
        <v>2</v>
      </c>
      <c r="CY26" s="375">
        <f t="shared" si="47"/>
        <v>2</v>
      </c>
      <c r="CZ26" s="375">
        <v>0</v>
      </c>
      <c r="DA26" s="375">
        <f t="shared" si="48"/>
        <v>0</v>
      </c>
      <c r="DB26" s="375">
        <v>0</v>
      </c>
      <c r="DC26" s="375">
        <f t="shared" si="49"/>
        <v>0</v>
      </c>
      <c r="DD26" s="375">
        <f t="shared" si="100"/>
        <v>2</v>
      </c>
      <c r="DE26" s="376">
        <f t="shared" si="51"/>
        <v>40</v>
      </c>
      <c r="DF26" s="373">
        <f t="shared" si="101"/>
        <v>2.8762777777777782</v>
      </c>
      <c r="DG26" s="374" t="str">
        <f t="shared" si="102"/>
        <v>(0.27)</v>
      </c>
      <c r="DH26" s="375">
        <v>2</v>
      </c>
      <c r="DI26" s="375">
        <f t="shared" si="53"/>
        <v>2</v>
      </c>
      <c r="DJ26" s="375">
        <v>0</v>
      </c>
      <c r="DK26" s="375">
        <f t="shared" si="54"/>
        <v>0</v>
      </c>
      <c r="DL26" s="375">
        <v>0</v>
      </c>
      <c r="DM26" s="375">
        <f t="shared" si="55"/>
        <v>0</v>
      </c>
      <c r="DN26" s="375">
        <f t="shared" si="103"/>
        <v>2</v>
      </c>
      <c r="DO26" s="376">
        <f t="shared" si="57"/>
        <v>46</v>
      </c>
      <c r="DP26" s="373">
        <f t="shared" si="104"/>
        <v>3.251444444444445</v>
      </c>
      <c r="DQ26" s="374" t="str">
        <f t="shared" si="105"/>
        <v>(0.30)</v>
      </c>
      <c r="DR26" s="375">
        <v>2</v>
      </c>
      <c r="DS26" s="375">
        <f t="shared" si="59"/>
        <v>2</v>
      </c>
      <c r="DT26" s="375">
        <v>0</v>
      </c>
      <c r="DU26" s="375">
        <f t="shared" si="60"/>
        <v>0</v>
      </c>
      <c r="DV26" s="375">
        <v>0</v>
      </c>
      <c r="DW26" s="375">
        <f t="shared" si="61"/>
        <v>0</v>
      </c>
      <c r="DX26" s="375">
        <f t="shared" si="106"/>
        <v>2</v>
      </c>
      <c r="DY26" s="376">
        <f t="shared" si="63"/>
        <v>52</v>
      </c>
      <c r="DZ26" s="373">
        <f t="shared" si="107"/>
        <v>3.6266111111111119</v>
      </c>
      <c r="EA26" s="374" t="str">
        <f t="shared" si="108"/>
        <v>(0.34)</v>
      </c>
      <c r="EB26" s="375">
        <v>2</v>
      </c>
      <c r="EC26" s="375">
        <f t="shared" si="65"/>
        <v>2</v>
      </c>
      <c r="ED26" s="375">
        <v>0</v>
      </c>
      <c r="EE26" s="375">
        <f t="shared" si="66"/>
        <v>0</v>
      </c>
      <c r="EF26" s="375">
        <v>0</v>
      </c>
      <c r="EG26" s="375">
        <f t="shared" si="67"/>
        <v>0</v>
      </c>
      <c r="EH26" s="375">
        <f t="shared" si="109"/>
        <v>2</v>
      </c>
      <c r="EI26" s="376">
        <f t="shared" si="69"/>
        <v>58</v>
      </c>
      <c r="EJ26" s="373">
        <f t="shared" si="110"/>
        <v>4.0017777777777788</v>
      </c>
      <c r="EK26" s="374" t="str">
        <f t="shared" si="111"/>
        <v>(0.37)</v>
      </c>
      <c r="EL26" s="375">
        <v>2</v>
      </c>
      <c r="EM26" s="375">
        <f t="shared" si="71"/>
        <v>2</v>
      </c>
      <c r="EN26" s="375">
        <v>0</v>
      </c>
      <c r="EO26" s="375">
        <f t="shared" si="72"/>
        <v>0</v>
      </c>
      <c r="EP26" s="375">
        <v>0</v>
      </c>
      <c r="EQ26" s="375">
        <f t="shared" si="73"/>
        <v>0</v>
      </c>
      <c r="ER26" s="375">
        <f t="shared" si="112"/>
        <v>2</v>
      </c>
      <c r="ES26" s="376">
        <f t="shared" si="75"/>
        <v>64</v>
      </c>
      <c r="ET26" s="373">
        <f t="shared" si="113"/>
        <v>4.3769444444444447</v>
      </c>
      <c r="EU26" s="374" t="str">
        <f t="shared" si="114"/>
        <v>(0.41)</v>
      </c>
      <c r="EV26" s="22">
        <v>2</v>
      </c>
      <c r="EW26" s="22">
        <f t="shared" si="77"/>
        <v>2</v>
      </c>
      <c r="EX26" s="22">
        <v>0</v>
      </c>
      <c r="EY26" s="22">
        <f t="shared" si="78"/>
        <v>0</v>
      </c>
      <c r="EZ26" s="22">
        <v>0</v>
      </c>
      <c r="FA26" s="22">
        <f t="shared" si="79"/>
        <v>0</v>
      </c>
      <c r="FB26" s="22">
        <f t="shared" si="115"/>
        <v>2</v>
      </c>
      <c r="FC26" s="23">
        <f t="shared" si="81"/>
        <v>70</v>
      </c>
      <c r="FD26" s="202"/>
      <c r="FE26" s="203"/>
      <c r="FF26" s="204"/>
      <c r="FG26" s="204"/>
      <c r="FH26" s="204"/>
      <c r="FI26" s="204"/>
      <c r="FJ26" s="204"/>
      <c r="FK26" s="204"/>
      <c r="FL26" s="204"/>
      <c r="FM26" s="205"/>
      <c r="FN26" s="202"/>
      <c r="FO26" s="203"/>
      <c r="FP26" s="204"/>
      <c r="FQ26" s="204"/>
      <c r="FR26" s="204"/>
      <c r="FS26" s="204"/>
      <c r="FT26" s="204"/>
      <c r="FU26" s="204"/>
      <c r="FV26" s="204"/>
      <c r="FW26" s="205"/>
      <c r="FX26" s="202"/>
      <c r="FY26" s="203"/>
      <c r="FZ26" s="204"/>
      <c r="GA26" s="204"/>
      <c r="GB26" s="204"/>
      <c r="GC26" s="204"/>
      <c r="GD26" s="204"/>
      <c r="GE26" s="204"/>
      <c r="GF26" s="204"/>
      <c r="GG26" s="205"/>
      <c r="GH26" s="202"/>
      <c r="GI26" s="203"/>
      <c r="GJ26" s="204"/>
      <c r="GK26" s="204"/>
      <c r="GL26" s="204"/>
      <c r="GM26" s="204"/>
      <c r="GN26" s="204"/>
      <c r="GO26" s="204"/>
      <c r="GP26" s="204"/>
      <c r="GQ26" s="205"/>
      <c r="GR26" s="202"/>
      <c r="GS26" s="203"/>
      <c r="GT26" s="204"/>
      <c r="GU26" s="204"/>
      <c r="GV26" s="204"/>
      <c r="GW26" s="204"/>
      <c r="GX26" s="204"/>
      <c r="GY26" s="204"/>
      <c r="GZ26" s="204"/>
      <c r="HA26" s="205"/>
      <c r="HB26" s="202"/>
      <c r="HC26" s="203"/>
      <c r="HD26" s="204"/>
      <c r="HE26" s="204"/>
      <c r="HF26" s="204"/>
      <c r="HG26" s="204"/>
      <c r="HH26" s="204"/>
      <c r="HI26" s="204"/>
      <c r="HJ26" s="204"/>
      <c r="HK26" s="205"/>
      <c r="HL26" s="202"/>
      <c r="HM26" s="203"/>
      <c r="HN26" s="204"/>
      <c r="HO26" s="204"/>
      <c r="HP26" s="204"/>
      <c r="HQ26" s="204"/>
      <c r="HR26" s="204"/>
      <c r="HS26" s="204"/>
      <c r="HT26" s="204"/>
      <c r="HU26" s="205"/>
      <c r="HV26" s="202"/>
      <c r="HW26" s="203"/>
      <c r="HX26" s="204"/>
      <c r="HY26" s="204"/>
      <c r="HZ26" s="204"/>
      <c r="IA26" s="204"/>
      <c r="IB26" s="204"/>
      <c r="IC26" s="204"/>
      <c r="ID26" s="204"/>
      <c r="IE26" s="205"/>
      <c r="IF26" s="262"/>
      <c r="IG26" s="25">
        <v>3</v>
      </c>
      <c r="IH26" s="26">
        <v>1.6759999999999999</v>
      </c>
      <c r="II26" s="26">
        <v>2.4550000000000001</v>
      </c>
      <c r="IJ26" s="26">
        <v>2.4180000000000001</v>
      </c>
      <c r="IK26" s="26">
        <v>1</v>
      </c>
      <c r="IL26" s="26">
        <v>1</v>
      </c>
      <c r="IM26" s="26">
        <v>1.125</v>
      </c>
      <c r="IN26" s="8"/>
    </row>
    <row r="27" spans="2:248" ht="15.75" thickBot="1" x14ac:dyDescent="0.3">
      <c r="B27" s="103">
        <f t="shared" si="12"/>
        <v>60</v>
      </c>
      <c r="C27" s="102">
        <v>10</v>
      </c>
      <c r="D27" s="98">
        <f t="shared" si="1"/>
        <v>0.22734722222222223</v>
      </c>
      <c r="E27" s="96">
        <f t="shared" si="2"/>
        <v>0.24250370370370372</v>
      </c>
      <c r="F27" s="96">
        <f t="shared" si="3"/>
        <v>0.25008194444444443</v>
      </c>
      <c r="G27" s="96">
        <f t="shared" si="4"/>
        <v>0.25462888888888885</v>
      </c>
      <c r="H27" s="96">
        <f t="shared" si="5"/>
        <v>0.25766018518518519</v>
      </c>
      <c r="I27" s="96">
        <f t="shared" si="6"/>
        <v>0.25982539682539685</v>
      </c>
      <c r="J27" s="96">
        <f t="shared" si="7"/>
        <v>0.26144930555555551</v>
      </c>
      <c r="K27" s="96">
        <f t="shared" si="8"/>
        <v>0.26271234567901236</v>
      </c>
      <c r="L27" s="96">
        <f t="shared" si="9"/>
        <v>0.26372277777777781</v>
      </c>
      <c r="M27" s="96">
        <f t="shared" si="10"/>
        <v>0.26454949494949498</v>
      </c>
      <c r="N27" s="96">
        <f t="shared" si="11"/>
        <v>0.26523842592592589</v>
      </c>
      <c r="O27" s="206"/>
      <c r="P27" s="206"/>
      <c r="Q27" s="206"/>
      <c r="R27" s="206"/>
      <c r="S27" s="206"/>
      <c r="T27" s="206"/>
      <c r="U27" s="206"/>
      <c r="V27" s="206"/>
      <c r="W27" s="64"/>
      <c r="X27" s="65"/>
      <c r="Z27" s="83"/>
      <c r="AA27" s="83"/>
      <c r="AT27" s="4"/>
      <c r="AU27" s="14">
        <f t="shared" si="116"/>
        <v>42</v>
      </c>
      <c r="AV27" s="12" t="str">
        <f t="shared" si="82"/>
        <v>(1050)</v>
      </c>
      <c r="AW27" s="19">
        <f t="shared" si="117"/>
        <v>13</v>
      </c>
      <c r="AX27" s="373">
        <f t="shared" si="83"/>
        <v>0.79576388888888894</v>
      </c>
      <c r="AY27" s="374" t="str">
        <f t="shared" si="84"/>
        <v>(0.07)</v>
      </c>
      <c r="AZ27" s="375">
        <v>2</v>
      </c>
      <c r="BA27" s="375">
        <f t="shared" si="17"/>
        <v>2</v>
      </c>
      <c r="BB27" s="375">
        <v>0</v>
      </c>
      <c r="BC27" s="375">
        <f t="shared" si="18"/>
        <v>0</v>
      </c>
      <c r="BD27" s="375">
        <v>0</v>
      </c>
      <c r="BE27" s="375">
        <f t="shared" si="19"/>
        <v>0</v>
      </c>
      <c r="BF27" s="375">
        <f t="shared" si="85"/>
        <v>2</v>
      </c>
      <c r="BG27" s="376">
        <f t="shared" si="21"/>
        <v>10</v>
      </c>
      <c r="BH27" s="373">
        <f t="shared" si="86"/>
        <v>1.2732222222222223</v>
      </c>
      <c r="BI27" s="374" t="str">
        <f t="shared" si="87"/>
        <v>(0.12)</v>
      </c>
      <c r="BJ27" s="375">
        <v>2</v>
      </c>
      <c r="BK27" s="375">
        <f t="shared" si="23"/>
        <v>2</v>
      </c>
      <c r="BL27" s="375">
        <v>0</v>
      </c>
      <c r="BM27" s="375">
        <f t="shared" si="24"/>
        <v>0</v>
      </c>
      <c r="BN27" s="375">
        <v>0</v>
      </c>
      <c r="BO27" s="375">
        <f t="shared" si="25"/>
        <v>0</v>
      </c>
      <c r="BP27" s="375">
        <f t="shared" si="88"/>
        <v>2</v>
      </c>
      <c r="BQ27" s="376">
        <f t="shared" si="27"/>
        <v>16</v>
      </c>
      <c r="BR27" s="373">
        <f t="shared" si="89"/>
        <v>1.7506805555555554</v>
      </c>
      <c r="BS27" s="374" t="str">
        <f t="shared" si="90"/>
        <v>(0.16)</v>
      </c>
      <c r="BT27" s="375">
        <v>2</v>
      </c>
      <c r="BU27" s="375">
        <f t="shared" si="29"/>
        <v>2</v>
      </c>
      <c r="BV27" s="375">
        <v>0</v>
      </c>
      <c r="BW27" s="375">
        <f t="shared" si="30"/>
        <v>0</v>
      </c>
      <c r="BX27" s="375">
        <v>0</v>
      </c>
      <c r="BY27" s="375">
        <f t="shared" si="31"/>
        <v>0</v>
      </c>
      <c r="BZ27" s="375">
        <f t="shared" si="91"/>
        <v>2</v>
      </c>
      <c r="CA27" s="376">
        <f t="shared" si="33"/>
        <v>22</v>
      </c>
      <c r="CB27" s="373">
        <f t="shared" si="92"/>
        <v>2.2281388888888887</v>
      </c>
      <c r="CC27" s="374" t="str">
        <f t="shared" si="93"/>
        <v>(0.21)</v>
      </c>
      <c r="CD27" s="375">
        <v>2</v>
      </c>
      <c r="CE27" s="375">
        <f t="shared" si="35"/>
        <v>2</v>
      </c>
      <c r="CF27" s="375">
        <v>0</v>
      </c>
      <c r="CG27" s="375">
        <f t="shared" si="36"/>
        <v>0</v>
      </c>
      <c r="CH27" s="375">
        <v>0</v>
      </c>
      <c r="CI27" s="375">
        <f t="shared" si="37"/>
        <v>0</v>
      </c>
      <c r="CJ27" s="375">
        <f t="shared" si="94"/>
        <v>2</v>
      </c>
      <c r="CK27" s="376">
        <f t="shared" si="39"/>
        <v>28</v>
      </c>
      <c r="CL27" s="373">
        <f t="shared" si="95"/>
        <v>2.705597222222222</v>
      </c>
      <c r="CM27" s="374" t="str">
        <f t="shared" si="96"/>
        <v>(0.25)</v>
      </c>
      <c r="CN27" s="375">
        <v>2</v>
      </c>
      <c r="CO27" s="375">
        <f t="shared" si="41"/>
        <v>2</v>
      </c>
      <c r="CP27" s="375">
        <v>0</v>
      </c>
      <c r="CQ27" s="375">
        <f t="shared" si="42"/>
        <v>0</v>
      </c>
      <c r="CR27" s="375">
        <v>0</v>
      </c>
      <c r="CS27" s="375">
        <f t="shared" si="43"/>
        <v>0</v>
      </c>
      <c r="CT27" s="375">
        <f t="shared" si="97"/>
        <v>2</v>
      </c>
      <c r="CU27" s="376">
        <f t="shared" si="45"/>
        <v>34</v>
      </c>
      <c r="CV27" s="373">
        <f t="shared" si="98"/>
        <v>3.1830555555555557</v>
      </c>
      <c r="CW27" s="374" t="str">
        <f t="shared" si="99"/>
        <v>(0.3)</v>
      </c>
      <c r="CX27" s="375">
        <v>2</v>
      </c>
      <c r="CY27" s="375">
        <f t="shared" si="47"/>
        <v>2</v>
      </c>
      <c r="CZ27" s="375">
        <v>0</v>
      </c>
      <c r="DA27" s="375">
        <f t="shared" si="48"/>
        <v>0</v>
      </c>
      <c r="DB27" s="375">
        <v>0</v>
      </c>
      <c r="DC27" s="375">
        <f t="shared" si="49"/>
        <v>0</v>
      </c>
      <c r="DD27" s="375">
        <f t="shared" si="100"/>
        <v>2</v>
      </c>
      <c r="DE27" s="376">
        <f t="shared" si="51"/>
        <v>40</v>
      </c>
      <c r="DF27" s="373">
        <f t="shared" si="101"/>
        <v>3.6605138888888891</v>
      </c>
      <c r="DG27" s="374" t="str">
        <f t="shared" si="102"/>
        <v>(0.34)</v>
      </c>
      <c r="DH27" s="375">
        <v>2</v>
      </c>
      <c r="DI27" s="375">
        <f t="shared" si="53"/>
        <v>2</v>
      </c>
      <c r="DJ27" s="375">
        <v>0</v>
      </c>
      <c r="DK27" s="375">
        <f t="shared" si="54"/>
        <v>0</v>
      </c>
      <c r="DL27" s="375">
        <v>0</v>
      </c>
      <c r="DM27" s="375">
        <f t="shared" si="55"/>
        <v>0</v>
      </c>
      <c r="DN27" s="375">
        <f t="shared" si="103"/>
        <v>2</v>
      </c>
      <c r="DO27" s="376">
        <f t="shared" si="57"/>
        <v>46</v>
      </c>
      <c r="DP27" s="373">
        <f t="shared" si="104"/>
        <v>4.1379722222222215</v>
      </c>
      <c r="DQ27" s="374" t="str">
        <f t="shared" si="105"/>
        <v>(0.38)</v>
      </c>
      <c r="DR27" s="375">
        <v>2</v>
      </c>
      <c r="DS27" s="375">
        <f t="shared" si="59"/>
        <v>2</v>
      </c>
      <c r="DT27" s="375">
        <v>0</v>
      </c>
      <c r="DU27" s="375">
        <f t="shared" si="60"/>
        <v>0</v>
      </c>
      <c r="DV27" s="375">
        <v>0</v>
      </c>
      <c r="DW27" s="375">
        <f t="shared" si="61"/>
        <v>0</v>
      </c>
      <c r="DX27" s="375">
        <f t="shared" si="106"/>
        <v>2</v>
      </c>
      <c r="DY27" s="376">
        <f t="shared" si="63"/>
        <v>52</v>
      </c>
      <c r="DZ27" s="373">
        <f t="shared" si="107"/>
        <v>4.6154305555555553</v>
      </c>
      <c r="EA27" s="374" t="str">
        <f t="shared" si="108"/>
        <v>(0.43)</v>
      </c>
      <c r="EB27" s="375">
        <v>2</v>
      </c>
      <c r="EC27" s="375">
        <f t="shared" si="65"/>
        <v>2</v>
      </c>
      <c r="ED27" s="375">
        <v>0</v>
      </c>
      <c r="EE27" s="375">
        <f t="shared" si="66"/>
        <v>0</v>
      </c>
      <c r="EF27" s="375">
        <v>0</v>
      </c>
      <c r="EG27" s="375">
        <f t="shared" si="67"/>
        <v>0</v>
      </c>
      <c r="EH27" s="375">
        <f t="shared" si="109"/>
        <v>2</v>
      </c>
      <c r="EI27" s="376">
        <f t="shared" si="69"/>
        <v>58</v>
      </c>
      <c r="EJ27" s="373">
        <f t="shared" si="110"/>
        <v>5.092888888888889</v>
      </c>
      <c r="EK27" s="374" t="str">
        <f t="shared" si="111"/>
        <v>(0.47)</v>
      </c>
      <c r="EL27" s="375">
        <v>2</v>
      </c>
      <c r="EM27" s="375">
        <f t="shared" si="71"/>
        <v>2</v>
      </c>
      <c r="EN27" s="375">
        <v>0</v>
      </c>
      <c r="EO27" s="375">
        <f t="shared" si="72"/>
        <v>0</v>
      </c>
      <c r="EP27" s="375">
        <v>0</v>
      </c>
      <c r="EQ27" s="375">
        <f t="shared" si="73"/>
        <v>0</v>
      </c>
      <c r="ER27" s="375">
        <f t="shared" si="112"/>
        <v>2</v>
      </c>
      <c r="ES27" s="376">
        <f t="shared" si="75"/>
        <v>64</v>
      </c>
      <c r="ET27" s="373">
        <f t="shared" si="113"/>
        <v>5.5703472222222219</v>
      </c>
      <c r="EU27" s="374" t="str">
        <f t="shared" si="114"/>
        <v>(0.52)</v>
      </c>
      <c r="EV27" s="22">
        <v>2</v>
      </c>
      <c r="EW27" s="22">
        <f t="shared" si="77"/>
        <v>2</v>
      </c>
      <c r="EX27" s="22">
        <v>0</v>
      </c>
      <c r="EY27" s="22">
        <f t="shared" si="78"/>
        <v>0</v>
      </c>
      <c r="EZ27" s="22">
        <v>0</v>
      </c>
      <c r="FA27" s="22">
        <f t="shared" si="79"/>
        <v>0</v>
      </c>
      <c r="FB27" s="22">
        <f t="shared" si="115"/>
        <v>2</v>
      </c>
      <c r="FC27" s="23">
        <f t="shared" si="81"/>
        <v>70</v>
      </c>
      <c r="FD27" s="202"/>
      <c r="FE27" s="203"/>
      <c r="FF27" s="204"/>
      <c r="FG27" s="204"/>
      <c r="FH27" s="204"/>
      <c r="FI27" s="204"/>
      <c r="FJ27" s="204"/>
      <c r="FK27" s="204"/>
      <c r="FL27" s="204"/>
      <c r="FM27" s="205"/>
      <c r="FN27" s="202"/>
      <c r="FO27" s="203"/>
      <c r="FP27" s="204"/>
      <c r="FQ27" s="204"/>
      <c r="FR27" s="204"/>
      <c r="FS27" s="204"/>
      <c r="FT27" s="204"/>
      <c r="FU27" s="204"/>
      <c r="FV27" s="204"/>
      <c r="FW27" s="205"/>
      <c r="FX27" s="202"/>
      <c r="FY27" s="203"/>
      <c r="FZ27" s="204"/>
      <c r="GA27" s="204"/>
      <c r="GB27" s="204"/>
      <c r="GC27" s="204"/>
      <c r="GD27" s="204"/>
      <c r="GE27" s="204"/>
      <c r="GF27" s="204"/>
      <c r="GG27" s="205"/>
      <c r="GH27" s="202"/>
      <c r="GI27" s="203"/>
      <c r="GJ27" s="204"/>
      <c r="GK27" s="204"/>
      <c r="GL27" s="204"/>
      <c r="GM27" s="204"/>
      <c r="GN27" s="204"/>
      <c r="GO27" s="204"/>
      <c r="GP27" s="204"/>
      <c r="GQ27" s="205"/>
      <c r="GR27" s="202"/>
      <c r="GS27" s="203"/>
      <c r="GT27" s="204"/>
      <c r="GU27" s="204"/>
      <c r="GV27" s="204"/>
      <c r="GW27" s="204"/>
      <c r="GX27" s="204"/>
      <c r="GY27" s="204"/>
      <c r="GZ27" s="204"/>
      <c r="HA27" s="205"/>
      <c r="HB27" s="202"/>
      <c r="HC27" s="203"/>
      <c r="HD27" s="204"/>
      <c r="HE27" s="204"/>
      <c r="HF27" s="204"/>
      <c r="HG27" s="204"/>
      <c r="HH27" s="204"/>
      <c r="HI27" s="204"/>
      <c r="HJ27" s="204"/>
      <c r="HK27" s="205"/>
      <c r="HL27" s="202"/>
      <c r="HM27" s="203"/>
      <c r="HN27" s="204"/>
      <c r="HO27" s="204"/>
      <c r="HP27" s="204"/>
      <c r="HQ27" s="204"/>
      <c r="HR27" s="204"/>
      <c r="HS27" s="204"/>
      <c r="HT27" s="204"/>
      <c r="HU27" s="205"/>
      <c r="HV27" s="202"/>
      <c r="HW27" s="203"/>
      <c r="HX27" s="204"/>
      <c r="HY27" s="204"/>
      <c r="HZ27" s="204"/>
      <c r="IA27" s="204"/>
      <c r="IB27" s="204"/>
      <c r="IC27" s="204"/>
      <c r="ID27" s="204"/>
      <c r="IE27" s="205"/>
      <c r="IF27" s="262"/>
      <c r="IG27" s="25">
        <v>4</v>
      </c>
      <c r="IH27" s="26">
        <v>1.6759999999999999</v>
      </c>
      <c r="II27" s="26">
        <v>2.4550000000000001</v>
      </c>
      <c r="IJ27" s="26">
        <v>2.4180000000000001</v>
      </c>
      <c r="IK27" s="26">
        <v>1</v>
      </c>
      <c r="IL27" s="26">
        <v>1</v>
      </c>
      <c r="IM27" s="26">
        <v>1.125</v>
      </c>
      <c r="IN27" s="8"/>
    </row>
    <row r="28" spans="2:248" ht="15.75" thickBot="1" x14ac:dyDescent="0.3">
      <c r="B28" s="103">
        <f t="shared" si="12"/>
        <v>66</v>
      </c>
      <c r="C28" s="102">
        <v>11</v>
      </c>
      <c r="D28" s="98">
        <f t="shared" si="1"/>
        <v>0.23767676767676765</v>
      </c>
      <c r="E28" s="96">
        <f t="shared" si="2"/>
        <v>0.25352188552188548</v>
      </c>
      <c r="F28" s="96">
        <f t="shared" si="3"/>
        <v>0.26144444444444442</v>
      </c>
      <c r="G28" s="96">
        <f t="shared" si="4"/>
        <v>0.26619797979797977</v>
      </c>
      <c r="H28" s="96">
        <f t="shared" si="5"/>
        <v>0.26936700336700337</v>
      </c>
      <c r="I28" s="96">
        <f t="shared" si="6"/>
        <v>0.27163059163059161</v>
      </c>
      <c r="J28" s="96">
        <f t="shared" si="7"/>
        <v>0.27332828282828281</v>
      </c>
      <c r="K28" s="96">
        <f t="shared" si="8"/>
        <v>0.27464870931537599</v>
      </c>
      <c r="L28" s="96">
        <f t="shared" si="9"/>
        <v>0.27570505050505045</v>
      </c>
      <c r="M28" s="96">
        <f t="shared" si="10"/>
        <v>0.27656932966023873</v>
      </c>
      <c r="N28" s="96">
        <f t="shared" si="11"/>
        <v>0.27728956228956225</v>
      </c>
      <c r="O28" s="206"/>
      <c r="P28" s="206"/>
      <c r="Q28" s="206"/>
      <c r="R28" s="206"/>
      <c r="S28" s="206"/>
      <c r="T28" s="206"/>
      <c r="U28" s="206"/>
      <c r="V28" s="206"/>
      <c r="W28" s="64"/>
      <c r="X28" s="65"/>
      <c r="Z28" s="83"/>
      <c r="AA28" s="83"/>
      <c r="AT28" s="4"/>
      <c r="AU28" s="14">
        <f t="shared" si="116"/>
        <v>48</v>
      </c>
      <c r="AV28" s="12" t="str">
        <f t="shared" si="82"/>
        <v>(1200)</v>
      </c>
      <c r="AW28" s="19">
        <f t="shared" si="117"/>
        <v>14</v>
      </c>
      <c r="AX28" s="373">
        <f t="shared" si="83"/>
        <v>0.96629976500795478</v>
      </c>
      <c r="AY28" s="374" t="str">
        <f t="shared" si="84"/>
        <v>(0.09)</v>
      </c>
      <c r="AZ28" s="375">
        <v>2</v>
      </c>
      <c r="BA28" s="375">
        <f t="shared" si="17"/>
        <v>2</v>
      </c>
      <c r="BB28" s="375">
        <v>0</v>
      </c>
      <c r="BC28" s="375">
        <f t="shared" si="18"/>
        <v>0</v>
      </c>
      <c r="BD28" s="375">
        <v>0</v>
      </c>
      <c r="BE28" s="375">
        <f t="shared" si="19"/>
        <v>0</v>
      </c>
      <c r="BF28" s="375">
        <f t="shared" si="85"/>
        <v>2</v>
      </c>
      <c r="BG28" s="376">
        <f t="shared" si="21"/>
        <v>10</v>
      </c>
      <c r="BH28" s="373">
        <f t="shared" si="86"/>
        <v>1.5460796240127277</v>
      </c>
      <c r="BI28" s="374" t="str">
        <f t="shared" si="87"/>
        <v>(0.14)</v>
      </c>
      <c r="BJ28" s="375">
        <v>2</v>
      </c>
      <c r="BK28" s="375">
        <f t="shared" si="23"/>
        <v>2</v>
      </c>
      <c r="BL28" s="375">
        <v>0</v>
      </c>
      <c r="BM28" s="375">
        <f t="shared" si="24"/>
        <v>0</v>
      </c>
      <c r="BN28" s="375">
        <v>0</v>
      </c>
      <c r="BO28" s="375">
        <f t="shared" si="25"/>
        <v>0</v>
      </c>
      <c r="BP28" s="375">
        <f t="shared" si="88"/>
        <v>2</v>
      </c>
      <c r="BQ28" s="376">
        <f t="shared" si="27"/>
        <v>16</v>
      </c>
      <c r="BR28" s="373">
        <f t="shared" si="89"/>
        <v>2.1258594830175008</v>
      </c>
      <c r="BS28" s="374" t="str">
        <f t="shared" si="90"/>
        <v>(0.2)</v>
      </c>
      <c r="BT28" s="375">
        <v>2</v>
      </c>
      <c r="BU28" s="375">
        <f t="shared" si="29"/>
        <v>2</v>
      </c>
      <c r="BV28" s="375">
        <v>0</v>
      </c>
      <c r="BW28" s="375">
        <f t="shared" si="30"/>
        <v>0</v>
      </c>
      <c r="BX28" s="375">
        <v>0</v>
      </c>
      <c r="BY28" s="375">
        <f t="shared" si="31"/>
        <v>0</v>
      </c>
      <c r="BZ28" s="375">
        <f t="shared" si="91"/>
        <v>2</v>
      </c>
      <c r="CA28" s="376">
        <f t="shared" si="33"/>
        <v>22</v>
      </c>
      <c r="CB28" s="373">
        <f t="shared" si="92"/>
        <v>2.7056393420222737</v>
      </c>
      <c r="CC28" s="374" t="str">
        <f t="shared" si="93"/>
        <v>(0.25)</v>
      </c>
      <c r="CD28" s="375">
        <v>2</v>
      </c>
      <c r="CE28" s="375">
        <f t="shared" si="35"/>
        <v>2</v>
      </c>
      <c r="CF28" s="375">
        <v>0</v>
      </c>
      <c r="CG28" s="375">
        <f t="shared" si="36"/>
        <v>0</v>
      </c>
      <c r="CH28" s="375">
        <v>0</v>
      </c>
      <c r="CI28" s="375">
        <f t="shared" si="37"/>
        <v>0</v>
      </c>
      <c r="CJ28" s="375">
        <f t="shared" si="94"/>
        <v>2</v>
      </c>
      <c r="CK28" s="376">
        <f t="shared" si="39"/>
        <v>28</v>
      </c>
      <c r="CL28" s="373">
        <f t="shared" si="95"/>
        <v>3.2854192010270467</v>
      </c>
      <c r="CM28" s="374" t="str">
        <f t="shared" si="96"/>
        <v>(0.31)</v>
      </c>
      <c r="CN28" s="375">
        <v>2</v>
      </c>
      <c r="CO28" s="375">
        <f t="shared" si="41"/>
        <v>2</v>
      </c>
      <c r="CP28" s="375">
        <v>0</v>
      </c>
      <c r="CQ28" s="375">
        <f t="shared" si="42"/>
        <v>0</v>
      </c>
      <c r="CR28" s="375">
        <v>0</v>
      </c>
      <c r="CS28" s="375">
        <f t="shared" si="43"/>
        <v>0</v>
      </c>
      <c r="CT28" s="375">
        <f t="shared" si="97"/>
        <v>2</v>
      </c>
      <c r="CU28" s="376">
        <f t="shared" si="45"/>
        <v>34</v>
      </c>
      <c r="CV28" s="373">
        <f t="shared" si="98"/>
        <v>3.8651990600318191</v>
      </c>
      <c r="CW28" s="374" t="str">
        <f t="shared" si="99"/>
        <v>(0.36)</v>
      </c>
      <c r="CX28" s="375">
        <v>2</v>
      </c>
      <c r="CY28" s="375">
        <f t="shared" si="47"/>
        <v>2</v>
      </c>
      <c r="CZ28" s="375">
        <v>0</v>
      </c>
      <c r="DA28" s="375">
        <f t="shared" si="48"/>
        <v>0</v>
      </c>
      <c r="DB28" s="375">
        <v>0</v>
      </c>
      <c r="DC28" s="375">
        <f t="shared" si="49"/>
        <v>0</v>
      </c>
      <c r="DD28" s="375">
        <f t="shared" si="100"/>
        <v>2</v>
      </c>
      <c r="DE28" s="376">
        <f t="shared" si="51"/>
        <v>40</v>
      </c>
      <c r="DF28" s="377">
        <f t="shared" si="101"/>
        <v>4.4449789190365925</v>
      </c>
      <c r="DG28" s="378" t="str">
        <f t="shared" si="102"/>
        <v>(0.41)</v>
      </c>
      <c r="DH28" s="375">
        <v>2</v>
      </c>
      <c r="DI28" s="375">
        <f t="shared" si="53"/>
        <v>2</v>
      </c>
      <c r="DJ28" s="375">
        <v>0</v>
      </c>
      <c r="DK28" s="375">
        <f t="shared" si="54"/>
        <v>0</v>
      </c>
      <c r="DL28" s="375">
        <v>0</v>
      </c>
      <c r="DM28" s="375">
        <f t="shared" si="55"/>
        <v>0</v>
      </c>
      <c r="DN28" s="375">
        <f t="shared" si="103"/>
        <v>2</v>
      </c>
      <c r="DO28" s="376">
        <f t="shared" si="57"/>
        <v>46</v>
      </c>
      <c r="DP28" s="373">
        <f t="shared" si="104"/>
        <v>5.0247587780413649</v>
      </c>
      <c r="DQ28" s="374" t="str">
        <f t="shared" si="105"/>
        <v>(0.47)</v>
      </c>
      <c r="DR28" s="375">
        <v>2</v>
      </c>
      <c r="DS28" s="375">
        <f t="shared" si="59"/>
        <v>2</v>
      </c>
      <c r="DT28" s="375">
        <v>0</v>
      </c>
      <c r="DU28" s="375">
        <f t="shared" si="60"/>
        <v>0</v>
      </c>
      <c r="DV28" s="375">
        <v>0</v>
      </c>
      <c r="DW28" s="375">
        <f t="shared" si="61"/>
        <v>0</v>
      </c>
      <c r="DX28" s="375">
        <f t="shared" si="106"/>
        <v>2</v>
      </c>
      <c r="DY28" s="376">
        <f t="shared" si="63"/>
        <v>52</v>
      </c>
      <c r="DZ28" s="373">
        <f t="shared" si="107"/>
        <v>5.6045386370461383</v>
      </c>
      <c r="EA28" s="374" t="str">
        <f t="shared" si="108"/>
        <v>(0.52)</v>
      </c>
      <c r="EB28" s="375">
        <v>2</v>
      </c>
      <c r="EC28" s="375">
        <f t="shared" si="65"/>
        <v>2</v>
      </c>
      <c r="ED28" s="375">
        <v>0</v>
      </c>
      <c r="EE28" s="375">
        <f t="shared" si="66"/>
        <v>0</v>
      </c>
      <c r="EF28" s="375">
        <v>0</v>
      </c>
      <c r="EG28" s="375">
        <f t="shared" si="67"/>
        <v>0</v>
      </c>
      <c r="EH28" s="375">
        <f t="shared" si="109"/>
        <v>2</v>
      </c>
      <c r="EI28" s="376">
        <f t="shared" si="69"/>
        <v>58</v>
      </c>
      <c r="EJ28" s="373">
        <f t="shared" si="110"/>
        <v>6.1843184960509108</v>
      </c>
      <c r="EK28" s="374" t="str">
        <f t="shared" si="111"/>
        <v>(0.57)</v>
      </c>
      <c r="EL28" s="375">
        <v>2</v>
      </c>
      <c r="EM28" s="375">
        <f t="shared" si="71"/>
        <v>2</v>
      </c>
      <c r="EN28" s="375">
        <v>0</v>
      </c>
      <c r="EO28" s="375">
        <f t="shared" si="72"/>
        <v>0</v>
      </c>
      <c r="EP28" s="375">
        <v>0</v>
      </c>
      <c r="EQ28" s="375">
        <f t="shared" si="73"/>
        <v>0</v>
      </c>
      <c r="ER28" s="375">
        <f t="shared" si="112"/>
        <v>2</v>
      </c>
      <c r="ES28" s="376">
        <f t="shared" si="75"/>
        <v>64</v>
      </c>
      <c r="ET28" s="373">
        <f t="shared" si="113"/>
        <v>6.7640983550556832</v>
      </c>
      <c r="EU28" s="374" t="str">
        <f t="shared" si="114"/>
        <v>(0.63)</v>
      </c>
      <c r="EV28" s="22">
        <v>2</v>
      </c>
      <c r="EW28" s="22">
        <f t="shared" si="77"/>
        <v>2</v>
      </c>
      <c r="EX28" s="22">
        <v>0</v>
      </c>
      <c r="EY28" s="22">
        <f t="shared" si="78"/>
        <v>0</v>
      </c>
      <c r="EZ28" s="22">
        <v>0</v>
      </c>
      <c r="FA28" s="22">
        <f t="shared" si="79"/>
        <v>0</v>
      </c>
      <c r="FB28" s="22">
        <f t="shared" si="115"/>
        <v>2</v>
      </c>
      <c r="FC28" s="23">
        <f t="shared" si="81"/>
        <v>70</v>
      </c>
      <c r="FD28" s="202"/>
      <c r="FE28" s="203"/>
      <c r="FF28" s="204"/>
      <c r="FG28" s="204"/>
      <c r="FH28" s="204"/>
      <c r="FI28" s="204"/>
      <c r="FJ28" s="204"/>
      <c r="FK28" s="204"/>
      <c r="FL28" s="204"/>
      <c r="FM28" s="205"/>
      <c r="FN28" s="202"/>
      <c r="FO28" s="203"/>
      <c r="FP28" s="204"/>
      <c r="FQ28" s="204"/>
      <c r="FR28" s="204"/>
      <c r="FS28" s="204"/>
      <c r="FT28" s="204"/>
      <c r="FU28" s="204"/>
      <c r="FV28" s="204"/>
      <c r="FW28" s="205"/>
      <c r="FX28" s="202"/>
      <c r="FY28" s="203"/>
      <c r="FZ28" s="204"/>
      <c r="GA28" s="204"/>
      <c r="GB28" s="204"/>
      <c r="GC28" s="204"/>
      <c r="GD28" s="204"/>
      <c r="GE28" s="204"/>
      <c r="GF28" s="204"/>
      <c r="GG28" s="205"/>
      <c r="GH28" s="202"/>
      <c r="GI28" s="203"/>
      <c r="GJ28" s="204"/>
      <c r="GK28" s="204"/>
      <c r="GL28" s="204"/>
      <c r="GM28" s="204"/>
      <c r="GN28" s="204"/>
      <c r="GO28" s="204"/>
      <c r="GP28" s="204"/>
      <c r="GQ28" s="205"/>
      <c r="GR28" s="202"/>
      <c r="GS28" s="203"/>
      <c r="GT28" s="204"/>
      <c r="GU28" s="204"/>
      <c r="GV28" s="204"/>
      <c r="GW28" s="204"/>
      <c r="GX28" s="204"/>
      <c r="GY28" s="204"/>
      <c r="GZ28" s="204"/>
      <c r="HA28" s="205"/>
      <c r="HB28" s="202"/>
      <c r="HC28" s="203"/>
      <c r="HD28" s="204"/>
      <c r="HE28" s="204"/>
      <c r="HF28" s="204"/>
      <c r="HG28" s="204"/>
      <c r="HH28" s="204"/>
      <c r="HI28" s="204"/>
      <c r="HJ28" s="204"/>
      <c r="HK28" s="205"/>
      <c r="HL28" s="202"/>
      <c r="HM28" s="203"/>
      <c r="HN28" s="204"/>
      <c r="HO28" s="204"/>
      <c r="HP28" s="204"/>
      <c r="HQ28" s="204"/>
      <c r="HR28" s="204"/>
      <c r="HS28" s="204"/>
      <c r="HT28" s="204"/>
      <c r="HU28" s="205"/>
      <c r="HV28" s="202"/>
      <c r="HW28" s="203"/>
      <c r="HX28" s="204"/>
      <c r="HY28" s="204"/>
      <c r="HZ28" s="204"/>
      <c r="IA28" s="204"/>
      <c r="IB28" s="204"/>
      <c r="IC28" s="204"/>
      <c r="ID28" s="204"/>
      <c r="IE28" s="205"/>
      <c r="IF28" s="262"/>
      <c r="IG28" s="25">
        <v>5</v>
      </c>
      <c r="IH28" s="26">
        <v>1.6759999999999999</v>
      </c>
      <c r="II28" s="26">
        <v>2.4550000000000001</v>
      </c>
      <c r="IJ28" s="26">
        <v>2.418716616114549</v>
      </c>
      <c r="IK28" s="26">
        <v>1</v>
      </c>
      <c r="IL28" s="26">
        <v>1</v>
      </c>
      <c r="IM28" s="26">
        <v>1.125</v>
      </c>
      <c r="IN28" s="8"/>
    </row>
    <row r="29" spans="2:248" ht="15.75" thickBot="1" x14ac:dyDescent="0.3">
      <c r="B29" s="103">
        <f t="shared" si="12"/>
        <v>72</v>
      </c>
      <c r="C29" s="102">
        <v>12</v>
      </c>
      <c r="D29" s="98">
        <f t="shared" si="1"/>
        <v>0.24629301639021464</v>
      </c>
      <c r="E29" s="96">
        <f t="shared" si="2"/>
        <v>0.26271255081622896</v>
      </c>
      <c r="F29" s="96">
        <f t="shared" si="3"/>
        <v>0.27092231802923616</v>
      </c>
      <c r="G29" s="96">
        <f t="shared" si="4"/>
        <v>0.27584817835704045</v>
      </c>
      <c r="H29" s="96">
        <f t="shared" si="5"/>
        <v>0.27913208524224331</v>
      </c>
      <c r="I29" s="96">
        <f t="shared" si="6"/>
        <v>0.28147773301738815</v>
      </c>
      <c r="J29" s="96">
        <f t="shared" si="7"/>
        <v>0.28323696884874688</v>
      </c>
      <c r="K29" s="96">
        <f t="shared" si="8"/>
        <v>0.28460526338424808</v>
      </c>
      <c r="L29" s="96">
        <f t="shared" si="9"/>
        <v>0.28569989901264908</v>
      </c>
      <c r="M29" s="96">
        <f t="shared" si="10"/>
        <v>0.2865955099813407</v>
      </c>
      <c r="N29" s="96">
        <f t="shared" si="11"/>
        <v>0.28734185245525046</v>
      </c>
      <c r="O29" s="206"/>
      <c r="P29" s="206"/>
      <c r="Q29" s="206"/>
      <c r="R29" s="206"/>
      <c r="S29" s="206"/>
      <c r="T29" s="206"/>
      <c r="U29" s="206"/>
      <c r="V29" s="206"/>
      <c r="W29" s="64"/>
      <c r="X29" s="65"/>
      <c r="Z29" s="83"/>
      <c r="AA29" s="83"/>
      <c r="AT29" s="4"/>
      <c r="AU29" s="14">
        <f t="shared" si="116"/>
        <v>54</v>
      </c>
      <c r="AV29" s="12" t="str">
        <f t="shared" si="82"/>
        <v>(1350)</v>
      </c>
      <c r="AW29" s="19">
        <f t="shared" si="117"/>
        <v>15</v>
      </c>
      <c r="AX29" s="373">
        <f t="shared" si="83"/>
        <v>0.96625000000000005</v>
      </c>
      <c r="AY29" s="374" t="str">
        <f t="shared" si="84"/>
        <v>(0.09)</v>
      </c>
      <c r="AZ29" s="375">
        <v>2</v>
      </c>
      <c r="BA29" s="375">
        <f t="shared" si="17"/>
        <v>2</v>
      </c>
      <c r="BB29" s="375">
        <v>0</v>
      </c>
      <c r="BC29" s="375">
        <f t="shared" si="18"/>
        <v>0</v>
      </c>
      <c r="BD29" s="375">
        <v>0</v>
      </c>
      <c r="BE29" s="375">
        <f t="shared" si="19"/>
        <v>0</v>
      </c>
      <c r="BF29" s="375">
        <f t="shared" si="85"/>
        <v>2</v>
      </c>
      <c r="BG29" s="376">
        <f t="shared" si="21"/>
        <v>10</v>
      </c>
      <c r="BH29" s="373">
        <f t="shared" si="86"/>
        <v>1.5460000000000003</v>
      </c>
      <c r="BI29" s="374" t="str">
        <f t="shared" si="87"/>
        <v>(0.14)</v>
      </c>
      <c r="BJ29" s="375">
        <v>2</v>
      </c>
      <c r="BK29" s="375">
        <f t="shared" si="23"/>
        <v>2</v>
      </c>
      <c r="BL29" s="375">
        <v>0</v>
      </c>
      <c r="BM29" s="375">
        <f t="shared" si="24"/>
        <v>0</v>
      </c>
      <c r="BN29" s="375">
        <v>0</v>
      </c>
      <c r="BO29" s="375">
        <f t="shared" si="25"/>
        <v>0</v>
      </c>
      <c r="BP29" s="375">
        <f t="shared" si="88"/>
        <v>2</v>
      </c>
      <c r="BQ29" s="376">
        <f t="shared" si="27"/>
        <v>16</v>
      </c>
      <c r="BR29" s="373">
        <f t="shared" si="89"/>
        <v>2.1257500000000005</v>
      </c>
      <c r="BS29" s="374" t="str">
        <f t="shared" si="90"/>
        <v>(0.2)</v>
      </c>
      <c r="BT29" s="375">
        <v>2</v>
      </c>
      <c r="BU29" s="375">
        <f t="shared" si="29"/>
        <v>2</v>
      </c>
      <c r="BV29" s="375">
        <v>0</v>
      </c>
      <c r="BW29" s="375">
        <f t="shared" si="30"/>
        <v>0</v>
      </c>
      <c r="BX29" s="375">
        <v>0</v>
      </c>
      <c r="BY29" s="375">
        <f t="shared" si="31"/>
        <v>0</v>
      </c>
      <c r="BZ29" s="375">
        <f t="shared" si="91"/>
        <v>2</v>
      </c>
      <c r="CA29" s="376">
        <f t="shared" si="33"/>
        <v>22</v>
      </c>
      <c r="CB29" s="373">
        <f t="shared" si="92"/>
        <v>2.7055000000000002</v>
      </c>
      <c r="CC29" s="374" t="str">
        <f t="shared" si="93"/>
        <v>(0.25)</v>
      </c>
      <c r="CD29" s="375">
        <v>2</v>
      </c>
      <c r="CE29" s="375">
        <f t="shared" si="35"/>
        <v>2</v>
      </c>
      <c r="CF29" s="375">
        <v>0</v>
      </c>
      <c r="CG29" s="375">
        <f t="shared" si="36"/>
        <v>0</v>
      </c>
      <c r="CH29" s="375">
        <v>0</v>
      </c>
      <c r="CI29" s="375">
        <f t="shared" si="37"/>
        <v>0</v>
      </c>
      <c r="CJ29" s="375">
        <f t="shared" si="94"/>
        <v>2</v>
      </c>
      <c r="CK29" s="376">
        <f t="shared" si="39"/>
        <v>28</v>
      </c>
      <c r="CL29" s="373">
        <f t="shared" si="95"/>
        <v>3.28525</v>
      </c>
      <c r="CM29" s="374" t="str">
        <f t="shared" si="96"/>
        <v>(0.31)</v>
      </c>
      <c r="CN29" s="375">
        <v>2</v>
      </c>
      <c r="CO29" s="375">
        <f t="shared" si="41"/>
        <v>2</v>
      </c>
      <c r="CP29" s="375">
        <v>0</v>
      </c>
      <c r="CQ29" s="375">
        <f t="shared" si="42"/>
        <v>0</v>
      </c>
      <c r="CR29" s="375">
        <v>0</v>
      </c>
      <c r="CS29" s="375">
        <f t="shared" si="43"/>
        <v>0</v>
      </c>
      <c r="CT29" s="375">
        <f t="shared" si="97"/>
        <v>2</v>
      </c>
      <c r="CU29" s="376">
        <f t="shared" si="45"/>
        <v>34</v>
      </c>
      <c r="CV29" s="373">
        <f t="shared" si="98"/>
        <v>3.8650000000000002</v>
      </c>
      <c r="CW29" s="374" t="str">
        <f t="shared" si="99"/>
        <v>(0.36)</v>
      </c>
      <c r="CX29" s="375">
        <v>2</v>
      </c>
      <c r="CY29" s="375">
        <f t="shared" si="47"/>
        <v>2</v>
      </c>
      <c r="CZ29" s="375">
        <v>0</v>
      </c>
      <c r="DA29" s="375">
        <f t="shared" si="48"/>
        <v>0</v>
      </c>
      <c r="DB29" s="375">
        <v>0</v>
      </c>
      <c r="DC29" s="375">
        <f t="shared" si="49"/>
        <v>0</v>
      </c>
      <c r="DD29" s="375">
        <f t="shared" si="100"/>
        <v>2</v>
      </c>
      <c r="DE29" s="376">
        <f t="shared" si="51"/>
        <v>40</v>
      </c>
      <c r="DF29" s="373">
        <f t="shared" si="101"/>
        <v>4.4447500000000009</v>
      </c>
      <c r="DG29" s="374" t="str">
        <f t="shared" si="102"/>
        <v>(0.41)</v>
      </c>
      <c r="DH29" s="375">
        <v>2</v>
      </c>
      <c r="DI29" s="375">
        <f t="shared" si="53"/>
        <v>2</v>
      </c>
      <c r="DJ29" s="375">
        <v>0</v>
      </c>
      <c r="DK29" s="375">
        <f t="shared" si="54"/>
        <v>0</v>
      </c>
      <c r="DL29" s="375">
        <v>0</v>
      </c>
      <c r="DM29" s="375">
        <f t="shared" si="55"/>
        <v>0</v>
      </c>
      <c r="DN29" s="375">
        <f t="shared" si="103"/>
        <v>2</v>
      </c>
      <c r="DO29" s="376">
        <f t="shared" si="57"/>
        <v>46</v>
      </c>
      <c r="DP29" s="373">
        <f t="shared" si="104"/>
        <v>5.0244999999999997</v>
      </c>
      <c r="DQ29" s="374" t="str">
        <f t="shared" si="105"/>
        <v>(0.47)</v>
      </c>
      <c r="DR29" s="375">
        <v>2</v>
      </c>
      <c r="DS29" s="375">
        <f t="shared" si="59"/>
        <v>2</v>
      </c>
      <c r="DT29" s="375">
        <v>0</v>
      </c>
      <c r="DU29" s="375">
        <f t="shared" si="60"/>
        <v>0</v>
      </c>
      <c r="DV29" s="375">
        <v>0</v>
      </c>
      <c r="DW29" s="375">
        <f t="shared" si="61"/>
        <v>0</v>
      </c>
      <c r="DX29" s="375">
        <f t="shared" si="106"/>
        <v>2</v>
      </c>
      <c r="DY29" s="376">
        <f t="shared" si="63"/>
        <v>52</v>
      </c>
      <c r="DZ29" s="373">
        <f t="shared" si="107"/>
        <v>5.6042500000000004</v>
      </c>
      <c r="EA29" s="374" t="str">
        <f t="shared" si="108"/>
        <v>(0.52)</v>
      </c>
      <c r="EB29" s="375">
        <v>2</v>
      </c>
      <c r="EC29" s="375">
        <f t="shared" si="65"/>
        <v>2</v>
      </c>
      <c r="ED29" s="375">
        <v>0</v>
      </c>
      <c r="EE29" s="375">
        <f t="shared" si="66"/>
        <v>0</v>
      </c>
      <c r="EF29" s="375">
        <v>0</v>
      </c>
      <c r="EG29" s="375">
        <f t="shared" si="67"/>
        <v>0</v>
      </c>
      <c r="EH29" s="375">
        <f t="shared" si="109"/>
        <v>2</v>
      </c>
      <c r="EI29" s="376">
        <f t="shared" si="69"/>
        <v>58</v>
      </c>
      <c r="EJ29" s="373">
        <f t="shared" si="110"/>
        <v>6.1840000000000011</v>
      </c>
      <c r="EK29" s="374" t="str">
        <f t="shared" si="111"/>
        <v>(0.57)</v>
      </c>
      <c r="EL29" s="375">
        <v>2</v>
      </c>
      <c r="EM29" s="375">
        <f t="shared" si="71"/>
        <v>2</v>
      </c>
      <c r="EN29" s="375">
        <v>0</v>
      </c>
      <c r="EO29" s="375">
        <f t="shared" si="72"/>
        <v>0</v>
      </c>
      <c r="EP29" s="375">
        <v>0</v>
      </c>
      <c r="EQ29" s="375">
        <f t="shared" si="73"/>
        <v>0</v>
      </c>
      <c r="ER29" s="375">
        <f t="shared" si="112"/>
        <v>2</v>
      </c>
      <c r="ES29" s="376">
        <f t="shared" si="75"/>
        <v>64</v>
      </c>
      <c r="ET29" s="373">
        <f t="shared" si="113"/>
        <v>6.7637500000000008</v>
      </c>
      <c r="EU29" s="374" t="str">
        <f t="shared" si="114"/>
        <v>(0.63)</v>
      </c>
      <c r="EV29" s="22">
        <v>2</v>
      </c>
      <c r="EW29" s="22">
        <f t="shared" si="77"/>
        <v>2</v>
      </c>
      <c r="EX29" s="22">
        <v>0</v>
      </c>
      <c r="EY29" s="22">
        <f t="shared" si="78"/>
        <v>0</v>
      </c>
      <c r="EZ29" s="22">
        <v>0</v>
      </c>
      <c r="FA29" s="22">
        <f t="shared" si="79"/>
        <v>0</v>
      </c>
      <c r="FB29" s="22">
        <f t="shared" si="115"/>
        <v>2</v>
      </c>
      <c r="FC29" s="23">
        <f t="shared" si="81"/>
        <v>70</v>
      </c>
      <c r="FD29" s="202"/>
      <c r="FE29" s="203"/>
      <c r="FF29" s="204"/>
      <c r="FG29" s="204"/>
      <c r="FH29" s="204"/>
      <c r="FI29" s="204"/>
      <c r="FJ29" s="204"/>
      <c r="FK29" s="204"/>
      <c r="FL29" s="204"/>
      <c r="FM29" s="205"/>
      <c r="FN29" s="202"/>
      <c r="FO29" s="203"/>
      <c r="FP29" s="204"/>
      <c r="FQ29" s="204"/>
      <c r="FR29" s="204"/>
      <c r="FS29" s="204"/>
      <c r="FT29" s="204"/>
      <c r="FU29" s="204"/>
      <c r="FV29" s="204"/>
      <c r="FW29" s="205"/>
      <c r="FX29" s="202"/>
      <c r="FY29" s="203"/>
      <c r="FZ29" s="204"/>
      <c r="GA29" s="204"/>
      <c r="GB29" s="204"/>
      <c r="GC29" s="204"/>
      <c r="GD29" s="204"/>
      <c r="GE29" s="204"/>
      <c r="GF29" s="204"/>
      <c r="GG29" s="205"/>
      <c r="GH29" s="202"/>
      <c r="GI29" s="203"/>
      <c r="GJ29" s="204"/>
      <c r="GK29" s="204"/>
      <c r="GL29" s="204"/>
      <c r="GM29" s="204"/>
      <c r="GN29" s="204"/>
      <c r="GO29" s="204"/>
      <c r="GP29" s="204"/>
      <c r="GQ29" s="205"/>
      <c r="GR29" s="202"/>
      <c r="GS29" s="203"/>
      <c r="GT29" s="204"/>
      <c r="GU29" s="204"/>
      <c r="GV29" s="204"/>
      <c r="GW29" s="204"/>
      <c r="GX29" s="204"/>
      <c r="GY29" s="204"/>
      <c r="GZ29" s="204"/>
      <c r="HA29" s="205"/>
      <c r="HB29" s="202"/>
      <c r="HC29" s="203"/>
      <c r="HD29" s="204"/>
      <c r="HE29" s="204"/>
      <c r="HF29" s="204"/>
      <c r="HG29" s="204"/>
      <c r="HH29" s="204"/>
      <c r="HI29" s="204"/>
      <c r="HJ29" s="204"/>
      <c r="HK29" s="205"/>
      <c r="HL29" s="202"/>
      <c r="HM29" s="203"/>
      <c r="HN29" s="204"/>
      <c r="HO29" s="204"/>
      <c r="HP29" s="204"/>
      <c r="HQ29" s="204"/>
      <c r="HR29" s="204"/>
      <c r="HS29" s="204"/>
      <c r="HT29" s="204"/>
      <c r="HU29" s="205"/>
      <c r="HV29" s="202"/>
      <c r="HW29" s="203"/>
      <c r="HX29" s="204"/>
      <c r="HY29" s="204"/>
      <c r="HZ29" s="204"/>
      <c r="IA29" s="204"/>
      <c r="IB29" s="204"/>
      <c r="IC29" s="204"/>
      <c r="ID29" s="204"/>
      <c r="IE29" s="205"/>
      <c r="IF29" s="262"/>
      <c r="IG29" s="25">
        <v>5</v>
      </c>
      <c r="IH29" s="26">
        <v>1.6759999999999999</v>
      </c>
      <c r="II29" s="26">
        <v>2.4550000000000001</v>
      </c>
      <c r="IJ29" s="26">
        <v>2.4180000000000001</v>
      </c>
      <c r="IK29" s="26">
        <v>1</v>
      </c>
      <c r="IL29" s="26">
        <v>1</v>
      </c>
      <c r="IM29" s="26">
        <v>1.125</v>
      </c>
      <c r="IN29" s="8"/>
    </row>
    <row r="30" spans="2:248" ht="15.75" thickBot="1" x14ac:dyDescent="0.3">
      <c r="B30" s="103">
        <f t="shared" si="12"/>
        <v>78</v>
      </c>
      <c r="C30" s="102">
        <v>13</v>
      </c>
      <c r="D30" s="98">
        <f t="shared" si="1"/>
        <v>0.22733974358974357</v>
      </c>
      <c r="E30" s="96">
        <f t="shared" si="2"/>
        <v>0.24249572649572648</v>
      </c>
      <c r="F30" s="96">
        <f t="shared" si="3"/>
        <v>0.25007371794871791</v>
      </c>
      <c r="G30" s="96">
        <f t="shared" si="4"/>
        <v>0.25462051282051285</v>
      </c>
      <c r="H30" s="96">
        <f t="shared" si="5"/>
        <v>0.25765170940170939</v>
      </c>
      <c r="I30" s="96">
        <f t="shared" si="6"/>
        <v>0.25981684981684977</v>
      </c>
      <c r="J30" s="96">
        <f t="shared" si="7"/>
        <v>0.26144070512820511</v>
      </c>
      <c r="K30" s="96">
        <f t="shared" si="8"/>
        <v>0.26270370370370372</v>
      </c>
      <c r="L30" s="96">
        <f t="shared" si="9"/>
        <v>0.2637141025641026</v>
      </c>
      <c r="M30" s="96">
        <f t="shared" si="10"/>
        <v>0.26454079254079255</v>
      </c>
      <c r="N30" s="96">
        <f t="shared" si="11"/>
        <v>0.26522970085470082</v>
      </c>
      <c r="O30" s="206"/>
      <c r="P30" s="206"/>
      <c r="Q30" s="206"/>
      <c r="R30" s="206"/>
      <c r="S30" s="206"/>
      <c r="T30" s="206"/>
      <c r="U30" s="206"/>
      <c r="V30" s="206"/>
      <c r="W30" s="64"/>
      <c r="X30" s="65"/>
      <c r="Z30" s="83"/>
      <c r="AA30" s="83"/>
      <c r="AT30" s="4"/>
      <c r="AU30" s="27">
        <f t="shared" si="116"/>
        <v>60</v>
      </c>
      <c r="AV30" s="28" t="str">
        <f t="shared" si="82"/>
        <v>(1500)</v>
      </c>
      <c r="AW30" s="19">
        <f t="shared" si="117"/>
        <v>16</v>
      </c>
      <c r="AX30" s="373">
        <f t="shared" si="83"/>
        <v>1.1367361111111112</v>
      </c>
      <c r="AY30" s="374" t="str">
        <f>"("&amp;FIXED(AX30*0.092903,2)&amp;")"</f>
        <v>(0.11)</v>
      </c>
      <c r="AZ30" s="375">
        <v>2</v>
      </c>
      <c r="BA30" s="375">
        <f t="shared" si="17"/>
        <v>2</v>
      </c>
      <c r="BB30" s="375">
        <v>0</v>
      </c>
      <c r="BC30" s="375">
        <f t="shared" si="18"/>
        <v>0</v>
      </c>
      <c r="BD30" s="375">
        <v>0</v>
      </c>
      <c r="BE30" s="375">
        <f t="shared" si="19"/>
        <v>0</v>
      </c>
      <c r="BF30" s="375">
        <f t="shared" si="85"/>
        <v>2</v>
      </c>
      <c r="BG30" s="376">
        <f t="shared" si="21"/>
        <v>10</v>
      </c>
      <c r="BH30" s="373">
        <f t="shared" si="86"/>
        <v>1.8187777777777778</v>
      </c>
      <c r="BI30" s="374" t="str">
        <f t="shared" si="87"/>
        <v>(0.17)</v>
      </c>
      <c r="BJ30" s="375">
        <v>2</v>
      </c>
      <c r="BK30" s="375">
        <f t="shared" si="23"/>
        <v>2</v>
      </c>
      <c r="BL30" s="375">
        <v>0</v>
      </c>
      <c r="BM30" s="375">
        <f t="shared" si="24"/>
        <v>0</v>
      </c>
      <c r="BN30" s="375">
        <v>0</v>
      </c>
      <c r="BO30" s="375">
        <f t="shared" si="25"/>
        <v>0</v>
      </c>
      <c r="BP30" s="375">
        <f t="shared" si="88"/>
        <v>2</v>
      </c>
      <c r="BQ30" s="376">
        <f t="shared" si="27"/>
        <v>16</v>
      </c>
      <c r="BR30" s="373">
        <f t="shared" si="89"/>
        <v>2.5008194444444443</v>
      </c>
      <c r="BS30" s="374" t="str">
        <f t="shared" si="90"/>
        <v>(0.23)</v>
      </c>
      <c r="BT30" s="375">
        <v>2</v>
      </c>
      <c r="BU30" s="375">
        <f t="shared" si="29"/>
        <v>2</v>
      </c>
      <c r="BV30" s="375">
        <v>0</v>
      </c>
      <c r="BW30" s="375">
        <f t="shared" si="30"/>
        <v>0</v>
      </c>
      <c r="BX30" s="375">
        <v>0</v>
      </c>
      <c r="BY30" s="375">
        <f t="shared" si="31"/>
        <v>0</v>
      </c>
      <c r="BZ30" s="375">
        <f t="shared" si="91"/>
        <v>2</v>
      </c>
      <c r="CA30" s="376">
        <f t="shared" si="33"/>
        <v>22</v>
      </c>
      <c r="CB30" s="373">
        <f t="shared" si="92"/>
        <v>3.1828611111111109</v>
      </c>
      <c r="CC30" s="374" t="str">
        <f t="shared" si="93"/>
        <v>(0.3)</v>
      </c>
      <c r="CD30" s="375">
        <v>2</v>
      </c>
      <c r="CE30" s="375">
        <f t="shared" si="35"/>
        <v>2</v>
      </c>
      <c r="CF30" s="375">
        <v>0</v>
      </c>
      <c r="CG30" s="375">
        <f t="shared" si="36"/>
        <v>0</v>
      </c>
      <c r="CH30" s="375">
        <v>0</v>
      </c>
      <c r="CI30" s="375">
        <f t="shared" si="37"/>
        <v>0</v>
      </c>
      <c r="CJ30" s="375">
        <f t="shared" si="94"/>
        <v>2</v>
      </c>
      <c r="CK30" s="376">
        <f t="shared" si="39"/>
        <v>28</v>
      </c>
      <c r="CL30" s="373">
        <f t="shared" si="95"/>
        <v>3.864902777777778</v>
      </c>
      <c r="CM30" s="374" t="str">
        <f t="shared" si="96"/>
        <v>(0.36)</v>
      </c>
      <c r="CN30" s="375">
        <v>2</v>
      </c>
      <c r="CO30" s="375">
        <f t="shared" si="41"/>
        <v>2</v>
      </c>
      <c r="CP30" s="375">
        <v>0</v>
      </c>
      <c r="CQ30" s="375">
        <f t="shared" si="42"/>
        <v>0</v>
      </c>
      <c r="CR30" s="375">
        <v>0</v>
      </c>
      <c r="CS30" s="375">
        <f t="shared" si="43"/>
        <v>0</v>
      </c>
      <c r="CT30" s="375">
        <f t="shared" si="97"/>
        <v>2</v>
      </c>
      <c r="CU30" s="376">
        <f t="shared" si="45"/>
        <v>34</v>
      </c>
      <c r="CV30" s="373">
        <f t="shared" si="98"/>
        <v>4.5469444444444447</v>
      </c>
      <c r="CW30" s="374" t="str">
        <f t="shared" si="99"/>
        <v>(0.42)</v>
      </c>
      <c r="CX30" s="375">
        <v>2</v>
      </c>
      <c r="CY30" s="375">
        <f t="shared" si="47"/>
        <v>2</v>
      </c>
      <c r="CZ30" s="375">
        <v>0</v>
      </c>
      <c r="DA30" s="375">
        <f t="shared" si="48"/>
        <v>0</v>
      </c>
      <c r="DB30" s="375">
        <v>0</v>
      </c>
      <c r="DC30" s="375">
        <f t="shared" si="49"/>
        <v>0</v>
      </c>
      <c r="DD30" s="375">
        <f t="shared" si="100"/>
        <v>2</v>
      </c>
      <c r="DE30" s="376">
        <f t="shared" si="51"/>
        <v>40</v>
      </c>
      <c r="DF30" s="373">
        <f t="shared" si="101"/>
        <v>5.2289861111111104</v>
      </c>
      <c r="DG30" s="374" t="str">
        <f t="shared" si="102"/>
        <v>(0.49)</v>
      </c>
      <c r="DH30" s="375">
        <v>2</v>
      </c>
      <c r="DI30" s="375">
        <f t="shared" si="53"/>
        <v>2</v>
      </c>
      <c r="DJ30" s="375">
        <v>0</v>
      </c>
      <c r="DK30" s="375">
        <f t="shared" si="54"/>
        <v>0</v>
      </c>
      <c r="DL30" s="375">
        <v>0</v>
      </c>
      <c r="DM30" s="375">
        <f t="shared" si="55"/>
        <v>0</v>
      </c>
      <c r="DN30" s="375">
        <f t="shared" si="103"/>
        <v>2</v>
      </c>
      <c r="DO30" s="376">
        <f t="shared" si="57"/>
        <v>46</v>
      </c>
      <c r="DP30" s="373">
        <f t="shared" si="104"/>
        <v>5.911027777777778</v>
      </c>
      <c r="DQ30" s="374" t="str">
        <f>"("&amp;FIXED(DP30*0.092903,2)&amp;")"</f>
        <v>(0.55)</v>
      </c>
      <c r="DR30" s="375">
        <v>2</v>
      </c>
      <c r="DS30" s="375">
        <f t="shared" si="59"/>
        <v>2</v>
      </c>
      <c r="DT30" s="375">
        <v>0</v>
      </c>
      <c r="DU30" s="375">
        <f t="shared" si="60"/>
        <v>0</v>
      </c>
      <c r="DV30" s="375">
        <v>0</v>
      </c>
      <c r="DW30" s="375">
        <f t="shared" si="61"/>
        <v>0</v>
      </c>
      <c r="DX30" s="375">
        <f t="shared" si="106"/>
        <v>2</v>
      </c>
      <c r="DY30" s="376">
        <f t="shared" si="63"/>
        <v>52</v>
      </c>
      <c r="DZ30" s="373">
        <f t="shared" si="107"/>
        <v>6.5930694444444446</v>
      </c>
      <c r="EA30" s="374" t="str">
        <f>"("&amp;FIXED(DZ30*0.092903,2)&amp;")"</f>
        <v>(0.61)</v>
      </c>
      <c r="EB30" s="375">
        <v>2</v>
      </c>
      <c r="EC30" s="375">
        <f t="shared" si="65"/>
        <v>2</v>
      </c>
      <c r="ED30" s="375">
        <v>0</v>
      </c>
      <c r="EE30" s="375">
        <f t="shared" si="66"/>
        <v>0</v>
      </c>
      <c r="EF30" s="375">
        <v>0</v>
      </c>
      <c r="EG30" s="375">
        <f t="shared" si="67"/>
        <v>0</v>
      </c>
      <c r="EH30" s="375">
        <f t="shared" si="109"/>
        <v>2</v>
      </c>
      <c r="EI30" s="376">
        <f t="shared" si="69"/>
        <v>58</v>
      </c>
      <c r="EJ30" s="373">
        <f t="shared" si="110"/>
        <v>7.2751111111111113</v>
      </c>
      <c r="EK30" s="374" t="str">
        <f>"("&amp;FIXED(EJ30*0.092903,2)&amp;")"</f>
        <v>(0.68)</v>
      </c>
      <c r="EL30" s="375">
        <v>2</v>
      </c>
      <c r="EM30" s="375">
        <f t="shared" si="71"/>
        <v>2</v>
      </c>
      <c r="EN30" s="375">
        <v>0</v>
      </c>
      <c r="EO30" s="375">
        <f t="shared" si="72"/>
        <v>0</v>
      </c>
      <c r="EP30" s="375">
        <v>0</v>
      </c>
      <c r="EQ30" s="375">
        <f t="shared" si="73"/>
        <v>0</v>
      </c>
      <c r="ER30" s="375">
        <f t="shared" si="112"/>
        <v>2</v>
      </c>
      <c r="ES30" s="376">
        <f t="shared" si="75"/>
        <v>64</v>
      </c>
      <c r="ET30" s="373">
        <f t="shared" si="113"/>
        <v>7.9571527777777771</v>
      </c>
      <c r="EU30" s="374" t="str">
        <f>"("&amp;FIXED(ET30*0.092903,2)&amp;")"</f>
        <v>(0.74)</v>
      </c>
      <c r="EV30" s="22">
        <v>2</v>
      </c>
      <c r="EW30" s="22">
        <f t="shared" si="77"/>
        <v>2</v>
      </c>
      <c r="EX30" s="22">
        <v>0</v>
      </c>
      <c r="EY30" s="22">
        <f t="shared" si="78"/>
        <v>0</v>
      </c>
      <c r="EZ30" s="30">
        <v>0</v>
      </c>
      <c r="FA30" s="22">
        <f t="shared" si="79"/>
        <v>0</v>
      </c>
      <c r="FB30" s="22">
        <f t="shared" si="115"/>
        <v>2</v>
      </c>
      <c r="FC30" s="23">
        <f t="shared" si="81"/>
        <v>70</v>
      </c>
      <c r="FD30" s="202"/>
      <c r="FE30" s="203"/>
      <c r="FF30" s="204"/>
      <c r="FG30" s="204"/>
      <c r="FH30" s="204"/>
      <c r="FI30" s="204"/>
      <c r="FJ30" s="204"/>
      <c r="FK30" s="204"/>
      <c r="FL30" s="204"/>
      <c r="FM30" s="205"/>
      <c r="FN30" s="202"/>
      <c r="FO30" s="203"/>
      <c r="FP30" s="204"/>
      <c r="FQ30" s="204"/>
      <c r="FR30" s="204"/>
      <c r="FS30" s="204"/>
      <c r="FT30" s="204"/>
      <c r="FU30" s="204"/>
      <c r="FV30" s="204"/>
      <c r="FW30" s="205"/>
      <c r="FX30" s="202"/>
      <c r="FY30" s="203"/>
      <c r="FZ30" s="204"/>
      <c r="GA30" s="204"/>
      <c r="GB30" s="204"/>
      <c r="GC30" s="204"/>
      <c r="GD30" s="204"/>
      <c r="GE30" s="204"/>
      <c r="GF30" s="204"/>
      <c r="GG30" s="205"/>
      <c r="GH30" s="202"/>
      <c r="GI30" s="203"/>
      <c r="GJ30" s="204"/>
      <c r="GK30" s="204"/>
      <c r="GL30" s="204"/>
      <c r="GM30" s="204"/>
      <c r="GN30" s="204"/>
      <c r="GO30" s="204"/>
      <c r="GP30" s="204"/>
      <c r="GQ30" s="205"/>
      <c r="GR30" s="202"/>
      <c r="GS30" s="203"/>
      <c r="GT30" s="204"/>
      <c r="GU30" s="204"/>
      <c r="GV30" s="204"/>
      <c r="GW30" s="204"/>
      <c r="GX30" s="204"/>
      <c r="GY30" s="204"/>
      <c r="GZ30" s="204"/>
      <c r="HA30" s="205"/>
      <c r="HB30" s="202"/>
      <c r="HC30" s="203"/>
      <c r="HD30" s="204"/>
      <c r="HE30" s="204"/>
      <c r="HF30" s="204"/>
      <c r="HG30" s="204"/>
      <c r="HH30" s="204"/>
      <c r="HI30" s="204"/>
      <c r="HJ30" s="204"/>
      <c r="HK30" s="205"/>
      <c r="HL30" s="202"/>
      <c r="HM30" s="203"/>
      <c r="HN30" s="204"/>
      <c r="HO30" s="204"/>
      <c r="HP30" s="204"/>
      <c r="HQ30" s="204"/>
      <c r="HR30" s="204"/>
      <c r="HS30" s="204"/>
      <c r="HT30" s="204"/>
      <c r="HU30" s="205"/>
      <c r="HV30" s="202"/>
      <c r="HW30" s="203"/>
      <c r="HX30" s="204"/>
      <c r="HY30" s="204"/>
      <c r="HZ30" s="204"/>
      <c r="IA30" s="204"/>
      <c r="IB30" s="204"/>
      <c r="IC30" s="204"/>
      <c r="ID30" s="204"/>
      <c r="IE30" s="205"/>
      <c r="IF30" s="262"/>
      <c r="IG30" s="25">
        <v>6</v>
      </c>
      <c r="IH30" s="26">
        <v>1.6759999999999999</v>
      </c>
      <c r="II30" s="26">
        <v>2.4550000000000001</v>
      </c>
      <c r="IJ30" s="26">
        <v>2.4180000000000001</v>
      </c>
      <c r="IK30" s="26">
        <v>1</v>
      </c>
      <c r="IL30" s="26">
        <v>1</v>
      </c>
      <c r="IM30" s="26">
        <v>1.125</v>
      </c>
      <c r="IN30" s="8"/>
    </row>
    <row r="31" spans="2:248" ht="15.75" thickBot="1" x14ac:dyDescent="0.3">
      <c r="B31" s="103">
        <f t="shared" si="12"/>
        <v>84</v>
      </c>
      <c r="C31" s="102">
        <v>14</v>
      </c>
      <c r="D31" s="98">
        <f t="shared" si="1"/>
        <v>0.2354563492063492</v>
      </c>
      <c r="E31" s="96">
        <f t="shared" si="2"/>
        <v>0.25115343915343913</v>
      </c>
      <c r="F31" s="96">
        <f t="shared" si="3"/>
        <v>0.25900198412698405</v>
      </c>
      <c r="G31" s="96">
        <f t="shared" si="4"/>
        <v>0.26371111111111106</v>
      </c>
      <c r="H31" s="96">
        <f t="shared" si="5"/>
        <v>0.26685052910052909</v>
      </c>
      <c r="I31" s="96">
        <f t="shared" si="6"/>
        <v>0.26909297052154191</v>
      </c>
      <c r="J31" s="96">
        <f t="shared" si="7"/>
        <v>0.27077480158730155</v>
      </c>
      <c r="K31" s="96">
        <f t="shared" si="8"/>
        <v>0.27208289241622574</v>
      </c>
      <c r="L31" s="96">
        <f t="shared" si="9"/>
        <v>0.27312936507936508</v>
      </c>
      <c r="M31" s="96">
        <f t="shared" si="10"/>
        <v>0.27398556998556994</v>
      </c>
      <c r="N31" s="96">
        <f t="shared" si="11"/>
        <v>0.27469907407407407</v>
      </c>
      <c r="O31" s="206"/>
      <c r="P31" s="206"/>
      <c r="Q31" s="206"/>
      <c r="R31" s="206"/>
      <c r="S31" s="206"/>
      <c r="T31" s="206"/>
      <c r="U31" s="206"/>
      <c r="V31" s="206"/>
      <c r="W31" s="64"/>
      <c r="X31" s="65"/>
      <c r="AT31" s="4"/>
      <c r="AU31" s="14">
        <f t="shared" si="116"/>
        <v>66</v>
      </c>
      <c r="AV31" s="12" t="str">
        <f t="shared" si="82"/>
        <v>(1700)</v>
      </c>
      <c r="AW31" s="19">
        <f t="shared" si="117"/>
        <v>17</v>
      </c>
      <c r="AX31" s="373">
        <f t="shared" si="83"/>
        <v>1.3072222222222221</v>
      </c>
      <c r="AY31" s="374" t="str">
        <f t="shared" si="84"/>
        <v>(0.12)</v>
      </c>
      <c r="AZ31" s="375">
        <v>2</v>
      </c>
      <c r="BA31" s="375">
        <f t="shared" si="17"/>
        <v>2</v>
      </c>
      <c r="BB31" s="375">
        <v>0</v>
      </c>
      <c r="BC31" s="375">
        <f t="shared" si="18"/>
        <v>0</v>
      </c>
      <c r="BD31" s="375">
        <v>0</v>
      </c>
      <c r="BE31" s="375">
        <f t="shared" si="19"/>
        <v>0</v>
      </c>
      <c r="BF31" s="375">
        <f t="shared" si="85"/>
        <v>2</v>
      </c>
      <c r="BG31" s="376">
        <f t="shared" si="21"/>
        <v>10</v>
      </c>
      <c r="BH31" s="373">
        <f t="shared" si="86"/>
        <v>2.0915555555555554</v>
      </c>
      <c r="BI31" s="374" t="str">
        <f t="shared" si="87"/>
        <v>(0.19)</v>
      </c>
      <c r="BJ31" s="375">
        <v>2</v>
      </c>
      <c r="BK31" s="375">
        <f t="shared" si="23"/>
        <v>2</v>
      </c>
      <c r="BL31" s="375">
        <v>0</v>
      </c>
      <c r="BM31" s="375">
        <f t="shared" si="24"/>
        <v>0</v>
      </c>
      <c r="BN31" s="375">
        <v>0</v>
      </c>
      <c r="BO31" s="375">
        <f t="shared" si="25"/>
        <v>0</v>
      </c>
      <c r="BP31" s="375">
        <f t="shared" si="88"/>
        <v>2</v>
      </c>
      <c r="BQ31" s="376">
        <f t="shared" si="27"/>
        <v>16</v>
      </c>
      <c r="BR31" s="373">
        <f t="shared" si="89"/>
        <v>2.8758888888888885</v>
      </c>
      <c r="BS31" s="374" t="str">
        <f t="shared" si="90"/>
        <v>(0.27)</v>
      </c>
      <c r="BT31" s="375">
        <v>2</v>
      </c>
      <c r="BU31" s="375">
        <f t="shared" si="29"/>
        <v>2</v>
      </c>
      <c r="BV31" s="375">
        <v>0</v>
      </c>
      <c r="BW31" s="375">
        <f t="shared" si="30"/>
        <v>0</v>
      </c>
      <c r="BX31" s="375">
        <v>0</v>
      </c>
      <c r="BY31" s="375">
        <f t="shared" si="31"/>
        <v>0</v>
      </c>
      <c r="BZ31" s="375">
        <f t="shared" si="91"/>
        <v>2</v>
      </c>
      <c r="CA31" s="376">
        <f t="shared" si="33"/>
        <v>22</v>
      </c>
      <c r="CB31" s="373">
        <f t="shared" si="92"/>
        <v>3.6602222222222216</v>
      </c>
      <c r="CC31" s="374" t="str">
        <f t="shared" si="93"/>
        <v>(0.34)</v>
      </c>
      <c r="CD31" s="375">
        <v>2</v>
      </c>
      <c r="CE31" s="375">
        <f t="shared" si="35"/>
        <v>2</v>
      </c>
      <c r="CF31" s="375">
        <v>0</v>
      </c>
      <c r="CG31" s="375">
        <f t="shared" si="36"/>
        <v>0</v>
      </c>
      <c r="CH31" s="375">
        <v>0</v>
      </c>
      <c r="CI31" s="375">
        <f t="shared" si="37"/>
        <v>0</v>
      </c>
      <c r="CJ31" s="375">
        <f t="shared" si="94"/>
        <v>2</v>
      </c>
      <c r="CK31" s="376">
        <f t="shared" si="39"/>
        <v>28</v>
      </c>
      <c r="CL31" s="373">
        <f t="shared" si="95"/>
        <v>4.4445555555555556</v>
      </c>
      <c r="CM31" s="374" t="str">
        <f t="shared" si="96"/>
        <v>(0.41)</v>
      </c>
      <c r="CN31" s="375">
        <v>2</v>
      </c>
      <c r="CO31" s="375">
        <f t="shared" si="41"/>
        <v>2</v>
      </c>
      <c r="CP31" s="375">
        <v>0</v>
      </c>
      <c r="CQ31" s="375">
        <f t="shared" si="42"/>
        <v>0</v>
      </c>
      <c r="CR31" s="375">
        <v>0</v>
      </c>
      <c r="CS31" s="375">
        <f t="shared" si="43"/>
        <v>0</v>
      </c>
      <c r="CT31" s="375">
        <f t="shared" si="97"/>
        <v>2</v>
      </c>
      <c r="CU31" s="376">
        <f t="shared" si="45"/>
        <v>34</v>
      </c>
      <c r="CV31" s="373">
        <f t="shared" si="98"/>
        <v>5.2288888888888883</v>
      </c>
      <c r="CW31" s="374" t="str">
        <f t="shared" si="99"/>
        <v>(0.49)</v>
      </c>
      <c r="CX31" s="375">
        <v>2</v>
      </c>
      <c r="CY31" s="375">
        <f t="shared" si="47"/>
        <v>2</v>
      </c>
      <c r="CZ31" s="375">
        <v>0</v>
      </c>
      <c r="DA31" s="375">
        <f t="shared" si="48"/>
        <v>0</v>
      </c>
      <c r="DB31" s="375">
        <v>0</v>
      </c>
      <c r="DC31" s="375">
        <f t="shared" si="49"/>
        <v>0</v>
      </c>
      <c r="DD31" s="375">
        <f t="shared" si="100"/>
        <v>2</v>
      </c>
      <c r="DE31" s="376">
        <f t="shared" si="51"/>
        <v>40</v>
      </c>
      <c r="DF31" s="373">
        <f t="shared" si="101"/>
        <v>6.0132222222222218</v>
      </c>
      <c r="DG31" s="374" t="str">
        <f t="shared" si="102"/>
        <v>(0.56)</v>
      </c>
      <c r="DH31" s="375">
        <v>2</v>
      </c>
      <c r="DI31" s="375">
        <f t="shared" si="53"/>
        <v>2</v>
      </c>
      <c r="DJ31" s="375">
        <v>0</v>
      </c>
      <c r="DK31" s="375">
        <f t="shared" si="54"/>
        <v>0</v>
      </c>
      <c r="DL31" s="375">
        <v>0</v>
      </c>
      <c r="DM31" s="375">
        <f t="shared" si="55"/>
        <v>0</v>
      </c>
      <c r="DN31" s="375">
        <f t="shared" si="103"/>
        <v>2</v>
      </c>
      <c r="DO31" s="376">
        <f t="shared" si="57"/>
        <v>46</v>
      </c>
      <c r="DP31" s="373">
        <f t="shared" si="104"/>
        <v>6.7975555555555554</v>
      </c>
      <c r="DQ31" s="374" t="str">
        <f t="shared" si="105"/>
        <v>(0.63)</v>
      </c>
      <c r="DR31" s="375">
        <v>2</v>
      </c>
      <c r="DS31" s="375">
        <f t="shared" si="59"/>
        <v>2</v>
      </c>
      <c r="DT31" s="375">
        <v>0</v>
      </c>
      <c r="DU31" s="375">
        <f t="shared" si="60"/>
        <v>0</v>
      </c>
      <c r="DV31" s="375">
        <v>0</v>
      </c>
      <c r="DW31" s="375">
        <f t="shared" si="61"/>
        <v>0</v>
      </c>
      <c r="DX31" s="375">
        <f t="shared" si="106"/>
        <v>2</v>
      </c>
      <c r="DY31" s="376">
        <f t="shared" si="63"/>
        <v>52</v>
      </c>
      <c r="DZ31" s="373">
        <f t="shared" si="107"/>
        <v>7.581888888888888</v>
      </c>
      <c r="EA31" s="374" t="str">
        <f t="shared" ref="EA31:EA36" si="118">"("&amp;FIXED(DZ31*0.092903,2)&amp;")"</f>
        <v>(0.70)</v>
      </c>
      <c r="EB31" s="375">
        <v>2</v>
      </c>
      <c r="EC31" s="375">
        <f t="shared" si="65"/>
        <v>2</v>
      </c>
      <c r="ED31" s="375">
        <v>0</v>
      </c>
      <c r="EE31" s="375">
        <f t="shared" si="66"/>
        <v>0</v>
      </c>
      <c r="EF31" s="375">
        <v>0</v>
      </c>
      <c r="EG31" s="375">
        <f t="shared" si="67"/>
        <v>0</v>
      </c>
      <c r="EH31" s="375">
        <f t="shared" si="109"/>
        <v>2</v>
      </c>
      <c r="EI31" s="376">
        <f t="shared" si="69"/>
        <v>58</v>
      </c>
      <c r="EJ31" s="373">
        <f t="shared" si="110"/>
        <v>8.3662222222222216</v>
      </c>
      <c r="EK31" s="374" t="str">
        <f t="shared" ref="EK31:EK36" si="119">"("&amp;FIXED(EJ31*0.092903,2)&amp;")"</f>
        <v>(0.78)</v>
      </c>
      <c r="EL31" s="375">
        <v>2</v>
      </c>
      <c r="EM31" s="375">
        <f t="shared" si="71"/>
        <v>2</v>
      </c>
      <c r="EN31" s="375">
        <v>0</v>
      </c>
      <c r="EO31" s="375">
        <f t="shared" si="72"/>
        <v>0</v>
      </c>
      <c r="EP31" s="375">
        <v>0</v>
      </c>
      <c r="EQ31" s="375">
        <f t="shared" si="73"/>
        <v>0</v>
      </c>
      <c r="ER31" s="375">
        <f t="shared" si="112"/>
        <v>2</v>
      </c>
      <c r="ES31" s="376">
        <f t="shared" si="75"/>
        <v>64</v>
      </c>
      <c r="ET31" s="373">
        <f t="shared" si="113"/>
        <v>9.1505555555555542</v>
      </c>
      <c r="EU31" s="374" t="str">
        <f t="shared" si="114"/>
        <v>(0.85)</v>
      </c>
      <c r="EV31" s="22">
        <v>2</v>
      </c>
      <c r="EW31" s="22">
        <f t="shared" si="77"/>
        <v>2</v>
      </c>
      <c r="EX31" s="22">
        <v>0</v>
      </c>
      <c r="EY31" s="22">
        <f t="shared" si="78"/>
        <v>0</v>
      </c>
      <c r="EZ31" s="22">
        <v>0</v>
      </c>
      <c r="FA31" s="22">
        <f t="shared" si="79"/>
        <v>0</v>
      </c>
      <c r="FB31" s="22">
        <f t="shared" si="115"/>
        <v>2</v>
      </c>
      <c r="FC31" s="23">
        <f t="shared" si="81"/>
        <v>70</v>
      </c>
      <c r="FD31" s="202"/>
      <c r="FE31" s="203"/>
      <c r="FF31" s="204"/>
      <c r="FG31" s="204"/>
      <c r="FH31" s="204"/>
      <c r="FI31" s="204"/>
      <c r="FJ31" s="204"/>
      <c r="FK31" s="204"/>
      <c r="FL31" s="204"/>
      <c r="FM31" s="205"/>
      <c r="FN31" s="202"/>
      <c r="FO31" s="203"/>
      <c r="FP31" s="204"/>
      <c r="FQ31" s="204"/>
      <c r="FR31" s="204"/>
      <c r="FS31" s="204"/>
      <c r="FT31" s="204"/>
      <c r="FU31" s="204"/>
      <c r="FV31" s="204"/>
      <c r="FW31" s="205"/>
      <c r="FX31" s="202"/>
      <c r="FY31" s="203"/>
      <c r="FZ31" s="204"/>
      <c r="GA31" s="204"/>
      <c r="GB31" s="204"/>
      <c r="GC31" s="204"/>
      <c r="GD31" s="204"/>
      <c r="GE31" s="204"/>
      <c r="GF31" s="204"/>
      <c r="GG31" s="205"/>
      <c r="GH31" s="202"/>
      <c r="GI31" s="203"/>
      <c r="GJ31" s="204"/>
      <c r="GK31" s="204"/>
      <c r="GL31" s="204"/>
      <c r="GM31" s="204"/>
      <c r="GN31" s="204"/>
      <c r="GO31" s="204"/>
      <c r="GP31" s="204"/>
      <c r="GQ31" s="205"/>
      <c r="GR31" s="202"/>
      <c r="GS31" s="203"/>
      <c r="GT31" s="204"/>
      <c r="GU31" s="204"/>
      <c r="GV31" s="204"/>
      <c r="GW31" s="204"/>
      <c r="GX31" s="204"/>
      <c r="GY31" s="204"/>
      <c r="GZ31" s="204"/>
      <c r="HA31" s="205"/>
      <c r="HB31" s="202"/>
      <c r="HC31" s="203"/>
      <c r="HD31" s="204"/>
      <c r="HE31" s="204"/>
      <c r="HF31" s="204"/>
      <c r="HG31" s="204"/>
      <c r="HH31" s="204"/>
      <c r="HI31" s="204"/>
      <c r="HJ31" s="204"/>
      <c r="HK31" s="205"/>
      <c r="HL31" s="202"/>
      <c r="HM31" s="203"/>
      <c r="HN31" s="204"/>
      <c r="HO31" s="204"/>
      <c r="HP31" s="204"/>
      <c r="HQ31" s="204"/>
      <c r="HR31" s="204"/>
      <c r="HS31" s="204"/>
      <c r="HT31" s="204"/>
      <c r="HU31" s="205"/>
      <c r="HV31" s="202"/>
      <c r="HW31" s="203"/>
      <c r="HX31" s="204"/>
      <c r="HY31" s="204"/>
      <c r="HZ31" s="204"/>
      <c r="IA31" s="204"/>
      <c r="IB31" s="204"/>
      <c r="IC31" s="204"/>
      <c r="ID31" s="204"/>
      <c r="IE31" s="205"/>
      <c r="IF31" s="262"/>
      <c r="IG31" s="25">
        <v>7</v>
      </c>
      <c r="IH31" s="26">
        <v>1.6759999999999999</v>
      </c>
      <c r="II31" s="26">
        <v>2.4550000000000001</v>
      </c>
      <c r="IJ31" s="26">
        <v>2.4180000000000001</v>
      </c>
      <c r="IK31" s="26">
        <v>1</v>
      </c>
      <c r="IL31" s="26">
        <v>1</v>
      </c>
      <c r="IM31" s="26">
        <v>1.125</v>
      </c>
      <c r="IN31" s="8"/>
    </row>
    <row r="32" spans="2:248" ht="15.75" thickBot="1" x14ac:dyDescent="0.3">
      <c r="B32" s="103">
        <f t="shared" si="12"/>
        <v>90</v>
      </c>
      <c r="C32" s="102">
        <v>15</v>
      </c>
      <c r="D32" s="98">
        <f t="shared" si="1"/>
        <v>0.24249074074074073</v>
      </c>
      <c r="E32" s="96">
        <f t="shared" si="2"/>
        <v>0.25865679012345671</v>
      </c>
      <c r="F32" s="96">
        <f t="shared" si="3"/>
        <v>0.26673981481481479</v>
      </c>
      <c r="G32" s="96">
        <f t="shared" si="4"/>
        <v>0.27158962962962963</v>
      </c>
      <c r="H32" s="96">
        <f t="shared" si="5"/>
        <v>0.27482283950617281</v>
      </c>
      <c r="I32" s="96">
        <f t="shared" si="6"/>
        <v>0.27713227513227512</v>
      </c>
      <c r="J32" s="96">
        <f t="shared" si="7"/>
        <v>0.27886435185185182</v>
      </c>
      <c r="K32" s="96">
        <f t="shared" si="8"/>
        <v>0.28021152263374477</v>
      </c>
      <c r="L32" s="96">
        <f t="shared" si="9"/>
        <v>0.28128925925925924</v>
      </c>
      <c r="M32" s="96">
        <f t="shared" si="10"/>
        <v>0.28217104377104374</v>
      </c>
      <c r="N32" s="96">
        <f t="shared" si="11"/>
        <v>0.28290586419753083</v>
      </c>
      <c r="O32" s="206"/>
      <c r="P32" s="206"/>
      <c r="Q32" s="206"/>
      <c r="R32" s="206"/>
      <c r="S32" s="206"/>
      <c r="T32" s="206"/>
      <c r="U32" s="206"/>
      <c r="V32" s="206"/>
      <c r="W32" s="64"/>
      <c r="X32" s="65"/>
      <c r="AT32" s="4"/>
      <c r="AU32" s="14">
        <f t="shared" si="116"/>
        <v>72</v>
      </c>
      <c r="AV32" s="12" t="str">
        <f t="shared" si="82"/>
        <v>(1850)</v>
      </c>
      <c r="AW32" s="19">
        <f t="shared" si="117"/>
        <v>18</v>
      </c>
      <c r="AX32" s="373">
        <f t="shared" si="83"/>
        <v>1.4777580983412879</v>
      </c>
      <c r="AY32" s="374" t="str">
        <f t="shared" si="84"/>
        <v>(0.14)</v>
      </c>
      <c r="AZ32" s="375">
        <v>2</v>
      </c>
      <c r="BA32" s="375">
        <f t="shared" si="17"/>
        <v>2</v>
      </c>
      <c r="BB32" s="375">
        <v>0</v>
      </c>
      <c r="BC32" s="375">
        <f t="shared" si="18"/>
        <v>0</v>
      </c>
      <c r="BD32" s="375">
        <v>0</v>
      </c>
      <c r="BE32" s="375">
        <f t="shared" si="19"/>
        <v>0</v>
      </c>
      <c r="BF32" s="375">
        <f t="shared" si="85"/>
        <v>2</v>
      </c>
      <c r="BG32" s="376">
        <f t="shared" si="21"/>
        <v>10</v>
      </c>
      <c r="BH32" s="373">
        <f t="shared" si="86"/>
        <v>2.3644129573460608</v>
      </c>
      <c r="BI32" s="374" t="str">
        <f t="shared" si="87"/>
        <v>(0.22)</v>
      </c>
      <c r="BJ32" s="375">
        <v>2</v>
      </c>
      <c r="BK32" s="375">
        <f t="shared" si="23"/>
        <v>2</v>
      </c>
      <c r="BL32" s="375">
        <v>0</v>
      </c>
      <c r="BM32" s="375">
        <f t="shared" si="24"/>
        <v>0</v>
      </c>
      <c r="BN32" s="375">
        <v>0</v>
      </c>
      <c r="BO32" s="375">
        <f t="shared" si="25"/>
        <v>0</v>
      </c>
      <c r="BP32" s="375">
        <f t="shared" si="88"/>
        <v>2</v>
      </c>
      <c r="BQ32" s="376">
        <f t="shared" si="27"/>
        <v>16</v>
      </c>
      <c r="BR32" s="373">
        <f t="shared" si="89"/>
        <v>3.251067816350834</v>
      </c>
      <c r="BS32" s="374" t="str">
        <f t="shared" si="90"/>
        <v>(0.3)</v>
      </c>
      <c r="BT32" s="375">
        <v>2</v>
      </c>
      <c r="BU32" s="375">
        <f t="shared" si="29"/>
        <v>2</v>
      </c>
      <c r="BV32" s="375">
        <v>0</v>
      </c>
      <c r="BW32" s="375">
        <f t="shared" si="30"/>
        <v>0</v>
      </c>
      <c r="BX32" s="375">
        <v>0</v>
      </c>
      <c r="BY32" s="375">
        <f t="shared" si="31"/>
        <v>0</v>
      </c>
      <c r="BZ32" s="375">
        <f t="shared" si="91"/>
        <v>2</v>
      </c>
      <c r="CA32" s="376">
        <f t="shared" si="33"/>
        <v>22</v>
      </c>
      <c r="CB32" s="373">
        <f t="shared" si="92"/>
        <v>4.1377226753556071</v>
      </c>
      <c r="CC32" s="374" t="str">
        <f t="shared" si="93"/>
        <v>(0.38)</v>
      </c>
      <c r="CD32" s="375">
        <v>2</v>
      </c>
      <c r="CE32" s="375">
        <f t="shared" si="35"/>
        <v>2</v>
      </c>
      <c r="CF32" s="375">
        <v>0</v>
      </c>
      <c r="CG32" s="375">
        <f t="shared" si="36"/>
        <v>0</v>
      </c>
      <c r="CH32" s="375">
        <v>0</v>
      </c>
      <c r="CI32" s="375">
        <f t="shared" si="37"/>
        <v>0</v>
      </c>
      <c r="CJ32" s="375">
        <f t="shared" si="94"/>
        <v>2</v>
      </c>
      <c r="CK32" s="376">
        <f t="shared" si="39"/>
        <v>28</v>
      </c>
      <c r="CL32" s="373">
        <f t="shared" si="95"/>
        <v>5.0243775343603794</v>
      </c>
      <c r="CM32" s="374" t="str">
        <f t="shared" si="96"/>
        <v>(0.47)</v>
      </c>
      <c r="CN32" s="375">
        <v>2</v>
      </c>
      <c r="CO32" s="375">
        <f t="shared" si="41"/>
        <v>2</v>
      </c>
      <c r="CP32" s="375">
        <v>0</v>
      </c>
      <c r="CQ32" s="375">
        <f t="shared" si="42"/>
        <v>0</v>
      </c>
      <c r="CR32" s="375">
        <v>0</v>
      </c>
      <c r="CS32" s="375">
        <f t="shared" si="43"/>
        <v>0</v>
      </c>
      <c r="CT32" s="375">
        <f t="shared" si="97"/>
        <v>2</v>
      </c>
      <c r="CU32" s="376">
        <f t="shared" si="45"/>
        <v>34</v>
      </c>
      <c r="CV32" s="373">
        <f t="shared" si="98"/>
        <v>5.9110323933651516</v>
      </c>
      <c r="CW32" s="374" t="str">
        <f t="shared" si="99"/>
        <v>(0.55)</v>
      </c>
      <c r="CX32" s="375">
        <v>2</v>
      </c>
      <c r="CY32" s="375">
        <f t="shared" si="47"/>
        <v>2</v>
      </c>
      <c r="CZ32" s="375">
        <v>0</v>
      </c>
      <c r="DA32" s="375">
        <f t="shared" si="48"/>
        <v>0</v>
      </c>
      <c r="DB32" s="375">
        <v>0</v>
      </c>
      <c r="DC32" s="375">
        <f t="shared" si="49"/>
        <v>0</v>
      </c>
      <c r="DD32" s="375">
        <f t="shared" si="100"/>
        <v>2</v>
      </c>
      <c r="DE32" s="376">
        <f t="shared" si="51"/>
        <v>40</v>
      </c>
      <c r="DF32" s="373">
        <f t="shared" si="101"/>
        <v>6.7976872523699248</v>
      </c>
      <c r="DG32" s="374" t="str">
        <f t="shared" si="102"/>
        <v>(0.63)</v>
      </c>
      <c r="DH32" s="375">
        <v>2</v>
      </c>
      <c r="DI32" s="375">
        <f t="shared" si="53"/>
        <v>2</v>
      </c>
      <c r="DJ32" s="375">
        <v>0</v>
      </c>
      <c r="DK32" s="375">
        <f t="shared" si="54"/>
        <v>0</v>
      </c>
      <c r="DL32" s="375">
        <v>0</v>
      </c>
      <c r="DM32" s="375">
        <f t="shared" si="55"/>
        <v>0</v>
      </c>
      <c r="DN32" s="375">
        <f t="shared" si="103"/>
        <v>2</v>
      </c>
      <c r="DO32" s="376">
        <f t="shared" si="57"/>
        <v>46</v>
      </c>
      <c r="DP32" s="373">
        <f t="shared" si="104"/>
        <v>7.6843421113746979</v>
      </c>
      <c r="DQ32" s="374" t="str">
        <f t="shared" si="105"/>
        <v>(0.71)</v>
      </c>
      <c r="DR32" s="375">
        <v>2</v>
      </c>
      <c r="DS32" s="375">
        <f t="shared" si="59"/>
        <v>2</v>
      </c>
      <c r="DT32" s="375">
        <v>0</v>
      </c>
      <c r="DU32" s="375">
        <f t="shared" si="60"/>
        <v>0</v>
      </c>
      <c r="DV32" s="375">
        <v>0</v>
      </c>
      <c r="DW32" s="375">
        <f t="shared" si="61"/>
        <v>0</v>
      </c>
      <c r="DX32" s="375">
        <f t="shared" si="106"/>
        <v>2</v>
      </c>
      <c r="DY32" s="376">
        <f t="shared" si="63"/>
        <v>52</v>
      </c>
      <c r="DZ32" s="373">
        <f t="shared" si="107"/>
        <v>8.5709969703794719</v>
      </c>
      <c r="EA32" s="374" t="str">
        <f t="shared" si="118"/>
        <v>(0.80)</v>
      </c>
      <c r="EB32" s="375">
        <v>2</v>
      </c>
      <c r="EC32" s="375">
        <f t="shared" si="65"/>
        <v>2</v>
      </c>
      <c r="ED32" s="375">
        <v>0</v>
      </c>
      <c r="EE32" s="375">
        <f t="shared" si="66"/>
        <v>0</v>
      </c>
      <c r="EF32" s="375">
        <v>0</v>
      </c>
      <c r="EG32" s="375">
        <f t="shared" si="67"/>
        <v>0</v>
      </c>
      <c r="EH32" s="375">
        <f t="shared" si="109"/>
        <v>2</v>
      </c>
      <c r="EI32" s="376">
        <f t="shared" si="69"/>
        <v>58</v>
      </c>
      <c r="EJ32" s="373">
        <f t="shared" si="110"/>
        <v>9.4576518293842433</v>
      </c>
      <c r="EK32" s="374" t="str">
        <f t="shared" si="119"/>
        <v>(0.88)</v>
      </c>
      <c r="EL32" s="375">
        <v>2</v>
      </c>
      <c r="EM32" s="375">
        <f t="shared" si="71"/>
        <v>2</v>
      </c>
      <c r="EN32" s="375">
        <v>0</v>
      </c>
      <c r="EO32" s="375">
        <f t="shared" si="72"/>
        <v>0</v>
      </c>
      <c r="EP32" s="375">
        <v>0</v>
      </c>
      <c r="EQ32" s="375">
        <f t="shared" si="73"/>
        <v>0</v>
      </c>
      <c r="ER32" s="375">
        <f t="shared" si="112"/>
        <v>2</v>
      </c>
      <c r="ES32" s="376">
        <f t="shared" si="75"/>
        <v>64</v>
      </c>
      <c r="ET32" s="373">
        <f t="shared" si="113"/>
        <v>10.344306688389016</v>
      </c>
      <c r="EU32" s="374" t="str">
        <f t="shared" si="114"/>
        <v>(0.96)</v>
      </c>
      <c r="EV32" s="22">
        <v>2</v>
      </c>
      <c r="EW32" s="22">
        <f t="shared" si="77"/>
        <v>2</v>
      </c>
      <c r="EX32" s="22">
        <v>0</v>
      </c>
      <c r="EY32" s="22">
        <f t="shared" si="78"/>
        <v>0</v>
      </c>
      <c r="EZ32" s="22">
        <v>0</v>
      </c>
      <c r="FA32" s="22">
        <f t="shared" si="79"/>
        <v>0</v>
      </c>
      <c r="FB32" s="22">
        <f t="shared" si="115"/>
        <v>2</v>
      </c>
      <c r="FC32" s="23">
        <f t="shared" si="81"/>
        <v>70</v>
      </c>
      <c r="FD32" s="202"/>
      <c r="FE32" s="203"/>
      <c r="FF32" s="204"/>
      <c r="FG32" s="204"/>
      <c r="FH32" s="204"/>
      <c r="FI32" s="204"/>
      <c r="FJ32" s="204"/>
      <c r="FK32" s="204"/>
      <c r="FL32" s="204"/>
      <c r="FM32" s="205"/>
      <c r="FN32" s="202"/>
      <c r="FO32" s="203"/>
      <c r="FP32" s="204"/>
      <c r="FQ32" s="204"/>
      <c r="FR32" s="204"/>
      <c r="FS32" s="204"/>
      <c r="FT32" s="204"/>
      <c r="FU32" s="204"/>
      <c r="FV32" s="204"/>
      <c r="FW32" s="205"/>
      <c r="FX32" s="202"/>
      <c r="FY32" s="203"/>
      <c r="FZ32" s="204"/>
      <c r="GA32" s="204"/>
      <c r="GB32" s="204"/>
      <c r="GC32" s="204"/>
      <c r="GD32" s="204"/>
      <c r="GE32" s="204"/>
      <c r="GF32" s="204"/>
      <c r="GG32" s="205"/>
      <c r="GH32" s="202"/>
      <c r="GI32" s="203"/>
      <c r="GJ32" s="204"/>
      <c r="GK32" s="204"/>
      <c r="GL32" s="204"/>
      <c r="GM32" s="204"/>
      <c r="GN32" s="204"/>
      <c r="GO32" s="204"/>
      <c r="GP32" s="204"/>
      <c r="GQ32" s="205"/>
      <c r="GR32" s="202"/>
      <c r="GS32" s="203"/>
      <c r="GT32" s="204"/>
      <c r="GU32" s="204"/>
      <c r="GV32" s="204"/>
      <c r="GW32" s="204"/>
      <c r="GX32" s="204"/>
      <c r="GY32" s="204"/>
      <c r="GZ32" s="204"/>
      <c r="HA32" s="205"/>
      <c r="HB32" s="202"/>
      <c r="HC32" s="203"/>
      <c r="HD32" s="204"/>
      <c r="HE32" s="204"/>
      <c r="HF32" s="204"/>
      <c r="HG32" s="204"/>
      <c r="HH32" s="204"/>
      <c r="HI32" s="204"/>
      <c r="HJ32" s="204"/>
      <c r="HK32" s="205"/>
      <c r="HL32" s="202"/>
      <c r="HM32" s="203"/>
      <c r="HN32" s="204"/>
      <c r="HO32" s="204"/>
      <c r="HP32" s="204"/>
      <c r="HQ32" s="204"/>
      <c r="HR32" s="204"/>
      <c r="HS32" s="204"/>
      <c r="HT32" s="204"/>
      <c r="HU32" s="205"/>
      <c r="HV32" s="202"/>
      <c r="HW32" s="203"/>
      <c r="HX32" s="204"/>
      <c r="HY32" s="204"/>
      <c r="HZ32" s="204"/>
      <c r="IA32" s="204"/>
      <c r="IB32" s="204"/>
      <c r="IC32" s="204"/>
      <c r="ID32" s="204"/>
      <c r="IE32" s="205"/>
      <c r="IF32" s="262"/>
      <c r="IG32" s="25">
        <v>8</v>
      </c>
      <c r="IH32" s="26">
        <v>1.6759999999999999</v>
      </c>
      <c r="II32" s="26">
        <v>2.4550000000000001</v>
      </c>
      <c r="IJ32" s="26">
        <v>2.418716616114549</v>
      </c>
      <c r="IK32" s="26">
        <v>1</v>
      </c>
      <c r="IL32" s="26">
        <v>1</v>
      </c>
      <c r="IM32" s="26">
        <v>1.125</v>
      </c>
      <c r="IN32" s="8"/>
    </row>
    <row r="33" spans="2:248" ht="15.75" thickBot="1" x14ac:dyDescent="0.3">
      <c r="B33" s="103">
        <f t="shared" si="12"/>
        <v>96</v>
      </c>
      <c r="C33" s="102">
        <v>16</v>
      </c>
      <c r="D33" s="98">
        <f t="shared" si="1"/>
        <v>0.24865205395932766</v>
      </c>
      <c r="E33" s="96">
        <f t="shared" si="2"/>
        <v>0.26522885755661618</v>
      </c>
      <c r="F33" s="96">
        <f t="shared" si="3"/>
        <v>0.27351725935526044</v>
      </c>
      <c r="G33" s="96">
        <f t="shared" si="4"/>
        <v>0.27849030043444695</v>
      </c>
      <c r="H33" s="96">
        <f t="shared" si="5"/>
        <v>0.28180566115390465</v>
      </c>
      <c r="I33" s="96">
        <f t="shared" si="6"/>
        <v>0.28417377595351734</v>
      </c>
      <c r="J33" s="96">
        <f t="shared" si="7"/>
        <v>0.28594986205322681</v>
      </c>
      <c r="K33" s="96">
        <f t="shared" si="8"/>
        <v>0.28733126235300088</v>
      </c>
      <c r="L33" s="96">
        <f t="shared" si="9"/>
        <v>0.28843638259282012</v>
      </c>
      <c r="M33" s="96">
        <f t="shared" si="10"/>
        <v>0.28934057187994494</v>
      </c>
      <c r="N33" s="96">
        <f t="shared" si="11"/>
        <v>0.29009406295254897</v>
      </c>
      <c r="O33" s="206"/>
      <c r="P33" s="206"/>
      <c r="Q33" s="206"/>
      <c r="R33" s="206"/>
      <c r="S33" s="206"/>
      <c r="T33" s="206"/>
      <c r="U33" s="206"/>
      <c r="V33" s="206"/>
      <c r="W33" s="64"/>
      <c r="X33" s="65"/>
      <c r="AT33" s="4"/>
      <c r="AU33" s="14">
        <f t="shared" si="116"/>
        <v>78</v>
      </c>
      <c r="AV33" s="12" t="str">
        <f t="shared" si="82"/>
        <v>(2000)</v>
      </c>
      <c r="AW33" s="19">
        <f t="shared" si="117"/>
        <v>19</v>
      </c>
      <c r="AX33" s="373">
        <f t="shared" si="83"/>
        <v>1.4777083333333332</v>
      </c>
      <c r="AY33" s="374" t="str">
        <f t="shared" si="84"/>
        <v>(0.14)</v>
      </c>
      <c r="AZ33" s="375">
        <v>2</v>
      </c>
      <c r="BA33" s="375">
        <f t="shared" si="17"/>
        <v>2</v>
      </c>
      <c r="BB33" s="375">
        <v>0</v>
      </c>
      <c r="BC33" s="375">
        <f t="shared" si="18"/>
        <v>0</v>
      </c>
      <c r="BD33" s="375">
        <v>0</v>
      </c>
      <c r="BE33" s="375">
        <f t="shared" si="19"/>
        <v>0</v>
      </c>
      <c r="BF33" s="375">
        <f t="shared" si="85"/>
        <v>2</v>
      </c>
      <c r="BG33" s="376">
        <f t="shared" si="21"/>
        <v>10</v>
      </c>
      <c r="BH33" s="373">
        <f t="shared" si="86"/>
        <v>2.3643333333333332</v>
      </c>
      <c r="BI33" s="374" t="str">
        <f t="shared" si="87"/>
        <v>(0.22)</v>
      </c>
      <c r="BJ33" s="375">
        <v>2</v>
      </c>
      <c r="BK33" s="375">
        <f t="shared" si="23"/>
        <v>2</v>
      </c>
      <c r="BL33" s="375">
        <v>0</v>
      </c>
      <c r="BM33" s="375">
        <f t="shared" si="24"/>
        <v>0</v>
      </c>
      <c r="BN33" s="375">
        <v>0</v>
      </c>
      <c r="BO33" s="375">
        <f t="shared" si="25"/>
        <v>0</v>
      </c>
      <c r="BP33" s="375">
        <f t="shared" si="88"/>
        <v>2</v>
      </c>
      <c r="BQ33" s="376">
        <f t="shared" si="27"/>
        <v>16</v>
      </c>
      <c r="BR33" s="373">
        <f t="shared" si="89"/>
        <v>3.2509583333333332</v>
      </c>
      <c r="BS33" s="374" t="str">
        <f t="shared" si="90"/>
        <v>(0.3)</v>
      </c>
      <c r="BT33" s="375">
        <v>2</v>
      </c>
      <c r="BU33" s="375">
        <f t="shared" si="29"/>
        <v>2</v>
      </c>
      <c r="BV33" s="375">
        <v>0</v>
      </c>
      <c r="BW33" s="375">
        <f t="shared" si="30"/>
        <v>0</v>
      </c>
      <c r="BX33" s="375">
        <v>0</v>
      </c>
      <c r="BY33" s="375">
        <f t="shared" si="31"/>
        <v>0</v>
      </c>
      <c r="BZ33" s="375">
        <f t="shared" si="91"/>
        <v>2</v>
      </c>
      <c r="CA33" s="376">
        <f t="shared" si="33"/>
        <v>22</v>
      </c>
      <c r="CB33" s="373">
        <f t="shared" si="92"/>
        <v>4.1375833333333336</v>
      </c>
      <c r="CC33" s="374" t="str">
        <f t="shared" si="93"/>
        <v>(0.38)</v>
      </c>
      <c r="CD33" s="375">
        <v>2</v>
      </c>
      <c r="CE33" s="375">
        <f t="shared" si="35"/>
        <v>2</v>
      </c>
      <c r="CF33" s="375">
        <v>0</v>
      </c>
      <c r="CG33" s="375">
        <f t="shared" si="36"/>
        <v>0</v>
      </c>
      <c r="CH33" s="375">
        <v>0</v>
      </c>
      <c r="CI33" s="375">
        <f t="shared" si="37"/>
        <v>0</v>
      </c>
      <c r="CJ33" s="375">
        <f t="shared" si="94"/>
        <v>2</v>
      </c>
      <c r="CK33" s="376">
        <f t="shared" si="39"/>
        <v>28</v>
      </c>
      <c r="CL33" s="373">
        <f t="shared" si="95"/>
        <v>5.0242083333333332</v>
      </c>
      <c r="CM33" s="374" t="str">
        <f t="shared" si="96"/>
        <v>(0.47)</v>
      </c>
      <c r="CN33" s="375">
        <v>2</v>
      </c>
      <c r="CO33" s="375">
        <f t="shared" si="41"/>
        <v>2</v>
      </c>
      <c r="CP33" s="375">
        <v>0</v>
      </c>
      <c r="CQ33" s="375">
        <f t="shared" si="42"/>
        <v>0</v>
      </c>
      <c r="CR33" s="375">
        <v>0</v>
      </c>
      <c r="CS33" s="375">
        <f t="shared" si="43"/>
        <v>0</v>
      </c>
      <c r="CT33" s="375">
        <f t="shared" si="97"/>
        <v>2</v>
      </c>
      <c r="CU33" s="376">
        <f t="shared" si="45"/>
        <v>34</v>
      </c>
      <c r="CV33" s="373">
        <f t="shared" si="98"/>
        <v>5.9108333333333327</v>
      </c>
      <c r="CW33" s="374" t="str">
        <f t="shared" si="99"/>
        <v>(0.55)</v>
      </c>
      <c r="CX33" s="375">
        <v>2</v>
      </c>
      <c r="CY33" s="375">
        <f t="shared" si="47"/>
        <v>2</v>
      </c>
      <c r="CZ33" s="375">
        <v>0</v>
      </c>
      <c r="DA33" s="375">
        <f t="shared" si="48"/>
        <v>0</v>
      </c>
      <c r="DB33" s="375">
        <v>0</v>
      </c>
      <c r="DC33" s="375">
        <f t="shared" si="49"/>
        <v>0</v>
      </c>
      <c r="DD33" s="375">
        <f t="shared" si="100"/>
        <v>2</v>
      </c>
      <c r="DE33" s="376">
        <f t="shared" si="51"/>
        <v>40</v>
      </c>
      <c r="DF33" s="373">
        <f t="shared" si="101"/>
        <v>6.7974583333333332</v>
      </c>
      <c r="DG33" s="374" t="str">
        <f t="shared" si="102"/>
        <v>(0.63)</v>
      </c>
      <c r="DH33" s="375">
        <v>2</v>
      </c>
      <c r="DI33" s="375">
        <f t="shared" si="53"/>
        <v>2</v>
      </c>
      <c r="DJ33" s="375">
        <v>0</v>
      </c>
      <c r="DK33" s="375">
        <f t="shared" si="54"/>
        <v>0</v>
      </c>
      <c r="DL33" s="375">
        <v>0</v>
      </c>
      <c r="DM33" s="375">
        <f t="shared" si="55"/>
        <v>0</v>
      </c>
      <c r="DN33" s="375">
        <f t="shared" si="103"/>
        <v>2</v>
      </c>
      <c r="DO33" s="376">
        <f t="shared" si="57"/>
        <v>46</v>
      </c>
      <c r="DP33" s="373">
        <f t="shared" si="104"/>
        <v>7.6840833333333336</v>
      </c>
      <c r="DQ33" s="374" t="str">
        <f t="shared" si="105"/>
        <v>(0.71)</v>
      </c>
      <c r="DR33" s="375">
        <v>2</v>
      </c>
      <c r="DS33" s="375">
        <f t="shared" si="59"/>
        <v>2</v>
      </c>
      <c r="DT33" s="375">
        <v>0</v>
      </c>
      <c r="DU33" s="375">
        <f t="shared" si="60"/>
        <v>0</v>
      </c>
      <c r="DV33" s="375">
        <v>0</v>
      </c>
      <c r="DW33" s="375">
        <f t="shared" si="61"/>
        <v>0</v>
      </c>
      <c r="DX33" s="375">
        <f t="shared" si="106"/>
        <v>2</v>
      </c>
      <c r="DY33" s="376">
        <f t="shared" si="63"/>
        <v>52</v>
      </c>
      <c r="DZ33" s="373">
        <f t="shared" si="107"/>
        <v>8.570708333333334</v>
      </c>
      <c r="EA33" s="374" t="str">
        <f t="shared" si="118"/>
        <v>(0.80)</v>
      </c>
      <c r="EB33" s="375">
        <v>2</v>
      </c>
      <c r="EC33" s="375">
        <f t="shared" si="65"/>
        <v>2</v>
      </c>
      <c r="ED33" s="375">
        <v>0</v>
      </c>
      <c r="EE33" s="375">
        <f t="shared" si="66"/>
        <v>0</v>
      </c>
      <c r="EF33" s="375">
        <v>0</v>
      </c>
      <c r="EG33" s="375">
        <f t="shared" si="67"/>
        <v>0</v>
      </c>
      <c r="EH33" s="375">
        <f t="shared" si="109"/>
        <v>2</v>
      </c>
      <c r="EI33" s="376">
        <f t="shared" si="69"/>
        <v>58</v>
      </c>
      <c r="EJ33" s="373">
        <f t="shared" si="110"/>
        <v>9.4573333333333327</v>
      </c>
      <c r="EK33" s="374" t="str">
        <f t="shared" si="119"/>
        <v>(0.88)</v>
      </c>
      <c r="EL33" s="375">
        <v>2</v>
      </c>
      <c r="EM33" s="375">
        <f t="shared" si="71"/>
        <v>2</v>
      </c>
      <c r="EN33" s="375">
        <v>0</v>
      </c>
      <c r="EO33" s="375">
        <f t="shared" si="72"/>
        <v>0</v>
      </c>
      <c r="EP33" s="375">
        <v>0</v>
      </c>
      <c r="EQ33" s="375">
        <f t="shared" si="73"/>
        <v>0</v>
      </c>
      <c r="ER33" s="375">
        <f t="shared" si="112"/>
        <v>2</v>
      </c>
      <c r="ES33" s="376">
        <f t="shared" si="75"/>
        <v>64</v>
      </c>
      <c r="ET33" s="373">
        <f t="shared" si="113"/>
        <v>10.343958333333333</v>
      </c>
      <c r="EU33" s="374" t="str">
        <f t="shared" si="114"/>
        <v>(0.96)</v>
      </c>
      <c r="EV33" s="22">
        <v>2</v>
      </c>
      <c r="EW33" s="22">
        <f t="shared" si="77"/>
        <v>2</v>
      </c>
      <c r="EX33" s="22">
        <v>0</v>
      </c>
      <c r="EY33" s="22">
        <f t="shared" si="78"/>
        <v>0</v>
      </c>
      <c r="EZ33" s="22">
        <v>0</v>
      </c>
      <c r="FA33" s="22">
        <f t="shared" si="79"/>
        <v>0</v>
      </c>
      <c r="FB33" s="22">
        <f t="shared" si="115"/>
        <v>2</v>
      </c>
      <c r="FC33" s="23">
        <f t="shared" si="81"/>
        <v>70</v>
      </c>
      <c r="FD33" s="31"/>
      <c r="FE33" s="31"/>
      <c r="FF33" s="32"/>
      <c r="FG33" s="32"/>
      <c r="FH33" s="32"/>
      <c r="FI33" s="32"/>
      <c r="FJ33" s="32"/>
      <c r="FK33" s="32"/>
      <c r="FL33" s="32"/>
      <c r="FM33" s="32"/>
      <c r="FN33" s="31"/>
      <c r="FO33" s="31"/>
      <c r="FP33" s="32"/>
      <c r="FQ33" s="32"/>
      <c r="FR33" s="32"/>
      <c r="FS33" s="32"/>
      <c r="FT33" s="32"/>
      <c r="FU33" s="32"/>
      <c r="FV33" s="32"/>
      <c r="FW33" s="32"/>
      <c r="FX33" s="31"/>
      <c r="FY33" s="31"/>
      <c r="FZ33" s="32"/>
      <c r="GA33" s="32"/>
      <c r="GB33" s="32"/>
      <c r="GC33" s="32"/>
      <c r="GD33" s="32"/>
      <c r="GE33" s="32"/>
      <c r="GF33" s="32"/>
      <c r="GG33" s="32"/>
      <c r="GH33" s="31"/>
      <c r="GI33" s="31"/>
      <c r="GJ33" s="32"/>
      <c r="GK33" s="32"/>
      <c r="GL33" s="32"/>
      <c r="GM33" s="32"/>
      <c r="GN33" s="32"/>
      <c r="GO33" s="32"/>
      <c r="GP33" s="32"/>
      <c r="GQ33" s="32"/>
      <c r="GR33" s="31"/>
      <c r="GS33" s="31"/>
      <c r="GT33" s="32"/>
      <c r="GU33" s="32"/>
      <c r="GV33" s="32"/>
      <c r="GW33" s="32"/>
      <c r="GX33" s="32"/>
      <c r="GY33" s="32"/>
      <c r="GZ33" s="32"/>
      <c r="HA33" s="32"/>
      <c r="HB33" s="31"/>
      <c r="HC33" s="31"/>
      <c r="HD33" s="32"/>
      <c r="HE33" s="32"/>
      <c r="HF33" s="32"/>
      <c r="HG33" s="32"/>
      <c r="HH33" s="32"/>
      <c r="HI33" s="32"/>
      <c r="HJ33" s="32"/>
      <c r="HK33" s="32"/>
      <c r="HL33" s="31"/>
      <c r="HM33" s="31"/>
      <c r="HN33" s="32"/>
      <c r="HO33" s="32"/>
      <c r="HP33" s="32"/>
      <c r="HQ33" s="32"/>
      <c r="HR33" s="32"/>
      <c r="HS33" s="32"/>
      <c r="HT33" s="32"/>
      <c r="HU33" s="32"/>
      <c r="HV33" s="31"/>
      <c r="HW33" s="31"/>
      <c r="HX33" s="32"/>
      <c r="HY33" s="32"/>
      <c r="HZ33" s="32"/>
      <c r="IA33" s="32"/>
      <c r="IB33" s="32"/>
      <c r="IC33" s="32"/>
      <c r="ID33" s="33"/>
      <c r="IE33" s="33"/>
      <c r="IF33" s="263"/>
      <c r="IG33" s="25">
        <v>8</v>
      </c>
      <c r="IH33" s="26">
        <v>1.6759999999999999</v>
      </c>
      <c r="II33" s="26">
        <v>2.4550000000000001</v>
      </c>
      <c r="IJ33" s="26">
        <v>2.4180000000000001</v>
      </c>
      <c r="IK33" s="26">
        <v>1</v>
      </c>
      <c r="IL33" s="26">
        <v>1</v>
      </c>
      <c r="IM33" s="26">
        <v>1.125</v>
      </c>
      <c r="IN33" s="8"/>
    </row>
    <row r="34" spans="2:248" ht="15.75" thickBot="1" x14ac:dyDescent="0.3">
      <c r="B34" s="103">
        <f t="shared" si="12"/>
        <v>102</v>
      </c>
      <c r="C34" s="102">
        <v>17</v>
      </c>
      <c r="D34" s="206"/>
      <c r="E34" s="206"/>
      <c r="F34" s="206"/>
      <c r="G34" s="206"/>
      <c r="H34" s="206"/>
      <c r="I34" s="206"/>
      <c r="J34" s="206"/>
      <c r="K34" s="206"/>
      <c r="L34" s="206"/>
      <c r="M34" s="206"/>
      <c r="N34" s="206"/>
      <c r="O34" s="206"/>
      <c r="P34" s="206"/>
      <c r="Q34" s="206"/>
      <c r="R34" s="206"/>
      <c r="S34" s="206"/>
      <c r="T34" s="206"/>
      <c r="U34" s="206"/>
      <c r="V34" s="206"/>
      <c r="W34" s="64"/>
      <c r="X34" s="65"/>
      <c r="AT34" s="4"/>
      <c r="AU34" s="14">
        <f t="shared" si="116"/>
        <v>84</v>
      </c>
      <c r="AV34" s="12" t="str">
        <f t="shared" si="82"/>
        <v>(2150)</v>
      </c>
      <c r="AW34" s="19">
        <f t="shared" si="117"/>
        <v>20</v>
      </c>
      <c r="AX34" s="373">
        <f t="shared" si="83"/>
        <v>1.6481944444444443</v>
      </c>
      <c r="AY34" s="374" t="str">
        <f t="shared" si="84"/>
        <v>(0.15)</v>
      </c>
      <c r="AZ34" s="375">
        <v>2</v>
      </c>
      <c r="BA34" s="375">
        <f t="shared" si="17"/>
        <v>2</v>
      </c>
      <c r="BB34" s="375">
        <v>0</v>
      </c>
      <c r="BC34" s="375">
        <f t="shared" si="18"/>
        <v>0</v>
      </c>
      <c r="BD34" s="375">
        <v>0</v>
      </c>
      <c r="BE34" s="375">
        <f t="shared" si="19"/>
        <v>0</v>
      </c>
      <c r="BF34" s="375">
        <f t="shared" si="85"/>
        <v>2</v>
      </c>
      <c r="BG34" s="376">
        <f t="shared" si="21"/>
        <v>10</v>
      </c>
      <c r="BH34" s="373">
        <f t="shared" si="86"/>
        <v>2.637111111111111</v>
      </c>
      <c r="BI34" s="374" t="str">
        <f t="shared" si="87"/>
        <v>(0.24)</v>
      </c>
      <c r="BJ34" s="375">
        <v>2</v>
      </c>
      <c r="BK34" s="375">
        <f t="shared" si="23"/>
        <v>2</v>
      </c>
      <c r="BL34" s="375">
        <v>0</v>
      </c>
      <c r="BM34" s="375">
        <f t="shared" si="24"/>
        <v>0</v>
      </c>
      <c r="BN34" s="375">
        <v>0</v>
      </c>
      <c r="BO34" s="375">
        <f t="shared" si="25"/>
        <v>0</v>
      </c>
      <c r="BP34" s="375">
        <f t="shared" si="88"/>
        <v>2</v>
      </c>
      <c r="BQ34" s="376">
        <f t="shared" si="27"/>
        <v>16</v>
      </c>
      <c r="BR34" s="373">
        <f t="shared" si="89"/>
        <v>3.626027777777777</v>
      </c>
      <c r="BS34" s="374" t="str">
        <f t="shared" si="90"/>
        <v>(0.34)</v>
      </c>
      <c r="BT34" s="375">
        <v>2</v>
      </c>
      <c r="BU34" s="375">
        <f t="shared" si="29"/>
        <v>2</v>
      </c>
      <c r="BV34" s="375">
        <v>0</v>
      </c>
      <c r="BW34" s="375">
        <f t="shared" si="30"/>
        <v>0</v>
      </c>
      <c r="BX34" s="375">
        <v>0</v>
      </c>
      <c r="BY34" s="375">
        <f t="shared" si="31"/>
        <v>0</v>
      </c>
      <c r="BZ34" s="375">
        <f t="shared" si="91"/>
        <v>2</v>
      </c>
      <c r="CA34" s="376">
        <f t="shared" si="33"/>
        <v>22</v>
      </c>
      <c r="CB34" s="373">
        <f t="shared" si="92"/>
        <v>4.6149444444444434</v>
      </c>
      <c r="CC34" s="374" t="str">
        <f t="shared" si="93"/>
        <v>(0.43)</v>
      </c>
      <c r="CD34" s="375">
        <v>2</v>
      </c>
      <c r="CE34" s="375">
        <f t="shared" si="35"/>
        <v>2</v>
      </c>
      <c r="CF34" s="375">
        <v>0</v>
      </c>
      <c r="CG34" s="375">
        <f t="shared" si="36"/>
        <v>0</v>
      </c>
      <c r="CH34" s="375">
        <v>0</v>
      </c>
      <c r="CI34" s="375">
        <f t="shared" si="37"/>
        <v>0</v>
      </c>
      <c r="CJ34" s="375">
        <f t="shared" si="94"/>
        <v>2</v>
      </c>
      <c r="CK34" s="376">
        <f t="shared" si="39"/>
        <v>28</v>
      </c>
      <c r="CL34" s="373">
        <f t="shared" si="95"/>
        <v>5.6038611111111107</v>
      </c>
      <c r="CM34" s="374" t="str">
        <f t="shared" si="96"/>
        <v>(0.52)</v>
      </c>
      <c r="CN34" s="375">
        <v>2</v>
      </c>
      <c r="CO34" s="375">
        <f t="shared" si="41"/>
        <v>2</v>
      </c>
      <c r="CP34" s="375">
        <v>0</v>
      </c>
      <c r="CQ34" s="375">
        <f t="shared" si="42"/>
        <v>0</v>
      </c>
      <c r="CR34" s="375">
        <v>0</v>
      </c>
      <c r="CS34" s="375">
        <f t="shared" si="43"/>
        <v>0</v>
      </c>
      <c r="CT34" s="375">
        <f t="shared" si="97"/>
        <v>2</v>
      </c>
      <c r="CU34" s="376">
        <f t="shared" si="45"/>
        <v>34</v>
      </c>
      <c r="CV34" s="373">
        <f t="shared" si="98"/>
        <v>6.5927777777777772</v>
      </c>
      <c r="CW34" s="374" t="str">
        <f t="shared" si="99"/>
        <v>(0.61)</v>
      </c>
      <c r="CX34" s="375">
        <v>2</v>
      </c>
      <c r="CY34" s="375">
        <f t="shared" si="47"/>
        <v>2</v>
      </c>
      <c r="CZ34" s="375">
        <v>0</v>
      </c>
      <c r="DA34" s="375">
        <f t="shared" si="48"/>
        <v>0</v>
      </c>
      <c r="DB34" s="375">
        <v>0</v>
      </c>
      <c r="DC34" s="375">
        <f t="shared" si="49"/>
        <v>0</v>
      </c>
      <c r="DD34" s="375">
        <f t="shared" si="100"/>
        <v>2</v>
      </c>
      <c r="DE34" s="376">
        <f t="shared" si="51"/>
        <v>40</v>
      </c>
      <c r="DF34" s="373">
        <f t="shared" si="101"/>
        <v>7.5816944444444436</v>
      </c>
      <c r="DG34" s="374" t="str">
        <f t="shared" si="102"/>
        <v>(0.7)</v>
      </c>
      <c r="DH34" s="375">
        <v>2</v>
      </c>
      <c r="DI34" s="375">
        <f t="shared" si="53"/>
        <v>2</v>
      </c>
      <c r="DJ34" s="375">
        <v>0</v>
      </c>
      <c r="DK34" s="375">
        <f t="shared" si="54"/>
        <v>0</v>
      </c>
      <c r="DL34" s="375">
        <v>0</v>
      </c>
      <c r="DM34" s="375">
        <f t="shared" si="55"/>
        <v>0</v>
      </c>
      <c r="DN34" s="375">
        <f t="shared" si="103"/>
        <v>2</v>
      </c>
      <c r="DO34" s="376">
        <f t="shared" si="57"/>
        <v>46</v>
      </c>
      <c r="DP34" s="373">
        <f t="shared" si="104"/>
        <v>8.570611111111111</v>
      </c>
      <c r="DQ34" s="374" t="str">
        <f t="shared" si="105"/>
        <v>(0.80)</v>
      </c>
      <c r="DR34" s="375">
        <v>2</v>
      </c>
      <c r="DS34" s="375">
        <f t="shared" si="59"/>
        <v>2</v>
      </c>
      <c r="DT34" s="375">
        <v>0</v>
      </c>
      <c r="DU34" s="375">
        <f t="shared" si="60"/>
        <v>0</v>
      </c>
      <c r="DV34" s="375">
        <v>0</v>
      </c>
      <c r="DW34" s="375">
        <f t="shared" si="61"/>
        <v>0</v>
      </c>
      <c r="DX34" s="375">
        <f t="shared" si="106"/>
        <v>2</v>
      </c>
      <c r="DY34" s="376">
        <f t="shared" si="63"/>
        <v>52</v>
      </c>
      <c r="DZ34" s="373">
        <f t="shared" si="107"/>
        <v>9.5595277777777774</v>
      </c>
      <c r="EA34" s="374" t="str">
        <f t="shared" si="118"/>
        <v>(0.89)</v>
      </c>
      <c r="EB34" s="375">
        <v>2</v>
      </c>
      <c r="EC34" s="375">
        <f t="shared" si="65"/>
        <v>2</v>
      </c>
      <c r="ED34" s="375">
        <v>0</v>
      </c>
      <c r="EE34" s="375">
        <f t="shared" si="66"/>
        <v>0</v>
      </c>
      <c r="EF34" s="375">
        <v>0</v>
      </c>
      <c r="EG34" s="375">
        <f t="shared" si="67"/>
        <v>0</v>
      </c>
      <c r="EH34" s="375">
        <f t="shared" si="109"/>
        <v>2</v>
      </c>
      <c r="EI34" s="376">
        <f t="shared" si="69"/>
        <v>58</v>
      </c>
      <c r="EJ34" s="373">
        <f t="shared" si="110"/>
        <v>10.548444444444444</v>
      </c>
      <c r="EK34" s="374" t="str">
        <f t="shared" si="119"/>
        <v>(0.98)</v>
      </c>
      <c r="EL34" s="375">
        <v>2</v>
      </c>
      <c r="EM34" s="375">
        <f t="shared" si="71"/>
        <v>2</v>
      </c>
      <c r="EN34" s="375">
        <v>0</v>
      </c>
      <c r="EO34" s="375">
        <f t="shared" si="72"/>
        <v>0</v>
      </c>
      <c r="EP34" s="375">
        <v>0</v>
      </c>
      <c r="EQ34" s="375">
        <f t="shared" si="73"/>
        <v>0</v>
      </c>
      <c r="ER34" s="375">
        <f t="shared" si="112"/>
        <v>2</v>
      </c>
      <c r="ES34" s="376">
        <f t="shared" si="75"/>
        <v>64</v>
      </c>
      <c r="ET34" s="373">
        <f t="shared" si="113"/>
        <v>11.53736111111111</v>
      </c>
      <c r="EU34" s="374" t="str">
        <f t="shared" si="114"/>
        <v>(1.07)</v>
      </c>
      <c r="EV34" s="22">
        <v>2</v>
      </c>
      <c r="EW34" s="22">
        <f t="shared" si="77"/>
        <v>2</v>
      </c>
      <c r="EX34" s="22">
        <v>0</v>
      </c>
      <c r="EY34" s="22">
        <f t="shared" si="78"/>
        <v>0</v>
      </c>
      <c r="EZ34" s="22">
        <v>0</v>
      </c>
      <c r="FA34" s="22">
        <f t="shared" si="79"/>
        <v>0</v>
      </c>
      <c r="FB34" s="22">
        <f t="shared" si="115"/>
        <v>2</v>
      </c>
      <c r="FC34" s="23">
        <f t="shared" si="81"/>
        <v>70</v>
      </c>
      <c r="FD34" s="31"/>
      <c r="FE34" s="31"/>
      <c r="FF34" s="32"/>
      <c r="FG34" s="32"/>
      <c r="FH34" s="32"/>
      <c r="FI34" s="32"/>
      <c r="FJ34" s="32"/>
      <c r="FK34" s="32"/>
      <c r="FL34" s="32"/>
      <c r="FM34" s="32"/>
      <c r="FN34" s="31"/>
      <c r="FO34" s="31"/>
      <c r="FP34" s="32"/>
      <c r="FQ34" s="32"/>
      <c r="FR34" s="32"/>
      <c r="FS34" s="32"/>
      <c r="FT34" s="32"/>
      <c r="FU34" s="32"/>
      <c r="FV34" s="32"/>
      <c r="FW34" s="32"/>
      <c r="FX34" s="31"/>
      <c r="FY34" s="31"/>
      <c r="FZ34" s="32"/>
      <c r="GA34" s="32"/>
      <c r="GB34" s="32"/>
      <c r="GC34" s="32"/>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2"/>
      <c r="HE34" s="32"/>
      <c r="HF34" s="32"/>
      <c r="HG34" s="32"/>
      <c r="HH34" s="32"/>
      <c r="HI34" s="32"/>
      <c r="HJ34" s="32"/>
      <c r="HK34" s="32"/>
      <c r="HL34" s="32"/>
      <c r="HM34" s="32"/>
      <c r="HN34" s="32"/>
      <c r="HO34" s="32"/>
      <c r="HP34" s="32"/>
      <c r="HQ34" s="32"/>
      <c r="HR34" s="32"/>
      <c r="HS34" s="32"/>
      <c r="HT34" s="32"/>
      <c r="HU34" s="32"/>
      <c r="HV34" s="31"/>
      <c r="HW34" s="31"/>
      <c r="HX34" s="32"/>
      <c r="HY34" s="32"/>
      <c r="HZ34" s="32"/>
      <c r="IA34" s="32"/>
      <c r="IB34" s="32"/>
      <c r="IC34" s="32"/>
      <c r="ID34" s="33"/>
      <c r="IE34" s="33"/>
      <c r="IF34" s="263"/>
      <c r="IG34" s="25">
        <v>9</v>
      </c>
      <c r="IH34" s="26">
        <v>1.6759999999999999</v>
      </c>
      <c r="II34" s="26">
        <v>2.4550000000000001</v>
      </c>
      <c r="IJ34" s="26">
        <v>2.4180000000000001</v>
      </c>
      <c r="IK34" s="26">
        <v>1</v>
      </c>
      <c r="IL34" s="26">
        <v>1</v>
      </c>
      <c r="IM34" s="26">
        <v>1.125</v>
      </c>
      <c r="IN34" s="8"/>
    </row>
    <row r="35" spans="2:248" ht="15.75" thickBot="1" x14ac:dyDescent="0.3">
      <c r="B35" s="103">
        <f t="shared" si="12"/>
        <v>108</v>
      </c>
      <c r="C35" s="102">
        <v>18</v>
      </c>
      <c r="D35" s="206"/>
      <c r="E35" s="206"/>
      <c r="F35" s="206"/>
      <c r="G35" s="206"/>
      <c r="H35" s="206"/>
      <c r="I35" s="206"/>
      <c r="J35" s="206"/>
      <c r="K35" s="206"/>
      <c r="L35" s="206"/>
      <c r="M35" s="206"/>
      <c r="N35" s="206"/>
      <c r="O35" s="206"/>
      <c r="P35" s="206"/>
      <c r="Q35" s="206"/>
      <c r="R35" s="206"/>
      <c r="S35" s="206"/>
      <c r="T35" s="206"/>
      <c r="U35" s="206"/>
      <c r="V35" s="206"/>
      <c r="W35" s="64"/>
      <c r="X35" s="65"/>
      <c r="AT35" s="4"/>
      <c r="AU35" s="27">
        <f t="shared" si="116"/>
        <v>90</v>
      </c>
      <c r="AV35" s="28" t="str">
        <f t="shared" si="82"/>
        <v>(2300)</v>
      </c>
      <c r="AW35" s="19">
        <f t="shared" si="117"/>
        <v>21</v>
      </c>
      <c r="AX35" s="373">
        <f t="shared" si="83"/>
        <v>1.8186805555555554</v>
      </c>
      <c r="AY35" s="374" t="str">
        <f t="shared" si="84"/>
        <v>(0.17)</v>
      </c>
      <c r="AZ35" s="375">
        <v>2</v>
      </c>
      <c r="BA35" s="375">
        <f t="shared" si="17"/>
        <v>2</v>
      </c>
      <c r="BB35" s="375">
        <v>0</v>
      </c>
      <c r="BC35" s="375">
        <f t="shared" si="18"/>
        <v>0</v>
      </c>
      <c r="BD35" s="375">
        <v>0</v>
      </c>
      <c r="BE35" s="375">
        <f t="shared" si="19"/>
        <v>0</v>
      </c>
      <c r="BF35" s="375">
        <f t="shared" si="85"/>
        <v>2</v>
      </c>
      <c r="BG35" s="376">
        <f t="shared" si="21"/>
        <v>10</v>
      </c>
      <c r="BH35" s="373">
        <f t="shared" si="86"/>
        <v>2.9098888888888883</v>
      </c>
      <c r="BI35" s="374" t="str">
        <f t="shared" si="87"/>
        <v>(0.27)</v>
      </c>
      <c r="BJ35" s="375">
        <v>2</v>
      </c>
      <c r="BK35" s="375">
        <f t="shared" si="23"/>
        <v>2</v>
      </c>
      <c r="BL35" s="375">
        <v>0</v>
      </c>
      <c r="BM35" s="375">
        <f t="shared" si="24"/>
        <v>0</v>
      </c>
      <c r="BN35" s="375">
        <v>0</v>
      </c>
      <c r="BO35" s="375">
        <f t="shared" si="25"/>
        <v>0</v>
      </c>
      <c r="BP35" s="375">
        <f t="shared" si="88"/>
        <v>2</v>
      </c>
      <c r="BQ35" s="376">
        <f t="shared" si="27"/>
        <v>16</v>
      </c>
      <c r="BR35" s="373">
        <f t="shared" si="89"/>
        <v>4.0010972222222216</v>
      </c>
      <c r="BS35" s="374" t="str">
        <f t="shared" si="90"/>
        <v>(0.37)</v>
      </c>
      <c r="BT35" s="375">
        <v>2</v>
      </c>
      <c r="BU35" s="375">
        <f t="shared" si="29"/>
        <v>2</v>
      </c>
      <c r="BV35" s="375">
        <v>0</v>
      </c>
      <c r="BW35" s="375">
        <f t="shared" si="30"/>
        <v>0</v>
      </c>
      <c r="BX35" s="375">
        <v>0</v>
      </c>
      <c r="BY35" s="375">
        <f t="shared" si="31"/>
        <v>0</v>
      </c>
      <c r="BZ35" s="375">
        <f t="shared" si="91"/>
        <v>2</v>
      </c>
      <c r="CA35" s="376">
        <f t="shared" si="33"/>
        <v>22</v>
      </c>
      <c r="CB35" s="373">
        <f t="shared" si="92"/>
        <v>5.092305555555555</v>
      </c>
      <c r="CC35" s="374" t="str">
        <f t="shared" si="93"/>
        <v>(0.47)</v>
      </c>
      <c r="CD35" s="375">
        <v>2</v>
      </c>
      <c r="CE35" s="375">
        <f t="shared" si="35"/>
        <v>2</v>
      </c>
      <c r="CF35" s="375">
        <v>0</v>
      </c>
      <c r="CG35" s="375">
        <f t="shared" si="36"/>
        <v>0</v>
      </c>
      <c r="CH35" s="375">
        <v>0</v>
      </c>
      <c r="CI35" s="375">
        <f t="shared" si="37"/>
        <v>0</v>
      </c>
      <c r="CJ35" s="375">
        <f t="shared" si="94"/>
        <v>2</v>
      </c>
      <c r="CK35" s="376">
        <f t="shared" si="39"/>
        <v>28</v>
      </c>
      <c r="CL35" s="373">
        <f t="shared" si="95"/>
        <v>6.1835138888888883</v>
      </c>
      <c r="CM35" s="374" t="str">
        <f t="shared" si="96"/>
        <v>(0.57)</v>
      </c>
      <c r="CN35" s="375">
        <v>2</v>
      </c>
      <c r="CO35" s="375">
        <f t="shared" si="41"/>
        <v>2</v>
      </c>
      <c r="CP35" s="375">
        <v>0</v>
      </c>
      <c r="CQ35" s="375">
        <f t="shared" si="42"/>
        <v>0</v>
      </c>
      <c r="CR35" s="375">
        <v>0</v>
      </c>
      <c r="CS35" s="375">
        <f t="shared" si="43"/>
        <v>0</v>
      </c>
      <c r="CT35" s="375">
        <f t="shared" si="97"/>
        <v>2</v>
      </c>
      <c r="CU35" s="376">
        <f t="shared" si="45"/>
        <v>34</v>
      </c>
      <c r="CV35" s="373">
        <f t="shared" si="98"/>
        <v>7.2747222222222216</v>
      </c>
      <c r="CW35" s="374" t="str">
        <f t="shared" si="99"/>
        <v>(0.68)</v>
      </c>
      <c r="CX35" s="375">
        <v>2</v>
      </c>
      <c r="CY35" s="375">
        <f t="shared" si="47"/>
        <v>2</v>
      </c>
      <c r="CZ35" s="375">
        <v>0</v>
      </c>
      <c r="DA35" s="375">
        <f t="shared" si="48"/>
        <v>0</v>
      </c>
      <c r="DB35" s="375">
        <v>0</v>
      </c>
      <c r="DC35" s="375">
        <f t="shared" si="49"/>
        <v>0</v>
      </c>
      <c r="DD35" s="375">
        <f t="shared" si="100"/>
        <v>2</v>
      </c>
      <c r="DE35" s="376">
        <f t="shared" si="51"/>
        <v>40</v>
      </c>
      <c r="DF35" s="373">
        <f t="shared" si="101"/>
        <v>8.3659305555555541</v>
      </c>
      <c r="DG35" s="374" t="str">
        <f t="shared" si="102"/>
        <v>(0.78)</v>
      </c>
      <c r="DH35" s="375">
        <v>2</v>
      </c>
      <c r="DI35" s="375">
        <f t="shared" si="53"/>
        <v>2</v>
      </c>
      <c r="DJ35" s="375">
        <v>0</v>
      </c>
      <c r="DK35" s="375">
        <f t="shared" si="54"/>
        <v>0</v>
      </c>
      <c r="DL35" s="375">
        <v>0</v>
      </c>
      <c r="DM35" s="375">
        <f t="shared" si="55"/>
        <v>0</v>
      </c>
      <c r="DN35" s="375">
        <f t="shared" si="103"/>
        <v>2</v>
      </c>
      <c r="DO35" s="376">
        <f t="shared" si="57"/>
        <v>46</v>
      </c>
      <c r="DP35" s="373">
        <f t="shared" si="104"/>
        <v>9.4571388888888865</v>
      </c>
      <c r="DQ35" s="374" t="str">
        <f t="shared" si="105"/>
        <v>(0.88)</v>
      </c>
      <c r="DR35" s="375">
        <v>2</v>
      </c>
      <c r="DS35" s="375">
        <f t="shared" si="59"/>
        <v>2</v>
      </c>
      <c r="DT35" s="375">
        <v>0</v>
      </c>
      <c r="DU35" s="375">
        <f t="shared" si="60"/>
        <v>0</v>
      </c>
      <c r="DV35" s="375">
        <v>0</v>
      </c>
      <c r="DW35" s="375">
        <f t="shared" si="61"/>
        <v>0</v>
      </c>
      <c r="DX35" s="375">
        <f t="shared" si="106"/>
        <v>2</v>
      </c>
      <c r="DY35" s="376">
        <f t="shared" si="63"/>
        <v>52</v>
      </c>
      <c r="DZ35" s="373">
        <f t="shared" si="107"/>
        <v>10.548347222222221</v>
      </c>
      <c r="EA35" s="374" t="str">
        <f t="shared" si="118"/>
        <v>(0.98)</v>
      </c>
      <c r="EB35" s="375">
        <v>2</v>
      </c>
      <c r="EC35" s="375">
        <f t="shared" si="65"/>
        <v>2</v>
      </c>
      <c r="ED35" s="375">
        <v>0</v>
      </c>
      <c r="EE35" s="375">
        <f t="shared" si="66"/>
        <v>0</v>
      </c>
      <c r="EF35" s="375">
        <v>0</v>
      </c>
      <c r="EG35" s="375">
        <f t="shared" si="67"/>
        <v>0</v>
      </c>
      <c r="EH35" s="375">
        <f t="shared" si="109"/>
        <v>2</v>
      </c>
      <c r="EI35" s="376">
        <f t="shared" si="69"/>
        <v>58</v>
      </c>
      <c r="EJ35" s="373">
        <f t="shared" si="110"/>
        <v>11.639555555555553</v>
      </c>
      <c r="EK35" s="374" t="str">
        <f t="shared" si="119"/>
        <v>(1.08)</v>
      </c>
      <c r="EL35" s="375">
        <v>2</v>
      </c>
      <c r="EM35" s="375">
        <f t="shared" si="71"/>
        <v>2</v>
      </c>
      <c r="EN35" s="375">
        <v>0</v>
      </c>
      <c r="EO35" s="375">
        <f t="shared" si="72"/>
        <v>0</v>
      </c>
      <c r="EP35" s="375">
        <v>0</v>
      </c>
      <c r="EQ35" s="375">
        <f t="shared" si="73"/>
        <v>0</v>
      </c>
      <c r="ER35" s="375">
        <f t="shared" si="112"/>
        <v>2</v>
      </c>
      <c r="ES35" s="376">
        <f t="shared" si="75"/>
        <v>64</v>
      </c>
      <c r="ET35" s="373">
        <f t="shared" si="113"/>
        <v>12.730763888888887</v>
      </c>
      <c r="EU35" s="374" t="str">
        <f t="shared" si="114"/>
        <v>(1.18)</v>
      </c>
      <c r="EV35" s="22">
        <v>2</v>
      </c>
      <c r="EW35" s="22">
        <f t="shared" si="77"/>
        <v>2</v>
      </c>
      <c r="EX35" s="22">
        <v>0</v>
      </c>
      <c r="EY35" s="22">
        <f t="shared" si="78"/>
        <v>0</v>
      </c>
      <c r="EZ35" s="30">
        <v>0</v>
      </c>
      <c r="FA35" s="22">
        <f t="shared" si="79"/>
        <v>0</v>
      </c>
      <c r="FB35" s="22">
        <f t="shared" si="115"/>
        <v>2</v>
      </c>
      <c r="FC35" s="23">
        <f t="shared" si="81"/>
        <v>70</v>
      </c>
      <c r="FD35" s="31"/>
      <c r="FE35" s="31"/>
      <c r="FF35" s="32"/>
      <c r="FG35" s="32"/>
      <c r="FH35" s="34"/>
      <c r="FI35" s="32"/>
      <c r="FJ35" s="34"/>
      <c r="FK35" s="32"/>
      <c r="FL35" s="31"/>
      <c r="FM35" s="31"/>
      <c r="FN35" s="31"/>
      <c r="FO35" s="31"/>
      <c r="FP35" s="31"/>
      <c r="FQ35" s="31"/>
      <c r="FR35" s="31"/>
      <c r="FS35" s="31"/>
      <c r="FT35" s="31"/>
      <c r="FU35" s="31"/>
      <c r="FV35" s="31"/>
      <c r="FW35" s="31"/>
      <c r="FX35" s="31"/>
      <c r="FY35" s="31"/>
      <c r="FZ35" s="32"/>
      <c r="GA35" s="32"/>
      <c r="GB35" s="34"/>
      <c r="GC35" s="32"/>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2"/>
      <c r="HE35" s="32"/>
      <c r="HF35" s="34"/>
      <c r="HG35" s="32"/>
      <c r="HH35" s="32"/>
      <c r="HI35" s="32"/>
      <c r="HJ35" s="32"/>
      <c r="HK35" s="32"/>
      <c r="HL35" s="32"/>
      <c r="HM35" s="32"/>
      <c r="HN35" s="32"/>
      <c r="HO35" s="32"/>
      <c r="HP35" s="32"/>
      <c r="HQ35" s="32"/>
      <c r="HR35" s="32"/>
      <c r="HS35" s="32"/>
      <c r="HT35" s="32"/>
      <c r="HU35" s="32"/>
      <c r="HV35" s="31"/>
      <c r="HW35" s="31"/>
      <c r="HX35" s="32"/>
      <c r="HY35" s="32"/>
      <c r="HZ35" s="34"/>
      <c r="IA35" s="32"/>
      <c r="IB35" s="32"/>
      <c r="IC35" s="32"/>
      <c r="ID35" s="33"/>
      <c r="IE35" s="33"/>
      <c r="IF35" s="263"/>
      <c r="IG35" s="25">
        <v>10</v>
      </c>
      <c r="IH35" s="26">
        <v>1.6759999999999999</v>
      </c>
      <c r="II35" s="26">
        <v>2.4550000000000001</v>
      </c>
      <c r="IJ35" s="26">
        <v>2.4180000000000001</v>
      </c>
      <c r="IK35" s="26">
        <v>1</v>
      </c>
      <c r="IL35" s="26">
        <v>1</v>
      </c>
      <c r="IM35" s="26">
        <v>1.125</v>
      </c>
      <c r="IN35" s="8"/>
    </row>
    <row r="36" spans="2:248" ht="15.75" thickBot="1" x14ac:dyDescent="0.3">
      <c r="B36" s="103">
        <f>B35+6</f>
        <v>114</v>
      </c>
      <c r="C36" s="102">
        <v>19</v>
      </c>
      <c r="D36" s="206"/>
      <c r="E36" s="206"/>
      <c r="F36" s="206"/>
      <c r="G36" s="206"/>
      <c r="H36" s="206"/>
      <c r="I36" s="206"/>
      <c r="J36" s="206"/>
      <c r="K36" s="206"/>
      <c r="L36" s="206"/>
      <c r="M36" s="206"/>
      <c r="N36" s="206"/>
      <c r="O36" s="206"/>
      <c r="P36" s="206"/>
      <c r="Q36" s="206"/>
      <c r="R36" s="206"/>
      <c r="S36" s="206"/>
      <c r="T36" s="206"/>
      <c r="U36" s="206"/>
      <c r="V36" s="206"/>
      <c r="W36" s="64"/>
      <c r="X36" s="65"/>
      <c r="AT36" s="4"/>
      <c r="AU36" s="27">
        <f t="shared" si="116"/>
        <v>96</v>
      </c>
      <c r="AV36" s="28" t="str">
        <f t="shared" si="82"/>
        <v>(2450)</v>
      </c>
      <c r="AW36" s="19">
        <f t="shared" si="117"/>
        <v>22</v>
      </c>
      <c r="AX36" s="373">
        <f t="shared" si="83"/>
        <v>1.9892164316746213</v>
      </c>
      <c r="AY36" s="374" t="str">
        <f t="shared" si="84"/>
        <v>(0.18)</v>
      </c>
      <c r="AZ36" s="375">
        <v>2</v>
      </c>
      <c r="BA36" s="375">
        <f t="shared" si="17"/>
        <v>2</v>
      </c>
      <c r="BB36" s="375">
        <v>0</v>
      </c>
      <c r="BC36" s="375">
        <f t="shared" si="18"/>
        <v>0</v>
      </c>
      <c r="BD36" s="375">
        <v>0</v>
      </c>
      <c r="BE36" s="375">
        <f t="shared" si="19"/>
        <v>0</v>
      </c>
      <c r="BF36" s="375">
        <f t="shared" si="85"/>
        <v>2</v>
      </c>
      <c r="BG36" s="376">
        <f t="shared" si="21"/>
        <v>10</v>
      </c>
      <c r="BH36" s="373">
        <f t="shared" si="86"/>
        <v>3.1827462906793942</v>
      </c>
      <c r="BI36" s="374" t="str">
        <f t="shared" si="87"/>
        <v>(0.3)</v>
      </c>
      <c r="BJ36" s="375">
        <v>2</v>
      </c>
      <c r="BK36" s="375">
        <f t="shared" si="23"/>
        <v>2</v>
      </c>
      <c r="BL36" s="375">
        <v>0</v>
      </c>
      <c r="BM36" s="375">
        <f t="shared" si="24"/>
        <v>0</v>
      </c>
      <c r="BN36" s="375">
        <v>0</v>
      </c>
      <c r="BO36" s="375">
        <f t="shared" si="25"/>
        <v>0</v>
      </c>
      <c r="BP36" s="375">
        <f t="shared" si="88"/>
        <v>2</v>
      </c>
      <c r="BQ36" s="376">
        <f t="shared" si="27"/>
        <v>16</v>
      </c>
      <c r="BR36" s="373">
        <f t="shared" si="89"/>
        <v>4.3762761496841671</v>
      </c>
      <c r="BS36" s="374" t="str">
        <f t="shared" si="90"/>
        <v>(0.41)</v>
      </c>
      <c r="BT36" s="375">
        <v>2</v>
      </c>
      <c r="BU36" s="375">
        <f t="shared" si="29"/>
        <v>2</v>
      </c>
      <c r="BV36" s="375">
        <v>0</v>
      </c>
      <c r="BW36" s="375">
        <f t="shared" si="30"/>
        <v>0</v>
      </c>
      <c r="BX36" s="375">
        <v>0</v>
      </c>
      <c r="BY36" s="375">
        <f t="shared" si="31"/>
        <v>0</v>
      </c>
      <c r="BZ36" s="375">
        <f t="shared" si="91"/>
        <v>2</v>
      </c>
      <c r="CA36" s="376">
        <f t="shared" si="33"/>
        <v>22</v>
      </c>
      <c r="CB36" s="373">
        <f t="shared" si="92"/>
        <v>5.5698060086889392</v>
      </c>
      <c r="CC36" s="374" t="str">
        <f t="shared" si="93"/>
        <v>(0.52)</v>
      </c>
      <c r="CD36" s="375">
        <v>2</v>
      </c>
      <c r="CE36" s="375">
        <f t="shared" si="35"/>
        <v>2</v>
      </c>
      <c r="CF36" s="375">
        <v>0</v>
      </c>
      <c r="CG36" s="375">
        <f t="shared" si="36"/>
        <v>0</v>
      </c>
      <c r="CH36" s="375">
        <v>0</v>
      </c>
      <c r="CI36" s="375">
        <f t="shared" si="37"/>
        <v>0</v>
      </c>
      <c r="CJ36" s="375">
        <f t="shared" si="94"/>
        <v>2</v>
      </c>
      <c r="CK36" s="376">
        <f t="shared" si="39"/>
        <v>28</v>
      </c>
      <c r="CL36" s="373">
        <f t="shared" si="95"/>
        <v>6.7633358676937121</v>
      </c>
      <c r="CM36" s="374" t="str">
        <f t="shared" si="96"/>
        <v>(0.63)</v>
      </c>
      <c r="CN36" s="375">
        <v>2</v>
      </c>
      <c r="CO36" s="375">
        <f t="shared" si="41"/>
        <v>2</v>
      </c>
      <c r="CP36" s="375">
        <v>0</v>
      </c>
      <c r="CQ36" s="375">
        <f t="shared" si="42"/>
        <v>0</v>
      </c>
      <c r="CR36" s="375">
        <v>0</v>
      </c>
      <c r="CS36" s="375">
        <f t="shared" si="43"/>
        <v>0</v>
      </c>
      <c r="CT36" s="375">
        <f t="shared" si="97"/>
        <v>2</v>
      </c>
      <c r="CU36" s="376">
        <f t="shared" si="45"/>
        <v>34</v>
      </c>
      <c r="CV36" s="373">
        <f t="shared" si="98"/>
        <v>7.956865726698485</v>
      </c>
      <c r="CW36" s="374" t="str">
        <f t="shared" si="99"/>
        <v>(0.74)</v>
      </c>
      <c r="CX36" s="375">
        <v>2</v>
      </c>
      <c r="CY36" s="375">
        <f t="shared" si="47"/>
        <v>2</v>
      </c>
      <c r="CZ36" s="375">
        <v>0</v>
      </c>
      <c r="DA36" s="375">
        <f t="shared" si="48"/>
        <v>0</v>
      </c>
      <c r="DB36" s="375">
        <v>0</v>
      </c>
      <c r="DC36" s="375">
        <f t="shared" si="49"/>
        <v>0</v>
      </c>
      <c r="DD36" s="375">
        <f t="shared" si="100"/>
        <v>2</v>
      </c>
      <c r="DE36" s="376">
        <f t="shared" si="51"/>
        <v>40</v>
      </c>
      <c r="DF36" s="373">
        <f t="shared" si="101"/>
        <v>9.150395585703258</v>
      </c>
      <c r="DG36" s="374" t="str">
        <f t="shared" si="102"/>
        <v>(0.85)</v>
      </c>
      <c r="DH36" s="375">
        <v>2</v>
      </c>
      <c r="DI36" s="375">
        <f t="shared" si="53"/>
        <v>2</v>
      </c>
      <c r="DJ36" s="375">
        <v>0</v>
      </c>
      <c r="DK36" s="375">
        <f t="shared" si="54"/>
        <v>0</v>
      </c>
      <c r="DL36" s="375">
        <v>0</v>
      </c>
      <c r="DM36" s="375">
        <f t="shared" si="55"/>
        <v>0</v>
      </c>
      <c r="DN36" s="375">
        <f t="shared" si="103"/>
        <v>2</v>
      </c>
      <c r="DO36" s="376">
        <f t="shared" si="57"/>
        <v>46</v>
      </c>
      <c r="DP36" s="373">
        <f t="shared" si="104"/>
        <v>10.343925444708031</v>
      </c>
      <c r="DQ36" s="374" t="str">
        <f t="shared" si="105"/>
        <v>(0.96)</v>
      </c>
      <c r="DR36" s="375">
        <v>2</v>
      </c>
      <c r="DS36" s="375">
        <f t="shared" si="59"/>
        <v>2</v>
      </c>
      <c r="DT36" s="375">
        <v>0</v>
      </c>
      <c r="DU36" s="375">
        <f t="shared" si="60"/>
        <v>0</v>
      </c>
      <c r="DV36" s="375">
        <v>0</v>
      </c>
      <c r="DW36" s="375">
        <f t="shared" si="61"/>
        <v>0</v>
      </c>
      <c r="DX36" s="375">
        <f t="shared" si="106"/>
        <v>2</v>
      </c>
      <c r="DY36" s="376">
        <f t="shared" si="63"/>
        <v>52</v>
      </c>
      <c r="DZ36" s="373">
        <f t="shared" si="107"/>
        <v>11.537455303712804</v>
      </c>
      <c r="EA36" s="374" t="str">
        <f t="shared" si="118"/>
        <v>(1.07)</v>
      </c>
      <c r="EB36" s="375">
        <v>2</v>
      </c>
      <c r="EC36" s="375">
        <f t="shared" si="65"/>
        <v>2</v>
      </c>
      <c r="ED36" s="375">
        <v>0</v>
      </c>
      <c r="EE36" s="375">
        <f t="shared" si="66"/>
        <v>0</v>
      </c>
      <c r="EF36" s="375">
        <v>0</v>
      </c>
      <c r="EG36" s="375">
        <f t="shared" si="67"/>
        <v>0</v>
      </c>
      <c r="EH36" s="375">
        <f t="shared" si="109"/>
        <v>2</v>
      </c>
      <c r="EI36" s="376">
        <f t="shared" si="69"/>
        <v>58</v>
      </c>
      <c r="EJ36" s="373">
        <f t="shared" si="110"/>
        <v>12.730985162717577</v>
      </c>
      <c r="EK36" s="374" t="str">
        <f t="shared" si="119"/>
        <v>(1.18)</v>
      </c>
      <c r="EL36" s="375">
        <v>2</v>
      </c>
      <c r="EM36" s="375">
        <f t="shared" si="71"/>
        <v>2</v>
      </c>
      <c r="EN36" s="375">
        <v>0</v>
      </c>
      <c r="EO36" s="375">
        <f t="shared" si="72"/>
        <v>0</v>
      </c>
      <c r="EP36" s="375">
        <v>0</v>
      </c>
      <c r="EQ36" s="375">
        <f t="shared" si="73"/>
        <v>0</v>
      </c>
      <c r="ER36" s="375">
        <f t="shared" si="112"/>
        <v>2</v>
      </c>
      <c r="ES36" s="376">
        <f t="shared" si="75"/>
        <v>64</v>
      </c>
      <c r="ET36" s="373">
        <f t="shared" si="113"/>
        <v>13.92451502172235</v>
      </c>
      <c r="EU36" s="374" t="str">
        <f t="shared" si="114"/>
        <v>(1.29)</v>
      </c>
      <c r="EV36" s="22">
        <v>2</v>
      </c>
      <c r="EW36" s="22">
        <f t="shared" si="77"/>
        <v>2</v>
      </c>
      <c r="EX36" s="22">
        <v>0</v>
      </c>
      <c r="EY36" s="22">
        <f t="shared" si="78"/>
        <v>0</v>
      </c>
      <c r="EZ36" s="22">
        <v>0</v>
      </c>
      <c r="FA36" s="22">
        <f t="shared" si="79"/>
        <v>0</v>
      </c>
      <c r="FB36" s="22">
        <f t="shared" si="115"/>
        <v>2</v>
      </c>
      <c r="FC36" s="23">
        <f t="shared" si="81"/>
        <v>70</v>
      </c>
      <c r="FD36" s="31"/>
      <c r="FE36" s="31"/>
      <c r="FF36" s="32"/>
      <c r="FG36" s="32"/>
      <c r="FH36" s="32"/>
      <c r="FI36" s="32"/>
      <c r="FJ36" s="32"/>
      <c r="FK36" s="32"/>
      <c r="FL36" s="31"/>
      <c r="FM36" s="31"/>
      <c r="FN36" s="31"/>
      <c r="FO36" s="31"/>
      <c r="FP36" s="31"/>
      <c r="FQ36" s="31"/>
      <c r="FR36" s="31"/>
      <c r="FS36" s="31"/>
      <c r="FT36" s="31"/>
      <c r="FU36" s="31"/>
      <c r="FV36" s="31"/>
      <c r="FW36" s="31"/>
      <c r="FX36" s="31"/>
      <c r="FY36" s="31"/>
      <c r="FZ36" s="32"/>
      <c r="GA36" s="32"/>
      <c r="GB36" s="32"/>
      <c r="GC36" s="32"/>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2"/>
      <c r="HE36" s="32"/>
      <c r="HF36" s="32"/>
      <c r="HG36" s="32"/>
      <c r="HH36" s="32"/>
      <c r="HI36" s="32"/>
      <c r="HJ36" s="32"/>
      <c r="HK36" s="32"/>
      <c r="HL36" s="32"/>
      <c r="HM36" s="32"/>
      <c r="HN36" s="32"/>
      <c r="HO36" s="32"/>
      <c r="HP36" s="32"/>
      <c r="HQ36" s="32"/>
      <c r="HR36" s="32"/>
      <c r="HS36" s="32"/>
      <c r="HT36" s="32"/>
      <c r="HU36" s="32"/>
      <c r="HV36" s="31"/>
      <c r="HW36" s="31"/>
      <c r="HX36" s="32"/>
      <c r="HY36" s="32"/>
      <c r="HZ36" s="32"/>
      <c r="IA36" s="32"/>
      <c r="IB36" s="32"/>
      <c r="IC36" s="32"/>
      <c r="ID36" s="33"/>
      <c r="IE36" s="33"/>
      <c r="IF36" s="263"/>
      <c r="IG36" s="25">
        <v>11</v>
      </c>
      <c r="IH36" s="26">
        <v>1.6759999999999999</v>
      </c>
      <c r="II36" s="26">
        <v>2.4550000000000001</v>
      </c>
      <c r="IJ36" s="26">
        <v>2.418716616114549</v>
      </c>
      <c r="IK36" s="26">
        <v>1</v>
      </c>
      <c r="IL36" s="26">
        <v>1</v>
      </c>
      <c r="IM36" s="26">
        <v>1.125</v>
      </c>
      <c r="IN36" s="8"/>
    </row>
    <row r="37" spans="2:248" ht="15.75" thickBot="1" x14ac:dyDescent="0.3">
      <c r="B37" s="103">
        <f t="shared" si="12"/>
        <v>120</v>
      </c>
      <c r="C37" s="102">
        <v>20</v>
      </c>
      <c r="D37" s="206"/>
      <c r="E37" s="206"/>
      <c r="F37" s="206"/>
      <c r="G37" s="206"/>
      <c r="H37" s="206"/>
      <c r="I37" s="206"/>
      <c r="J37" s="206"/>
      <c r="K37" s="206"/>
      <c r="L37" s="206"/>
      <c r="M37" s="206"/>
      <c r="N37" s="206"/>
      <c r="O37" s="206"/>
      <c r="P37" s="206"/>
      <c r="Q37" s="206"/>
      <c r="R37" s="206"/>
      <c r="S37" s="206"/>
      <c r="T37" s="206"/>
      <c r="U37" s="206"/>
      <c r="V37" s="206"/>
      <c r="W37" s="64"/>
      <c r="X37" s="65"/>
      <c r="AT37" s="4"/>
      <c r="AU37" s="27">
        <f t="shared" si="116"/>
        <v>102</v>
      </c>
      <c r="AV37" s="28" t="str">
        <f t="shared" si="82"/>
        <v>(2600)</v>
      </c>
      <c r="AW37" s="19">
        <f t="shared" si="117"/>
        <v>23</v>
      </c>
      <c r="AX37" s="202"/>
      <c r="AY37" s="203"/>
      <c r="AZ37" s="204"/>
      <c r="BA37" s="204"/>
      <c r="BB37" s="204"/>
      <c r="BC37" s="204"/>
      <c r="BD37" s="204"/>
      <c r="BE37" s="204"/>
      <c r="BF37" s="204"/>
      <c r="BG37" s="205"/>
      <c r="BH37" s="202"/>
      <c r="BI37" s="203"/>
      <c r="BJ37" s="204"/>
      <c r="BK37" s="204"/>
      <c r="BL37" s="204"/>
      <c r="BM37" s="204"/>
      <c r="BN37" s="204"/>
      <c r="BO37" s="204"/>
      <c r="BP37" s="204"/>
      <c r="BQ37" s="205"/>
      <c r="BR37" s="202"/>
      <c r="BS37" s="203"/>
      <c r="BT37" s="204"/>
      <c r="BU37" s="204"/>
      <c r="BV37" s="204"/>
      <c r="BW37" s="204"/>
      <c r="BX37" s="204"/>
      <c r="BY37" s="204"/>
      <c r="BZ37" s="204"/>
      <c r="CA37" s="205"/>
      <c r="CB37" s="202"/>
      <c r="CC37" s="203"/>
      <c r="CD37" s="204"/>
      <c r="CE37" s="204"/>
      <c r="CF37" s="204"/>
      <c r="CG37" s="204"/>
      <c r="CH37" s="204"/>
      <c r="CI37" s="204"/>
      <c r="CJ37" s="204"/>
      <c r="CK37" s="205"/>
      <c r="CL37" s="202"/>
      <c r="CM37" s="203"/>
      <c r="CN37" s="204"/>
      <c r="CO37" s="204"/>
      <c r="CP37" s="204"/>
      <c r="CQ37" s="204"/>
      <c r="CR37" s="204"/>
      <c r="CS37" s="204"/>
      <c r="CT37" s="204"/>
      <c r="CU37" s="205"/>
      <c r="CV37" s="202"/>
      <c r="CW37" s="203"/>
      <c r="CX37" s="204"/>
      <c r="CY37" s="204"/>
      <c r="CZ37" s="204"/>
      <c r="DA37" s="204"/>
      <c r="DB37" s="204"/>
      <c r="DC37" s="204"/>
      <c r="DD37" s="204"/>
      <c r="DE37" s="205"/>
      <c r="DF37" s="202"/>
      <c r="DG37" s="203"/>
      <c r="DH37" s="204"/>
      <c r="DI37" s="204"/>
      <c r="DJ37" s="204"/>
      <c r="DK37" s="204"/>
      <c r="DL37" s="204"/>
      <c r="DM37" s="204"/>
      <c r="DN37" s="204"/>
      <c r="DO37" s="205"/>
      <c r="DP37" s="202"/>
      <c r="DQ37" s="203"/>
      <c r="DR37" s="204"/>
      <c r="DS37" s="204"/>
      <c r="DT37" s="204"/>
      <c r="DU37" s="204"/>
      <c r="DV37" s="204"/>
      <c r="DW37" s="204"/>
      <c r="DX37" s="204"/>
      <c r="DY37" s="205"/>
      <c r="DZ37" s="202"/>
      <c r="EA37" s="203"/>
      <c r="EB37" s="204"/>
      <c r="EC37" s="204"/>
      <c r="ED37" s="204"/>
      <c r="EE37" s="204"/>
      <c r="EF37" s="204"/>
      <c r="EG37" s="204"/>
      <c r="EH37" s="204"/>
      <c r="EI37" s="205"/>
      <c r="EJ37" s="202"/>
      <c r="EK37" s="203"/>
      <c r="EL37" s="204"/>
      <c r="EM37" s="204"/>
      <c r="EN37" s="204"/>
      <c r="EO37" s="204"/>
      <c r="EP37" s="204"/>
      <c r="EQ37" s="204"/>
      <c r="ER37" s="204"/>
      <c r="ES37" s="205"/>
      <c r="ET37" s="202"/>
      <c r="EU37" s="203"/>
      <c r="EV37" s="204"/>
      <c r="EW37" s="204"/>
      <c r="EX37" s="204"/>
      <c r="EY37" s="204"/>
      <c r="EZ37" s="204"/>
      <c r="FA37" s="204"/>
      <c r="FB37" s="204"/>
      <c r="FC37" s="205"/>
      <c r="FD37" s="31"/>
      <c r="FE37" s="31"/>
      <c r="FF37" s="32"/>
      <c r="FG37" s="32"/>
      <c r="FH37" s="32"/>
      <c r="FI37" s="32"/>
      <c r="FJ37" s="32"/>
      <c r="FK37" s="32"/>
      <c r="FL37" s="31"/>
      <c r="FM37" s="31"/>
      <c r="FN37" s="31"/>
      <c r="FO37" s="31"/>
      <c r="FP37" s="31"/>
      <c r="FQ37" s="31"/>
      <c r="FR37" s="31"/>
      <c r="FS37" s="31"/>
      <c r="FT37" s="31"/>
      <c r="FU37" s="31"/>
      <c r="FV37" s="31"/>
      <c r="FW37" s="31"/>
      <c r="FX37" s="31"/>
      <c r="FY37" s="31"/>
      <c r="FZ37" s="32"/>
      <c r="GA37" s="32"/>
      <c r="GB37" s="32"/>
      <c r="GC37" s="32"/>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2"/>
      <c r="HE37" s="32"/>
      <c r="HF37" s="32"/>
      <c r="HG37" s="32"/>
      <c r="HH37" s="32"/>
      <c r="HI37" s="32"/>
      <c r="HJ37" s="32"/>
      <c r="HK37" s="32"/>
      <c r="HL37" s="32"/>
      <c r="HM37" s="32"/>
      <c r="HN37" s="32"/>
      <c r="HO37" s="32"/>
      <c r="HP37" s="32"/>
      <c r="HQ37" s="32"/>
      <c r="HR37" s="32"/>
      <c r="HS37" s="32"/>
      <c r="HT37" s="32"/>
      <c r="HU37" s="32"/>
      <c r="HV37" s="31"/>
      <c r="HW37" s="31"/>
      <c r="HX37" s="32"/>
      <c r="HY37" s="32"/>
      <c r="HZ37" s="32"/>
      <c r="IA37" s="32"/>
      <c r="IB37" s="32"/>
      <c r="IC37" s="32"/>
      <c r="ID37" s="33"/>
      <c r="IE37" s="33"/>
      <c r="IF37" s="263"/>
      <c r="IG37" s="25"/>
      <c r="IH37" s="26"/>
      <c r="II37" s="26"/>
      <c r="IJ37" s="26"/>
      <c r="IK37" s="26"/>
      <c r="IL37" s="26"/>
      <c r="IM37" s="26"/>
      <c r="IN37" s="8"/>
    </row>
    <row r="38" spans="2:248" ht="15.75" thickBot="1" x14ac:dyDescent="0.3">
      <c r="B38" s="66"/>
      <c r="C38" s="64"/>
      <c r="D38" s="64"/>
      <c r="E38" s="64"/>
      <c r="F38" s="64"/>
      <c r="G38" s="64"/>
      <c r="H38" s="64"/>
      <c r="I38" s="64"/>
      <c r="J38" s="64"/>
      <c r="K38" s="64"/>
      <c r="L38" s="64"/>
      <c r="M38" s="64"/>
      <c r="N38" s="64"/>
      <c r="O38" s="64"/>
      <c r="P38" s="64"/>
      <c r="Q38" s="64"/>
      <c r="R38" s="64"/>
      <c r="S38" s="64"/>
      <c r="T38" s="64"/>
      <c r="U38" s="64"/>
      <c r="V38" s="64"/>
      <c r="W38" s="64"/>
      <c r="X38" s="65"/>
      <c r="AA38" s="83"/>
      <c r="AT38" s="4"/>
      <c r="AU38" s="27">
        <f t="shared" si="116"/>
        <v>108</v>
      </c>
      <c r="AV38" s="28" t="str">
        <f t="shared" si="82"/>
        <v>(2750)</v>
      </c>
      <c r="AW38" s="19">
        <f t="shared" si="117"/>
        <v>24</v>
      </c>
      <c r="AX38" s="202"/>
      <c r="AY38" s="203"/>
      <c r="AZ38" s="204"/>
      <c r="BA38" s="204"/>
      <c r="BB38" s="204"/>
      <c r="BC38" s="204"/>
      <c r="BD38" s="204"/>
      <c r="BE38" s="204"/>
      <c r="BF38" s="204"/>
      <c r="BG38" s="205"/>
      <c r="BH38" s="202"/>
      <c r="BI38" s="203"/>
      <c r="BJ38" s="204"/>
      <c r="BK38" s="204"/>
      <c r="BL38" s="204"/>
      <c r="BM38" s="204"/>
      <c r="BN38" s="204"/>
      <c r="BO38" s="204"/>
      <c r="BP38" s="204"/>
      <c r="BQ38" s="205"/>
      <c r="BR38" s="202"/>
      <c r="BS38" s="203"/>
      <c r="BT38" s="204"/>
      <c r="BU38" s="204"/>
      <c r="BV38" s="204"/>
      <c r="BW38" s="204"/>
      <c r="BX38" s="204"/>
      <c r="BY38" s="204"/>
      <c r="BZ38" s="204"/>
      <c r="CA38" s="205"/>
      <c r="CB38" s="202"/>
      <c r="CC38" s="203"/>
      <c r="CD38" s="204"/>
      <c r="CE38" s="204"/>
      <c r="CF38" s="204"/>
      <c r="CG38" s="204"/>
      <c r="CH38" s="204"/>
      <c r="CI38" s="204"/>
      <c r="CJ38" s="204"/>
      <c r="CK38" s="205"/>
      <c r="CL38" s="202"/>
      <c r="CM38" s="203"/>
      <c r="CN38" s="204"/>
      <c r="CO38" s="204"/>
      <c r="CP38" s="204"/>
      <c r="CQ38" s="204"/>
      <c r="CR38" s="204"/>
      <c r="CS38" s="204"/>
      <c r="CT38" s="204"/>
      <c r="CU38" s="205"/>
      <c r="CV38" s="202"/>
      <c r="CW38" s="203"/>
      <c r="CX38" s="204"/>
      <c r="CY38" s="204"/>
      <c r="CZ38" s="204"/>
      <c r="DA38" s="204"/>
      <c r="DB38" s="204"/>
      <c r="DC38" s="204"/>
      <c r="DD38" s="204"/>
      <c r="DE38" s="205"/>
      <c r="DF38" s="202"/>
      <c r="DG38" s="203"/>
      <c r="DH38" s="204"/>
      <c r="DI38" s="204"/>
      <c r="DJ38" s="204"/>
      <c r="DK38" s="204"/>
      <c r="DL38" s="204"/>
      <c r="DM38" s="204"/>
      <c r="DN38" s="204"/>
      <c r="DO38" s="205"/>
      <c r="DP38" s="202"/>
      <c r="DQ38" s="203"/>
      <c r="DR38" s="204"/>
      <c r="DS38" s="204"/>
      <c r="DT38" s="204"/>
      <c r="DU38" s="204"/>
      <c r="DV38" s="204"/>
      <c r="DW38" s="204"/>
      <c r="DX38" s="204"/>
      <c r="DY38" s="205"/>
      <c r="DZ38" s="202"/>
      <c r="EA38" s="203"/>
      <c r="EB38" s="204"/>
      <c r="EC38" s="204"/>
      <c r="ED38" s="204"/>
      <c r="EE38" s="204"/>
      <c r="EF38" s="204"/>
      <c r="EG38" s="204"/>
      <c r="EH38" s="204"/>
      <c r="EI38" s="205"/>
      <c r="EJ38" s="202"/>
      <c r="EK38" s="203"/>
      <c r="EL38" s="204"/>
      <c r="EM38" s="204"/>
      <c r="EN38" s="204"/>
      <c r="EO38" s="204"/>
      <c r="EP38" s="204"/>
      <c r="EQ38" s="204"/>
      <c r="ER38" s="204"/>
      <c r="ES38" s="205"/>
      <c r="ET38" s="202"/>
      <c r="EU38" s="203"/>
      <c r="EV38" s="204"/>
      <c r="EW38" s="204"/>
      <c r="EX38" s="204"/>
      <c r="EY38" s="204"/>
      <c r="EZ38" s="204"/>
      <c r="FA38" s="204"/>
      <c r="FB38" s="204"/>
      <c r="FC38" s="205"/>
      <c r="FD38" s="31"/>
      <c r="FE38" s="31"/>
      <c r="FF38" s="32"/>
      <c r="FG38" s="32"/>
      <c r="FH38" s="32"/>
      <c r="FI38" s="32"/>
      <c r="FJ38" s="32"/>
      <c r="FK38" s="32"/>
      <c r="FL38" s="31"/>
      <c r="FM38" s="31"/>
      <c r="FN38" s="31"/>
      <c r="FO38" s="31"/>
      <c r="FP38" s="31"/>
      <c r="FQ38" s="31"/>
      <c r="FR38" s="31"/>
      <c r="FS38" s="31"/>
      <c r="FT38" s="31"/>
      <c r="FU38" s="31"/>
      <c r="FV38" s="31"/>
      <c r="FW38" s="31"/>
      <c r="FX38" s="31"/>
      <c r="FY38" s="31"/>
      <c r="FZ38" s="32"/>
      <c r="GA38" s="32"/>
      <c r="GB38" s="32"/>
      <c r="GC38" s="32"/>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2"/>
      <c r="HE38" s="32"/>
      <c r="HF38" s="32"/>
      <c r="HG38" s="32"/>
      <c r="HH38" s="32"/>
      <c r="HI38" s="32"/>
      <c r="HJ38" s="32"/>
      <c r="HK38" s="32"/>
      <c r="HL38" s="32"/>
      <c r="HM38" s="32"/>
      <c r="HN38" s="32"/>
      <c r="HO38" s="32"/>
      <c r="HP38" s="32"/>
      <c r="HQ38" s="32"/>
      <c r="HR38" s="32"/>
      <c r="HS38" s="32"/>
      <c r="HT38" s="32"/>
      <c r="HU38" s="32"/>
      <c r="HV38" s="31"/>
      <c r="HW38" s="31"/>
      <c r="HX38" s="32"/>
      <c r="HY38" s="32"/>
      <c r="HZ38" s="32"/>
      <c r="IA38" s="32"/>
      <c r="IB38" s="32"/>
      <c r="IC38" s="32"/>
      <c r="ID38" s="33"/>
      <c r="IE38" s="33"/>
      <c r="IF38" s="263"/>
      <c r="IG38" s="25"/>
      <c r="IH38" s="26"/>
      <c r="II38" s="26"/>
      <c r="IJ38" s="26"/>
      <c r="IK38" s="26"/>
      <c r="IL38" s="26"/>
      <c r="IM38" s="26"/>
      <c r="IN38" s="8"/>
    </row>
    <row r="39" spans="2:248" ht="15.75" thickBot="1" x14ac:dyDescent="0.3">
      <c r="B39" s="66"/>
      <c r="C39" s="64"/>
      <c r="D39" s="64"/>
      <c r="E39" s="64"/>
      <c r="F39" s="64"/>
      <c r="G39" s="64"/>
      <c r="H39" s="64"/>
      <c r="I39" s="64"/>
      <c r="J39" s="64"/>
      <c r="K39" s="64"/>
      <c r="L39" s="64"/>
      <c r="M39" s="64"/>
      <c r="N39" s="64"/>
      <c r="O39" s="64"/>
      <c r="P39" s="64"/>
      <c r="Q39" s="64"/>
      <c r="R39" s="64"/>
      <c r="S39" s="64"/>
      <c r="T39" s="64"/>
      <c r="U39" s="64"/>
      <c r="V39" s="64"/>
      <c r="W39" s="64"/>
      <c r="X39" s="65"/>
      <c r="AT39" s="4"/>
      <c r="AU39" s="27">
        <f t="shared" si="116"/>
        <v>114</v>
      </c>
      <c r="AV39" s="28" t="str">
        <f t="shared" si="82"/>
        <v>(2900)</v>
      </c>
      <c r="AW39" s="19">
        <f t="shared" si="117"/>
        <v>25</v>
      </c>
      <c r="AX39" s="202"/>
      <c r="AY39" s="203"/>
      <c r="AZ39" s="204"/>
      <c r="BA39" s="204"/>
      <c r="BB39" s="204"/>
      <c r="BC39" s="204"/>
      <c r="BD39" s="204"/>
      <c r="BE39" s="204"/>
      <c r="BF39" s="204"/>
      <c r="BG39" s="205"/>
      <c r="BH39" s="202"/>
      <c r="BI39" s="203"/>
      <c r="BJ39" s="204"/>
      <c r="BK39" s="204"/>
      <c r="BL39" s="204"/>
      <c r="BM39" s="204"/>
      <c r="BN39" s="204"/>
      <c r="BO39" s="204"/>
      <c r="BP39" s="204"/>
      <c r="BQ39" s="205"/>
      <c r="BR39" s="202"/>
      <c r="BS39" s="203"/>
      <c r="BT39" s="204"/>
      <c r="BU39" s="204"/>
      <c r="BV39" s="204"/>
      <c r="BW39" s="204"/>
      <c r="BX39" s="204"/>
      <c r="BY39" s="204"/>
      <c r="BZ39" s="204"/>
      <c r="CA39" s="205"/>
      <c r="CB39" s="202"/>
      <c r="CC39" s="203"/>
      <c r="CD39" s="204"/>
      <c r="CE39" s="204"/>
      <c r="CF39" s="204"/>
      <c r="CG39" s="204"/>
      <c r="CH39" s="204"/>
      <c r="CI39" s="204"/>
      <c r="CJ39" s="204"/>
      <c r="CK39" s="205"/>
      <c r="CL39" s="202"/>
      <c r="CM39" s="203"/>
      <c r="CN39" s="204"/>
      <c r="CO39" s="204"/>
      <c r="CP39" s="204"/>
      <c r="CQ39" s="204"/>
      <c r="CR39" s="204"/>
      <c r="CS39" s="204"/>
      <c r="CT39" s="204"/>
      <c r="CU39" s="205"/>
      <c r="CV39" s="202"/>
      <c r="CW39" s="203"/>
      <c r="CX39" s="204"/>
      <c r="CY39" s="204"/>
      <c r="CZ39" s="204"/>
      <c r="DA39" s="204"/>
      <c r="DB39" s="204"/>
      <c r="DC39" s="204"/>
      <c r="DD39" s="204"/>
      <c r="DE39" s="205"/>
      <c r="DF39" s="202"/>
      <c r="DG39" s="203"/>
      <c r="DH39" s="204"/>
      <c r="DI39" s="204"/>
      <c r="DJ39" s="204"/>
      <c r="DK39" s="204"/>
      <c r="DL39" s="204"/>
      <c r="DM39" s="204"/>
      <c r="DN39" s="204"/>
      <c r="DO39" s="205"/>
      <c r="DP39" s="202"/>
      <c r="DQ39" s="203"/>
      <c r="DR39" s="204"/>
      <c r="DS39" s="204"/>
      <c r="DT39" s="204"/>
      <c r="DU39" s="204"/>
      <c r="DV39" s="204"/>
      <c r="DW39" s="204"/>
      <c r="DX39" s="204"/>
      <c r="DY39" s="205"/>
      <c r="DZ39" s="202"/>
      <c r="EA39" s="203"/>
      <c r="EB39" s="204"/>
      <c r="EC39" s="204"/>
      <c r="ED39" s="204"/>
      <c r="EE39" s="204"/>
      <c r="EF39" s="204"/>
      <c r="EG39" s="204"/>
      <c r="EH39" s="204"/>
      <c r="EI39" s="205"/>
      <c r="EJ39" s="202"/>
      <c r="EK39" s="203"/>
      <c r="EL39" s="204"/>
      <c r="EM39" s="204"/>
      <c r="EN39" s="204"/>
      <c r="EO39" s="204"/>
      <c r="EP39" s="204"/>
      <c r="EQ39" s="204"/>
      <c r="ER39" s="204"/>
      <c r="ES39" s="205"/>
      <c r="ET39" s="202"/>
      <c r="EU39" s="203"/>
      <c r="EV39" s="204"/>
      <c r="EW39" s="204"/>
      <c r="EX39" s="204"/>
      <c r="EY39" s="204"/>
      <c r="EZ39" s="204"/>
      <c r="FA39" s="204"/>
      <c r="FB39" s="204"/>
      <c r="FC39" s="205"/>
      <c r="FD39" s="31"/>
      <c r="FE39" s="31"/>
      <c r="FF39" s="32"/>
      <c r="FG39" s="32"/>
      <c r="FH39" s="32"/>
      <c r="FI39" s="32"/>
      <c r="FJ39" s="32"/>
      <c r="FK39" s="32"/>
      <c r="FL39" s="6"/>
      <c r="FM39" s="6"/>
      <c r="FN39" s="6"/>
      <c r="FO39" s="6"/>
      <c r="FP39" s="6"/>
      <c r="FQ39" s="6"/>
      <c r="FR39" s="6"/>
      <c r="FS39" s="6"/>
      <c r="FT39" s="6"/>
      <c r="FU39" s="6"/>
      <c r="FV39" s="6"/>
      <c r="FW39" s="6"/>
      <c r="FX39" s="31"/>
      <c r="FY39" s="31"/>
      <c r="FZ39" s="32"/>
      <c r="GA39" s="32"/>
      <c r="GB39" s="32"/>
      <c r="GC39" s="32"/>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2"/>
      <c r="HE39" s="32"/>
      <c r="HF39" s="32"/>
      <c r="HG39" s="32"/>
      <c r="HH39" s="32"/>
      <c r="HI39" s="32"/>
      <c r="HJ39" s="32"/>
      <c r="HK39" s="32"/>
      <c r="HL39" s="32"/>
      <c r="HM39" s="32"/>
      <c r="HN39" s="32"/>
      <c r="HO39" s="32"/>
      <c r="HP39" s="32"/>
      <c r="HQ39" s="32"/>
      <c r="HR39" s="32"/>
      <c r="HS39" s="32"/>
      <c r="HT39" s="32"/>
      <c r="HU39" s="32"/>
      <c r="HV39" s="31"/>
      <c r="HW39" s="31"/>
      <c r="HX39" s="32"/>
      <c r="HY39" s="32"/>
      <c r="HZ39" s="32"/>
      <c r="IA39" s="32"/>
      <c r="IB39" s="32"/>
      <c r="IC39" s="32"/>
      <c r="ID39" s="33"/>
      <c r="IE39" s="33"/>
      <c r="IF39" s="263"/>
      <c r="IG39" s="25"/>
      <c r="IH39" s="26"/>
      <c r="II39" s="26"/>
      <c r="IJ39" s="26"/>
      <c r="IK39" s="26"/>
      <c r="IL39" s="26"/>
      <c r="IM39" s="26"/>
      <c r="IN39" s="8"/>
    </row>
    <row r="40" spans="2:248" ht="15.75" thickBot="1" x14ac:dyDescent="0.3">
      <c r="B40" s="67"/>
      <c r="C40" s="68"/>
      <c r="D40" s="68"/>
      <c r="E40" s="68"/>
      <c r="F40" s="68"/>
      <c r="G40" s="68"/>
      <c r="H40" s="68"/>
      <c r="I40" s="68"/>
      <c r="J40" s="68"/>
      <c r="K40" s="68"/>
      <c r="L40" s="68"/>
      <c r="M40" s="68"/>
      <c r="N40" s="68"/>
      <c r="O40" s="68"/>
      <c r="P40" s="68"/>
      <c r="Q40" s="68"/>
      <c r="R40" s="68"/>
      <c r="S40" s="68"/>
      <c r="T40" s="68"/>
      <c r="U40" s="68"/>
      <c r="V40" s="68"/>
      <c r="W40" s="68"/>
      <c r="X40" s="69"/>
      <c r="AT40" s="4"/>
      <c r="AU40" s="27">
        <f t="shared" si="116"/>
        <v>120</v>
      </c>
      <c r="AV40" s="28" t="str">
        <f t="shared" si="82"/>
        <v>(3050)</v>
      </c>
      <c r="AW40" s="19">
        <f t="shared" si="117"/>
        <v>26</v>
      </c>
      <c r="AX40" s="202"/>
      <c r="AY40" s="203"/>
      <c r="AZ40" s="204"/>
      <c r="BA40" s="204"/>
      <c r="BB40" s="204"/>
      <c r="BC40" s="204"/>
      <c r="BD40" s="204"/>
      <c r="BE40" s="204"/>
      <c r="BF40" s="204"/>
      <c r="BG40" s="205"/>
      <c r="BH40" s="202"/>
      <c r="BI40" s="203"/>
      <c r="BJ40" s="204"/>
      <c r="BK40" s="204"/>
      <c r="BL40" s="204"/>
      <c r="BM40" s="204"/>
      <c r="BN40" s="204"/>
      <c r="BO40" s="204"/>
      <c r="BP40" s="204"/>
      <c r="BQ40" s="205"/>
      <c r="BR40" s="202"/>
      <c r="BS40" s="203"/>
      <c r="BT40" s="204"/>
      <c r="BU40" s="204"/>
      <c r="BV40" s="204"/>
      <c r="BW40" s="204"/>
      <c r="BX40" s="204"/>
      <c r="BY40" s="204"/>
      <c r="BZ40" s="204"/>
      <c r="CA40" s="205"/>
      <c r="CB40" s="202"/>
      <c r="CC40" s="203"/>
      <c r="CD40" s="204"/>
      <c r="CE40" s="204"/>
      <c r="CF40" s="204"/>
      <c r="CG40" s="204"/>
      <c r="CH40" s="204"/>
      <c r="CI40" s="204"/>
      <c r="CJ40" s="204"/>
      <c r="CK40" s="205"/>
      <c r="CL40" s="202"/>
      <c r="CM40" s="203"/>
      <c r="CN40" s="204"/>
      <c r="CO40" s="204"/>
      <c r="CP40" s="204"/>
      <c r="CQ40" s="204"/>
      <c r="CR40" s="204"/>
      <c r="CS40" s="204"/>
      <c r="CT40" s="204"/>
      <c r="CU40" s="205"/>
      <c r="CV40" s="202"/>
      <c r="CW40" s="203"/>
      <c r="CX40" s="204"/>
      <c r="CY40" s="204"/>
      <c r="CZ40" s="204"/>
      <c r="DA40" s="204"/>
      <c r="DB40" s="204"/>
      <c r="DC40" s="204"/>
      <c r="DD40" s="204"/>
      <c r="DE40" s="205"/>
      <c r="DF40" s="202"/>
      <c r="DG40" s="203"/>
      <c r="DH40" s="204"/>
      <c r="DI40" s="204"/>
      <c r="DJ40" s="204"/>
      <c r="DK40" s="204"/>
      <c r="DL40" s="204"/>
      <c r="DM40" s="204"/>
      <c r="DN40" s="204"/>
      <c r="DO40" s="205"/>
      <c r="DP40" s="202"/>
      <c r="DQ40" s="203"/>
      <c r="DR40" s="204"/>
      <c r="DS40" s="204"/>
      <c r="DT40" s="204"/>
      <c r="DU40" s="204"/>
      <c r="DV40" s="204"/>
      <c r="DW40" s="204"/>
      <c r="DX40" s="204"/>
      <c r="DY40" s="205"/>
      <c r="DZ40" s="202"/>
      <c r="EA40" s="203"/>
      <c r="EB40" s="204"/>
      <c r="EC40" s="204"/>
      <c r="ED40" s="204"/>
      <c r="EE40" s="204"/>
      <c r="EF40" s="204"/>
      <c r="EG40" s="204"/>
      <c r="EH40" s="204"/>
      <c r="EI40" s="205"/>
      <c r="EJ40" s="202"/>
      <c r="EK40" s="203"/>
      <c r="EL40" s="204"/>
      <c r="EM40" s="204"/>
      <c r="EN40" s="204"/>
      <c r="EO40" s="204"/>
      <c r="EP40" s="204"/>
      <c r="EQ40" s="204"/>
      <c r="ER40" s="204"/>
      <c r="ES40" s="205"/>
      <c r="ET40" s="202"/>
      <c r="EU40" s="203"/>
      <c r="EV40" s="204"/>
      <c r="EW40" s="204"/>
      <c r="EX40" s="204"/>
      <c r="EY40" s="204"/>
      <c r="EZ40" s="204"/>
      <c r="FA40" s="204"/>
      <c r="FB40" s="204"/>
      <c r="FC40" s="205"/>
      <c r="FD40" s="31"/>
      <c r="FE40" s="31"/>
      <c r="FF40" s="32"/>
      <c r="FG40" s="32"/>
      <c r="FH40" s="34"/>
      <c r="FI40" s="32"/>
      <c r="FJ40" s="34"/>
      <c r="FK40" s="32"/>
      <c r="FL40" s="31"/>
      <c r="FM40" s="31"/>
      <c r="FN40" s="31"/>
      <c r="FO40" s="31"/>
      <c r="FP40" s="31"/>
      <c r="FQ40" s="31"/>
      <c r="FR40" s="31"/>
      <c r="FS40" s="31"/>
      <c r="FT40" s="31"/>
      <c r="FU40" s="31"/>
      <c r="FV40" s="31"/>
      <c r="FW40" s="31"/>
      <c r="FX40" s="31"/>
      <c r="FY40" s="31"/>
      <c r="FZ40" s="32"/>
      <c r="GA40" s="32"/>
      <c r="GB40" s="34"/>
      <c r="GC40" s="32"/>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2"/>
      <c r="HE40" s="32"/>
      <c r="HF40" s="34"/>
      <c r="HG40" s="32"/>
      <c r="HH40" s="32"/>
      <c r="HI40" s="32"/>
      <c r="HJ40" s="32"/>
      <c r="HK40" s="32"/>
      <c r="HL40" s="32"/>
      <c r="HM40" s="32"/>
      <c r="HN40" s="32"/>
      <c r="HO40" s="32"/>
      <c r="HP40" s="32"/>
      <c r="HQ40" s="32"/>
      <c r="HR40" s="32"/>
      <c r="HS40" s="32"/>
      <c r="HT40" s="32"/>
      <c r="HU40" s="32"/>
      <c r="HV40" s="31"/>
      <c r="HW40" s="31"/>
      <c r="HX40" s="32"/>
      <c r="HY40" s="32"/>
      <c r="HZ40" s="34"/>
      <c r="IA40" s="32"/>
      <c r="IB40" s="32"/>
      <c r="IC40" s="32"/>
      <c r="ID40" s="33"/>
      <c r="IE40" s="33"/>
      <c r="IF40" s="263"/>
      <c r="IG40" s="25"/>
      <c r="IH40" s="26"/>
      <c r="II40" s="26"/>
      <c r="IJ40" s="26"/>
      <c r="IK40" s="26"/>
      <c r="IL40" s="26"/>
      <c r="IM40" s="26"/>
      <c r="IN40" s="8"/>
    </row>
    <row r="41" spans="2:248" ht="15.75" thickBot="1" x14ac:dyDescent="0.3">
      <c r="AT41" s="35"/>
      <c r="AU41" s="36"/>
      <c r="AV41" s="36"/>
      <c r="AW41" s="36"/>
      <c r="AX41" s="37"/>
      <c r="AY41" s="38"/>
      <c r="AZ41" s="38"/>
      <c r="BA41" s="340"/>
      <c r="BB41" s="340"/>
      <c r="BC41" s="340"/>
      <c r="BD41" s="340"/>
      <c r="BE41" s="340"/>
      <c r="BF41" s="340"/>
      <c r="BG41" s="340"/>
      <c r="BH41" s="350"/>
      <c r="BI41" s="340"/>
      <c r="BJ41" s="340"/>
      <c r="BK41" s="340"/>
      <c r="BL41" s="340"/>
      <c r="BM41" s="340"/>
      <c r="BN41" s="340"/>
      <c r="BO41" s="340"/>
      <c r="BP41" s="38"/>
      <c r="BQ41" s="38"/>
      <c r="BR41" s="37"/>
      <c r="BS41" s="38"/>
      <c r="BT41" s="38"/>
      <c r="BU41" s="38"/>
      <c r="BV41" s="38"/>
      <c r="BW41" s="38"/>
      <c r="BX41" s="38"/>
      <c r="BY41" s="38"/>
      <c r="BZ41" s="38"/>
      <c r="CA41" s="38"/>
      <c r="CB41" s="37"/>
      <c r="CC41" s="38"/>
      <c r="CD41" s="38"/>
      <c r="CE41" s="38"/>
      <c r="CF41" s="38"/>
      <c r="CG41" s="38"/>
      <c r="CH41" s="38"/>
      <c r="CI41" s="38"/>
      <c r="CJ41" s="38"/>
      <c r="CK41" s="38"/>
      <c r="CL41" s="37"/>
      <c r="CM41" s="38"/>
      <c r="CN41" s="38"/>
      <c r="CO41" s="38"/>
      <c r="CP41" s="38"/>
      <c r="CQ41" s="38"/>
      <c r="CR41" s="38"/>
      <c r="CS41" s="38"/>
      <c r="CT41" s="38"/>
      <c r="CU41" s="38"/>
      <c r="CV41" s="37"/>
      <c r="CW41" s="38"/>
      <c r="CX41" s="38"/>
      <c r="CY41" s="38"/>
      <c r="CZ41" s="38"/>
      <c r="DA41" s="38"/>
      <c r="DB41" s="38"/>
      <c r="DC41" s="38"/>
      <c r="DD41" s="38"/>
      <c r="DE41" s="38"/>
      <c r="DF41" s="37"/>
      <c r="DG41" s="38"/>
      <c r="DH41" s="38"/>
      <c r="DI41" s="38"/>
      <c r="DJ41" s="38"/>
      <c r="DK41" s="38"/>
      <c r="DL41" s="38"/>
      <c r="DM41" s="38"/>
      <c r="DN41" s="38"/>
      <c r="DO41" s="38"/>
      <c r="DP41" s="37"/>
      <c r="DQ41" s="38"/>
      <c r="DR41" s="38"/>
      <c r="DS41" s="38"/>
      <c r="DT41" s="38"/>
      <c r="DU41" s="38"/>
      <c r="DV41" s="38"/>
      <c r="DW41" s="38"/>
      <c r="DX41" s="38"/>
      <c r="DY41" s="38"/>
      <c r="DZ41" s="37"/>
      <c r="EA41" s="38"/>
      <c r="EB41" s="38"/>
      <c r="EC41" s="38"/>
      <c r="ED41" s="38"/>
      <c r="EE41" s="38"/>
      <c r="EF41" s="38"/>
      <c r="EG41" s="38"/>
      <c r="EH41" s="38"/>
      <c r="EI41" s="38"/>
      <c r="EJ41" s="37"/>
      <c r="EK41" s="38"/>
      <c r="EL41" s="38"/>
      <c r="EM41" s="38"/>
      <c r="EN41" s="38"/>
      <c r="EO41" s="38"/>
      <c r="EP41" s="38"/>
      <c r="EQ41" s="38"/>
      <c r="ER41" s="38"/>
      <c r="ES41" s="38"/>
      <c r="ET41" s="37"/>
      <c r="EU41" s="38"/>
      <c r="EV41" s="38"/>
      <c r="EW41" s="38"/>
      <c r="EX41" s="38"/>
      <c r="EY41" s="38"/>
      <c r="EZ41" s="38"/>
      <c r="FA41" s="38"/>
      <c r="FB41" s="38"/>
      <c r="FC41" s="38"/>
      <c r="FD41" s="37"/>
      <c r="FE41" s="38"/>
      <c r="FF41" s="38"/>
      <c r="FG41" s="38"/>
      <c r="FH41" s="38"/>
      <c r="FI41" s="38"/>
      <c r="FJ41" s="38"/>
      <c r="FK41" s="38"/>
      <c r="FL41" s="268"/>
      <c r="FM41" s="268"/>
      <c r="FN41" s="268"/>
      <c r="FO41" s="268"/>
      <c r="FP41" s="268"/>
      <c r="FQ41" s="268"/>
      <c r="FR41" s="268"/>
      <c r="FS41" s="268"/>
      <c r="FT41" s="268"/>
      <c r="FU41" s="268"/>
      <c r="FV41" s="268"/>
      <c r="FW41" s="268"/>
      <c r="FX41" s="37"/>
      <c r="FY41" s="38"/>
      <c r="FZ41" s="38"/>
      <c r="GA41" s="38"/>
      <c r="GB41" s="38"/>
      <c r="GC41" s="3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37"/>
      <c r="HC41" s="38"/>
      <c r="HD41" s="38"/>
      <c r="HE41" s="38"/>
      <c r="HF41" s="38"/>
      <c r="HG41" s="38"/>
      <c r="HH41" s="38"/>
      <c r="HI41" s="38"/>
      <c r="HJ41" s="269"/>
      <c r="HK41" s="269"/>
      <c r="HL41" s="269"/>
      <c r="HM41" s="269"/>
      <c r="HN41" s="269"/>
      <c r="HO41" s="269"/>
      <c r="HP41" s="269"/>
      <c r="HQ41" s="269"/>
      <c r="HR41" s="269"/>
      <c r="HS41" s="269"/>
      <c r="HT41" s="269"/>
      <c r="HU41" s="269"/>
      <c r="HV41" s="37"/>
      <c r="HW41" s="38"/>
      <c r="HX41" s="38"/>
      <c r="HY41" s="38"/>
      <c r="HZ41" s="38"/>
      <c r="IA41" s="38"/>
      <c r="IB41" s="38"/>
      <c r="IC41" s="38"/>
      <c r="ID41" s="36"/>
      <c r="IE41" s="36"/>
      <c r="IF41" s="36"/>
      <c r="IG41" s="36"/>
      <c r="IH41" s="36"/>
      <c r="II41" s="36"/>
      <c r="IJ41" s="36"/>
      <c r="IK41" s="36"/>
      <c r="IL41" s="36"/>
      <c r="IM41" s="36"/>
      <c r="IN41" s="39"/>
    </row>
    <row r="42" spans="2:248" ht="15.75" thickTop="1" x14ac:dyDescent="0.25">
      <c r="AG42" s="178"/>
    </row>
    <row r="43" spans="2:248" ht="15.75" thickBot="1" x14ac:dyDescent="0.3"/>
    <row r="44" spans="2:24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1"/>
      <c r="CR44" s="74"/>
    </row>
    <row r="45" spans="2:248" ht="19.5" thickBot="1" x14ac:dyDescent="0.35">
      <c r="B45" s="272" t="s">
        <v>41</v>
      </c>
      <c r="C45" s="147" t="e">
        <f>C9</f>
        <v>#VALUE!</v>
      </c>
      <c r="D45" s="73"/>
      <c r="E45" s="73"/>
      <c r="F45" s="73"/>
      <c r="G45" s="73"/>
      <c r="H45" s="73"/>
      <c r="I45" s="73"/>
      <c r="J45" s="73"/>
      <c r="K45" s="73"/>
      <c r="L45" s="273"/>
      <c r="N45" s="879" t="s">
        <v>191</v>
      </c>
      <c r="O45" s="151"/>
      <c r="P45" s="95"/>
      <c r="Q45" s="251">
        <v>12</v>
      </c>
      <c r="R45" s="157">
        <f t="shared" ref="R45:AI45" si="120">Q45+6</f>
        <v>18</v>
      </c>
      <c r="S45" s="157">
        <f t="shared" si="120"/>
        <v>24</v>
      </c>
      <c r="T45" s="157">
        <f t="shared" si="120"/>
        <v>30</v>
      </c>
      <c r="U45" s="157">
        <f t="shared" si="120"/>
        <v>36</v>
      </c>
      <c r="V45" s="157">
        <f t="shared" si="120"/>
        <v>42</v>
      </c>
      <c r="W45" s="157">
        <f t="shared" si="120"/>
        <v>48</v>
      </c>
      <c r="X45" s="157">
        <f t="shared" si="120"/>
        <v>54</v>
      </c>
      <c r="Y45" s="157">
        <f t="shared" si="120"/>
        <v>60</v>
      </c>
      <c r="Z45" s="157">
        <f t="shared" si="120"/>
        <v>66</v>
      </c>
      <c r="AA45" s="157">
        <f t="shared" si="120"/>
        <v>72</v>
      </c>
      <c r="AB45" s="157">
        <f t="shared" si="120"/>
        <v>78</v>
      </c>
      <c r="AC45" s="157">
        <f t="shared" si="120"/>
        <v>84</v>
      </c>
      <c r="AD45" s="157">
        <f t="shared" si="120"/>
        <v>90</v>
      </c>
      <c r="AE45" s="157">
        <f t="shared" si="120"/>
        <v>96</v>
      </c>
      <c r="AF45" s="157">
        <f t="shared" si="120"/>
        <v>102</v>
      </c>
      <c r="AG45" s="157">
        <f t="shared" si="120"/>
        <v>108</v>
      </c>
      <c r="AH45" s="157">
        <f t="shared" si="120"/>
        <v>114</v>
      </c>
      <c r="AI45" s="157">
        <f t="shared" si="120"/>
        <v>120</v>
      </c>
      <c r="AJ45" s="150"/>
      <c r="AK45" s="150"/>
      <c r="AL45" s="150"/>
      <c r="AM45" s="150"/>
      <c r="AN45" s="150"/>
      <c r="AO45" s="150"/>
      <c r="AP45" s="158"/>
    </row>
    <row r="46" spans="2:248" ht="18.75" customHeight="1" thickBot="1" x14ac:dyDescent="0.35">
      <c r="B46" s="228" t="s">
        <v>42</v>
      </c>
      <c r="C46" s="148" t="e">
        <f>F9</f>
        <v>#VALUE!</v>
      </c>
      <c r="E46" s="71"/>
      <c r="F46" s="71"/>
      <c r="G46" s="71"/>
      <c r="H46" s="71"/>
      <c r="I46" s="71"/>
      <c r="J46" s="71"/>
      <c r="K46" s="71"/>
      <c r="L46" s="75"/>
      <c r="N46" s="880"/>
      <c r="O46" s="67"/>
      <c r="P46" s="300">
        <v>1</v>
      </c>
      <c r="Q46" s="357">
        <v>2</v>
      </c>
      <c r="R46" s="358">
        <v>3</v>
      </c>
      <c r="S46" s="358">
        <v>4</v>
      </c>
      <c r="T46" s="358">
        <v>5</v>
      </c>
      <c r="U46" s="358">
        <v>6</v>
      </c>
      <c r="V46" s="358">
        <v>7</v>
      </c>
      <c r="W46" s="358">
        <v>8</v>
      </c>
      <c r="X46" s="358">
        <v>9</v>
      </c>
      <c r="Y46" s="358">
        <v>10</v>
      </c>
      <c r="Z46" s="358">
        <v>11</v>
      </c>
      <c r="AA46" s="358">
        <v>12</v>
      </c>
      <c r="AB46" s="358">
        <v>13</v>
      </c>
      <c r="AC46" s="358">
        <v>14</v>
      </c>
      <c r="AD46" s="358">
        <v>15</v>
      </c>
      <c r="AE46" s="358">
        <v>16</v>
      </c>
      <c r="AF46" s="358">
        <v>17</v>
      </c>
      <c r="AG46" s="358">
        <v>18</v>
      </c>
      <c r="AH46" s="358">
        <v>19</v>
      </c>
      <c r="AI46" s="358">
        <v>20</v>
      </c>
      <c r="AJ46" s="68"/>
      <c r="AK46" s="68"/>
      <c r="AL46" s="68"/>
      <c r="AM46" s="68"/>
      <c r="AN46" s="68"/>
      <c r="AO46" s="68"/>
      <c r="AP46" s="69"/>
    </row>
    <row r="47" spans="2:248" ht="21.75" thickBot="1" x14ac:dyDescent="0.4">
      <c r="B47" s="912" t="s">
        <v>77</v>
      </c>
      <c r="C47" s="906"/>
      <c r="D47" s="71"/>
      <c r="E47" s="71"/>
      <c r="F47" s="71"/>
      <c r="G47" s="71"/>
      <c r="H47" s="71"/>
      <c r="I47" s="71"/>
      <c r="J47" s="71"/>
      <c r="K47" s="71"/>
      <c r="L47" s="75"/>
      <c r="N47" s="176"/>
      <c r="O47" s="251">
        <f>F12</f>
        <v>15.75</v>
      </c>
      <c r="P47" s="301">
        <v>2</v>
      </c>
      <c r="Q47" s="353">
        <v>7.41</v>
      </c>
      <c r="R47" s="354">
        <v>10.3</v>
      </c>
      <c r="S47" s="354">
        <v>13.2</v>
      </c>
      <c r="T47" s="354">
        <v>16.09</v>
      </c>
      <c r="U47" s="354">
        <v>18.98</v>
      </c>
      <c r="V47" s="354">
        <v>21.88</v>
      </c>
      <c r="W47" s="354">
        <v>24.77</v>
      </c>
      <c r="X47" s="354">
        <v>27.66</v>
      </c>
      <c r="Y47" s="354">
        <v>30.56</v>
      </c>
      <c r="Z47" s="354">
        <v>33.450000000000003</v>
      </c>
      <c r="AA47" s="354">
        <v>36.340000000000003</v>
      </c>
      <c r="AB47" s="338"/>
      <c r="AC47" s="338"/>
      <c r="AD47" s="338"/>
      <c r="AE47" s="338"/>
      <c r="AF47" s="338"/>
      <c r="AG47" s="338"/>
      <c r="AH47" s="338"/>
      <c r="AI47" s="338"/>
      <c r="AJ47" s="150"/>
      <c r="AK47" s="64"/>
      <c r="AL47" s="64"/>
      <c r="AM47" s="64"/>
      <c r="AN47" s="64"/>
      <c r="AO47" s="64"/>
      <c r="AP47" s="158"/>
    </row>
    <row r="48" spans="2:248" ht="15" customHeight="1" thickBot="1" x14ac:dyDescent="0.3">
      <c r="B48" s="78"/>
      <c r="D48" s="71"/>
      <c r="E48" s="71"/>
      <c r="F48" s="71"/>
      <c r="G48" s="71"/>
      <c r="H48" s="71"/>
      <c r="I48" s="71"/>
      <c r="J48" s="71"/>
      <c r="K48" s="71"/>
      <c r="L48" s="75"/>
      <c r="N48" s="103">
        <v>3.01</v>
      </c>
      <c r="O48" s="162">
        <v>18</v>
      </c>
      <c r="P48" s="302">
        <v>3</v>
      </c>
      <c r="Q48" s="336">
        <v>8.02</v>
      </c>
      <c r="R48" s="153">
        <v>11.03</v>
      </c>
      <c r="S48" s="153">
        <f t="shared" ref="S48:AA48" si="121">R48+$N48</f>
        <v>14.04</v>
      </c>
      <c r="T48" s="153">
        <f t="shared" si="121"/>
        <v>17.049999999999997</v>
      </c>
      <c r="U48" s="153">
        <f t="shared" si="121"/>
        <v>20.059999999999995</v>
      </c>
      <c r="V48" s="153">
        <f t="shared" si="121"/>
        <v>23.069999999999993</v>
      </c>
      <c r="W48" s="153">
        <f t="shared" si="121"/>
        <v>26.079999999999991</v>
      </c>
      <c r="X48" s="153">
        <f t="shared" si="121"/>
        <v>29.089999999999989</v>
      </c>
      <c r="Y48" s="153">
        <f t="shared" si="121"/>
        <v>32.099999999999987</v>
      </c>
      <c r="Z48" s="153">
        <f t="shared" si="121"/>
        <v>35.109999999999985</v>
      </c>
      <c r="AA48" s="153">
        <f t="shared" si="121"/>
        <v>38.119999999999983</v>
      </c>
      <c r="AB48" s="206"/>
      <c r="AC48" s="206"/>
      <c r="AD48" s="206"/>
      <c r="AE48" s="206"/>
      <c r="AF48" s="206"/>
      <c r="AG48" s="206"/>
      <c r="AH48" s="206"/>
      <c r="AI48" s="206"/>
      <c r="AJ48" s="96"/>
      <c r="AK48" s="355"/>
      <c r="AL48" s="355" t="e">
        <f>D51</f>
        <v>#VALUE!</v>
      </c>
      <c r="AM48" s="356" t="e">
        <f>C45</f>
        <v>#VALUE!</v>
      </c>
      <c r="AN48" s="355" t="e">
        <f>E51</f>
        <v>#VALUE!</v>
      </c>
      <c r="AO48" s="64"/>
      <c r="AP48" s="65"/>
      <c r="BZ48" s="83"/>
      <c r="CA48" s="83"/>
      <c r="CB48" s="83"/>
      <c r="CC48" s="83"/>
      <c r="CD48" s="83"/>
      <c r="CE48" s="83"/>
      <c r="CF48" s="83"/>
      <c r="CG48" s="83"/>
    </row>
    <row r="49" spans="2:86" ht="15" customHeight="1" thickBot="1" x14ac:dyDescent="0.3">
      <c r="B49" s="78"/>
      <c r="C49" s="124"/>
      <c r="D49" s="125" t="s">
        <v>35</v>
      </c>
      <c r="E49" s="126"/>
      <c r="F49" s="126"/>
      <c r="G49" s="128"/>
      <c r="H49" s="125" t="s">
        <v>36</v>
      </c>
      <c r="I49" s="127"/>
      <c r="J49" s="71"/>
      <c r="K49" s="71"/>
      <c r="L49" s="75"/>
      <c r="N49" s="103">
        <v>3.870000000000001</v>
      </c>
      <c r="O49" s="162">
        <f t="shared" ref="O49:O65" si="122">O48+6</f>
        <v>24</v>
      </c>
      <c r="P49" s="302">
        <v>4</v>
      </c>
      <c r="Q49" s="336">
        <v>10.45</v>
      </c>
      <c r="R49" s="153">
        <v>14.32</v>
      </c>
      <c r="S49" s="153">
        <f t="shared" ref="S49:AA49" si="123">R49+$N49</f>
        <v>18.190000000000001</v>
      </c>
      <c r="T49" s="153">
        <f t="shared" si="123"/>
        <v>22.060000000000002</v>
      </c>
      <c r="U49" s="153">
        <f t="shared" si="123"/>
        <v>25.930000000000003</v>
      </c>
      <c r="V49" s="153">
        <f t="shared" si="123"/>
        <v>29.800000000000004</v>
      </c>
      <c r="W49" s="153">
        <f t="shared" si="123"/>
        <v>33.67</v>
      </c>
      <c r="X49" s="153">
        <f t="shared" si="123"/>
        <v>37.540000000000006</v>
      </c>
      <c r="Y49" s="153">
        <f t="shared" si="123"/>
        <v>41.410000000000011</v>
      </c>
      <c r="Z49" s="153">
        <f t="shared" si="123"/>
        <v>45.280000000000015</v>
      </c>
      <c r="AA49" s="153">
        <f t="shared" si="123"/>
        <v>49.15000000000002</v>
      </c>
      <c r="AB49" s="206"/>
      <c r="AC49" s="206"/>
      <c r="AD49" s="206"/>
      <c r="AE49" s="206"/>
      <c r="AF49" s="206"/>
      <c r="AG49" s="206"/>
      <c r="AH49" s="206"/>
      <c r="AI49" s="206"/>
      <c r="AJ49" s="64"/>
      <c r="AK49" s="154" t="e">
        <f>H51</f>
        <v>#VALUE!</v>
      </c>
      <c r="AL49" s="155" t="e">
        <f>INDEX(P46:AI65,$H$52,$D$52)</f>
        <v>#VALUE!</v>
      </c>
      <c r="AM49" s="155" t="e">
        <f>(((AM48-AL48)/(AN48-AL48))*(AN49-AL49))+AL49</f>
        <v>#VALUE!</v>
      </c>
      <c r="AN49" s="155" t="e">
        <f>INDEX(P46:AI65,$H$52,$E$52)</f>
        <v>#VALUE!</v>
      </c>
      <c r="AO49" s="64"/>
      <c r="AP49" s="65"/>
      <c r="BZ49" s="83"/>
      <c r="CA49" s="83"/>
      <c r="CB49" s="83"/>
      <c r="CC49" s="83"/>
      <c r="CD49" s="83"/>
      <c r="CE49" s="83"/>
      <c r="CF49" s="83"/>
      <c r="CG49" s="83"/>
    </row>
    <row r="50" spans="2:86" ht="16.5" thickBot="1" x14ac:dyDescent="0.3">
      <c r="B50" s="78"/>
      <c r="C50" s="120"/>
      <c r="D50" s="121" t="s">
        <v>78</v>
      </c>
      <c r="E50" s="122" t="s">
        <v>79</v>
      </c>
      <c r="F50" s="122"/>
      <c r="G50" s="129"/>
      <c r="H50" s="121" t="s">
        <v>78</v>
      </c>
      <c r="I50" s="123" t="s">
        <v>79</v>
      </c>
      <c r="J50" s="71"/>
      <c r="K50" s="71"/>
      <c r="L50" s="75"/>
      <c r="N50" s="103">
        <v>4.2600000000000016</v>
      </c>
      <c r="O50" s="162">
        <f t="shared" si="122"/>
        <v>30</v>
      </c>
      <c r="P50" s="302">
        <v>5</v>
      </c>
      <c r="Q50" s="336">
        <v>12.09</v>
      </c>
      <c r="R50" s="153">
        <v>16.350000000000001</v>
      </c>
      <c r="S50" s="153">
        <f t="shared" ref="S50:AA50" si="124">R50+$N50</f>
        <v>20.610000000000003</v>
      </c>
      <c r="T50" s="153">
        <f t="shared" si="124"/>
        <v>24.870000000000005</v>
      </c>
      <c r="U50" s="153">
        <f t="shared" si="124"/>
        <v>29.130000000000006</v>
      </c>
      <c r="V50" s="153">
        <f t="shared" si="124"/>
        <v>33.390000000000008</v>
      </c>
      <c r="W50" s="153">
        <f t="shared" si="124"/>
        <v>37.650000000000006</v>
      </c>
      <c r="X50" s="153">
        <f t="shared" si="124"/>
        <v>41.910000000000011</v>
      </c>
      <c r="Y50" s="153">
        <f t="shared" si="124"/>
        <v>46.170000000000016</v>
      </c>
      <c r="Z50" s="153">
        <f t="shared" si="124"/>
        <v>50.430000000000021</v>
      </c>
      <c r="AA50" s="153">
        <f t="shared" si="124"/>
        <v>54.690000000000026</v>
      </c>
      <c r="AB50" s="206"/>
      <c r="AC50" s="206"/>
      <c r="AD50" s="206"/>
      <c r="AE50" s="206"/>
      <c r="AF50" s="206"/>
      <c r="AG50" s="206"/>
      <c r="AH50" s="206"/>
      <c r="AI50" s="206"/>
      <c r="AJ50" s="64"/>
      <c r="AK50" s="154" t="e">
        <f>C46</f>
        <v>#VALUE!</v>
      </c>
      <c r="AL50" s="155" t="e">
        <f>(((AK50-AK49)/(AK51-AK49))*(AL51-AL49))+AL49</f>
        <v>#VALUE!</v>
      </c>
      <c r="AM50" s="156" t="e">
        <f>IF(AND(AM48&gt;72,AK50&gt;72),5/0,IF(AM48=120,AL50,(((AM49-AL49)/(AN49-AL49))*(AN50-AL50))+AL50))</f>
        <v>#VALUE!</v>
      </c>
      <c r="AN50" s="155" t="e">
        <f>(((AK50-AK49)/(AK51-AK49))*(AN51-AN49))+AN49</f>
        <v>#VALUE!</v>
      </c>
      <c r="AO50" s="64"/>
      <c r="AP50" s="65"/>
      <c r="BZ50" s="83"/>
      <c r="CA50" s="83"/>
      <c r="CB50" s="83"/>
      <c r="CC50" s="83"/>
      <c r="CD50" s="83"/>
      <c r="CE50" s="83"/>
      <c r="CF50" s="83"/>
      <c r="CG50" s="83"/>
    </row>
    <row r="51" spans="2:86" ht="16.5" thickBot="1" x14ac:dyDescent="0.3">
      <c r="B51" s="78"/>
      <c r="C51" s="118"/>
      <c r="D51" s="116" t="e">
        <f>FLOOR(C45/6,1)*6</f>
        <v>#VALUE!</v>
      </c>
      <c r="E51" s="112" t="e">
        <f>D51+6</f>
        <v>#VALUE!</v>
      </c>
      <c r="F51" s="112"/>
      <c r="G51" s="130"/>
      <c r="H51" s="116" t="e">
        <f>IF(AND(C46&lt;18,C46&gt;=F12),F12,FLOOR(C46/6,1)*6)</f>
        <v>#VALUE!</v>
      </c>
      <c r="I51" s="113" t="e">
        <f>IF(H51&lt;18,18,H51+6)</f>
        <v>#VALUE!</v>
      </c>
      <c r="J51" s="71"/>
      <c r="K51" s="71"/>
      <c r="L51" s="75"/>
      <c r="N51" s="103">
        <v>5.09</v>
      </c>
      <c r="O51" s="162">
        <f t="shared" si="122"/>
        <v>36</v>
      </c>
      <c r="P51" s="302">
        <v>6</v>
      </c>
      <c r="Q51" s="336">
        <v>14.5</v>
      </c>
      <c r="R51" s="153">
        <v>19.59</v>
      </c>
      <c r="S51" s="153">
        <f t="shared" ref="S51:AA51" si="125">R51+$N51</f>
        <v>24.68</v>
      </c>
      <c r="T51" s="153">
        <f t="shared" si="125"/>
        <v>29.77</v>
      </c>
      <c r="U51" s="153">
        <f t="shared" si="125"/>
        <v>34.86</v>
      </c>
      <c r="V51" s="153">
        <f t="shared" si="125"/>
        <v>39.950000000000003</v>
      </c>
      <c r="W51" s="153">
        <f t="shared" si="125"/>
        <v>45.040000000000006</v>
      </c>
      <c r="X51" s="153">
        <f t="shared" si="125"/>
        <v>50.13000000000001</v>
      </c>
      <c r="Y51" s="153">
        <f t="shared" si="125"/>
        <v>55.220000000000013</v>
      </c>
      <c r="Z51" s="153">
        <f t="shared" si="125"/>
        <v>60.310000000000016</v>
      </c>
      <c r="AA51" s="153">
        <f t="shared" si="125"/>
        <v>65.40000000000002</v>
      </c>
      <c r="AB51" s="206"/>
      <c r="AC51" s="206"/>
      <c r="AD51" s="206"/>
      <c r="AE51" s="206"/>
      <c r="AF51" s="206"/>
      <c r="AG51" s="206"/>
      <c r="AH51" s="206"/>
      <c r="AI51" s="206"/>
      <c r="AJ51" s="64"/>
      <c r="AK51" s="154" t="e">
        <f>I51</f>
        <v>#VALUE!</v>
      </c>
      <c r="AL51" s="155" t="e">
        <f>INDEX(P46:AI65,$I$52,$D$52)</f>
        <v>#VALUE!</v>
      </c>
      <c r="AM51" s="155" t="e">
        <f>(((AM48-AL48)/(AN48-AL48))*(AN51-AL51))+AL51</f>
        <v>#VALUE!</v>
      </c>
      <c r="AN51" s="155" t="e">
        <f>INDEX(P46:AI65,$I$52,$E$52)</f>
        <v>#VALUE!</v>
      </c>
      <c r="AO51" s="64"/>
      <c r="AP51" s="65"/>
      <c r="BZ51" s="83"/>
      <c r="CA51" s="83"/>
      <c r="CB51" s="83"/>
      <c r="CC51" s="83"/>
      <c r="CD51" s="83"/>
      <c r="CE51" s="83"/>
      <c r="CF51" s="83"/>
      <c r="CG51" s="83"/>
    </row>
    <row r="52" spans="2:86" ht="24" thickBot="1" x14ac:dyDescent="0.4">
      <c r="B52" s="78"/>
      <c r="C52" s="118" t="s">
        <v>37</v>
      </c>
      <c r="D52" s="116" t="e">
        <f>HLOOKUP(D51,C17:V18,2)</f>
        <v>#VALUE!</v>
      </c>
      <c r="E52" s="112" t="e">
        <f>HLOOKUP(E51,C17:V18,2)</f>
        <v>#VALUE!</v>
      </c>
      <c r="F52" s="112"/>
      <c r="G52" s="130" t="s">
        <v>38</v>
      </c>
      <c r="H52" s="116" t="e">
        <f>VLOOKUP(H51,B18:C37,2)</f>
        <v>#VALUE!</v>
      </c>
      <c r="I52" s="113" t="e">
        <f>VLOOKUP(I51,B18:C37,2)</f>
        <v>#VALUE!</v>
      </c>
      <c r="J52" s="71"/>
      <c r="K52" s="71"/>
      <c r="L52" s="75"/>
      <c r="N52" s="103">
        <v>5.9400000000000013</v>
      </c>
      <c r="O52" s="162">
        <f t="shared" si="122"/>
        <v>42</v>
      </c>
      <c r="P52" s="302">
        <v>7</v>
      </c>
      <c r="Q52" s="336">
        <v>16.899999999999999</v>
      </c>
      <c r="R52" s="153">
        <v>22.84</v>
      </c>
      <c r="S52" s="153">
        <f t="shared" ref="S52:AA52" si="126">R52+$N52</f>
        <v>28.78</v>
      </c>
      <c r="T52" s="153">
        <f t="shared" si="126"/>
        <v>34.72</v>
      </c>
      <c r="U52" s="153">
        <f t="shared" si="126"/>
        <v>40.659999999999997</v>
      </c>
      <c r="V52" s="153">
        <f t="shared" si="126"/>
        <v>46.599999999999994</v>
      </c>
      <c r="W52" s="153">
        <f t="shared" si="126"/>
        <v>52.539999999999992</v>
      </c>
      <c r="X52" s="153">
        <f t="shared" si="126"/>
        <v>58.47999999999999</v>
      </c>
      <c r="Y52" s="153">
        <f t="shared" si="126"/>
        <v>64.419999999999987</v>
      </c>
      <c r="Z52" s="153">
        <f t="shared" si="126"/>
        <v>70.359999999999985</v>
      </c>
      <c r="AA52" s="153">
        <f t="shared" si="126"/>
        <v>76.299999999999983</v>
      </c>
      <c r="AB52" s="206"/>
      <c r="AC52" s="206"/>
      <c r="AD52" s="206"/>
      <c r="AE52" s="206"/>
      <c r="AF52" s="206"/>
      <c r="AG52" s="206"/>
      <c r="AH52" s="206"/>
      <c r="AI52" s="206"/>
      <c r="AJ52" s="64"/>
      <c r="AK52" s="64"/>
      <c r="AL52" s="64"/>
      <c r="AM52" s="64"/>
      <c r="AN52" s="64"/>
      <c r="AO52" s="64"/>
      <c r="AP52" s="65"/>
      <c r="AR52" s="495"/>
      <c r="AS52" s="496"/>
      <c r="BZ52" s="83"/>
      <c r="CA52" s="83"/>
      <c r="CB52" s="83"/>
      <c r="CC52" s="83"/>
      <c r="CD52" s="83"/>
      <c r="CE52" s="83"/>
      <c r="CF52" s="83"/>
      <c r="CG52" s="83"/>
    </row>
    <row r="53" spans="2:86" ht="15.75" thickBot="1" x14ac:dyDescent="0.3">
      <c r="B53" s="78"/>
      <c r="C53" s="119"/>
      <c r="D53" s="117"/>
      <c r="E53" s="114"/>
      <c r="F53" s="114"/>
      <c r="G53" s="131"/>
      <c r="H53" s="117"/>
      <c r="I53" s="115"/>
      <c r="J53" s="71"/>
      <c r="K53" s="71"/>
      <c r="L53" s="75"/>
      <c r="N53" s="103">
        <v>6.8000000000000007</v>
      </c>
      <c r="O53" s="162">
        <f t="shared" si="122"/>
        <v>48</v>
      </c>
      <c r="P53" s="302">
        <v>8</v>
      </c>
      <c r="Q53" s="336">
        <v>19.329999999999998</v>
      </c>
      <c r="R53" s="153">
        <v>26.13</v>
      </c>
      <c r="S53" s="153">
        <f t="shared" ref="S53:AA53" si="127">R53+$N53</f>
        <v>32.93</v>
      </c>
      <c r="T53" s="153">
        <f t="shared" si="127"/>
        <v>39.730000000000004</v>
      </c>
      <c r="U53" s="153">
        <f t="shared" si="127"/>
        <v>46.53</v>
      </c>
      <c r="V53" s="153">
        <f t="shared" si="127"/>
        <v>53.33</v>
      </c>
      <c r="W53" s="153">
        <f t="shared" si="127"/>
        <v>60.129999999999995</v>
      </c>
      <c r="X53" s="153">
        <f t="shared" si="127"/>
        <v>66.929999999999993</v>
      </c>
      <c r="Y53" s="153">
        <f t="shared" si="127"/>
        <v>73.72999999999999</v>
      </c>
      <c r="Z53" s="153">
        <f t="shared" si="127"/>
        <v>80.529999999999987</v>
      </c>
      <c r="AA53" s="153">
        <f t="shared" si="127"/>
        <v>87.329999999999984</v>
      </c>
      <c r="AB53" s="206"/>
      <c r="AC53" s="206"/>
      <c r="AD53" s="206"/>
      <c r="AE53" s="206"/>
      <c r="AF53" s="206"/>
      <c r="AG53" s="206"/>
      <c r="AH53" s="206"/>
      <c r="AI53" s="206"/>
      <c r="AJ53" s="64"/>
      <c r="AK53" s="64"/>
      <c r="AL53" s="64"/>
      <c r="AM53" s="64"/>
      <c r="AN53" s="64"/>
      <c r="AO53" s="64"/>
      <c r="AP53" s="65"/>
      <c r="BZ53" s="83"/>
      <c r="CA53" s="83"/>
      <c r="CB53" s="83"/>
      <c r="CC53" s="83"/>
      <c r="CD53" s="83"/>
      <c r="CE53" s="83"/>
      <c r="CF53" s="83"/>
      <c r="CG53" s="83"/>
    </row>
    <row r="54" spans="2:86" ht="15.75" thickBot="1" x14ac:dyDescent="0.3">
      <c r="B54" s="78"/>
      <c r="C54" s="71"/>
      <c r="D54" s="71"/>
      <c r="E54" s="71"/>
      <c r="F54" s="71"/>
      <c r="G54" s="71"/>
      <c r="H54" s="71"/>
      <c r="I54" s="71"/>
      <c r="J54" s="71"/>
      <c r="K54" s="71"/>
      <c r="L54" s="75"/>
      <c r="N54" s="103">
        <v>7.18</v>
      </c>
      <c r="O54" s="162">
        <f t="shared" si="122"/>
        <v>54</v>
      </c>
      <c r="P54" s="302">
        <v>9</v>
      </c>
      <c r="Q54" s="336">
        <v>20.97</v>
      </c>
      <c r="R54" s="153">
        <v>28.15</v>
      </c>
      <c r="S54" s="153">
        <f t="shared" ref="S54:AA54" si="128">R54+$N54</f>
        <v>35.33</v>
      </c>
      <c r="T54" s="153">
        <f t="shared" si="128"/>
        <v>42.51</v>
      </c>
      <c r="U54" s="153">
        <f t="shared" si="128"/>
        <v>49.69</v>
      </c>
      <c r="V54" s="153">
        <f t="shared" si="128"/>
        <v>56.87</v>
      </c>
      <c r="W54" s="153">
        <f t="shared" si="128"/>
        <v>64.05</v>
      </c>
      <c r="X54" s="153">
        <f t="shared" si="128"/>
        <v>71.22999999999999</v>
      </c>
      <c r="Y54" s="153">
        <f t="shared" si="128"/>
        <v>78.41</v>
      </c>
      <c r="Z54" s="153">
        <f t="shared" si="128"/>
        <v>85.59</v>
      </c>
      <c r="AA54" s="153">
        <f t="shared" si="128"/>
        <v>92.77000000000001</v>
      </c>
      <c r="AB54" s="206"/>
      <c r="AC54" s="206"/>
      <c r="AD54" s="206"/>
      <c r="AE54" s="206"/>
      <c r="AF54" s="206"/>
      <c r="AG54" s="206"/>
      <c r="AH54" s="206"/>
      <c r="AI54" s="206"/>
      <c r="AJ54" s="64"/>
      <c r="AK54" s="64"/>
      <c r="AL54" s="64"/>
      <c r="AM54" s="64"/>
      <c r="AN54" s="64"/>
      <c r="AO54" s="64"/>
      <c r="AP54" s="65"/>
      <c r="BZ54" s="83"/>
      <c r="CA54" s="83"/>
      <c r="CB54" s="83"/>
      <c r="CC54" s="83"/>
      <c r="CD54" s="83"/>
      <c r="CE54" s="83"/>
      <c r="CF54" s="83"/>
      <c r="CG54" s="83"/>
    </row>
    <row r="55" spans="2:86" ht="21.75" thickBot="1" x14ac:dyDescent="0.4">
      <c r="B55" s="229" t="s">
        <v>71</v>
      </c>
      <c r="C55" s="71"/>
      <c r="E55" s="71"/>
      <c r="F55" s="71"/>
      <c r="G55" s="71"/>
      <c r="H55" s="71"/>
      <c r="I55" s="71"/>
      <c r="J55" s="71"/>
      <c r="K55" s="71"/>
      <c r="L55" s="75"/>
      <c r="N55" s="103">
        <v>8.02</v>
      </c>
      <c r="O55" s="162">
        <f t="shared" si="122"/>
        <v>60</v>
      </c>
      <c r="P55" s="302">
        <v>10</v>
      </c>
      <c r="Q55" s="336">
        <v>23.38</v>
      </c>
      <c r="R55" s="153">
        <v>31.4</v>
      </c>
      <c r="S55" s="153">
        <f t="shared" ref="S55:AA55" si="129">R55+$N55</f>
        <v>39.42</v>
      </c>
      <c r="T55" s="153">
        <f t="shared" si="129"/>
        <v>47.44</v>
      </c>
      <c r="U55" s="153">
        <f t="shared" si="129"/>
        <v>55.459999999999994</v>
      </c>
      <c r="V55" s="153">
        <f t="shared" si="129"/>
        <v>63.47999999999999</v>
      </c>
      <c r="W55" s="153">
        <f t="shared" si="129"/>
        <v>71.499999999999986</v>
      </c>
      <c r="X55" s="153">
        <f t="shared" si="129"/>
        <v>79.519999999999982</v>
      </c>
      <c r="Y55" s="153">
        <f t="shared" si="129"/>
        <v>87.539999999999978</v>
      </c>
      <c r="Z55" s="153">
        <f t="shared" si="129"/>
        <v>95.559999999999974</v>
      </c>
      <c r="AA55" s="153">
        <f t="shared" si="129"/>
        <v>103.57999999999997</v>
      </c>
      <c r="AB55" s="206"/>
      <c r="AC55" s="206"/>
      <c r="AD55" s="206"/>
      <c r="AE55" s="206"/>
      <c r="AF55" s="206"/>
      <c r="AG55" s="206"/>
      <c r="AH55" s="206"/>
      <c r="AI55" s="206"/>
      <c r="AJ55" s="64"/>
      <c r="AK55" s="64"/>
      <c r="AL55" s="64"/>
      <c r="AM55" s="64"/>
      <c r="AN55" s="64"/>
      <c r="AO55" s="64"/>
      <c r="AP55" s="65"/>
      <c r="BZ55" s="83"/>
      <c r="CA55" s="83"/>
      <c r="CB55" s="83"/>
      <c r="CC55" s="83"/>
      <c r="CD55" s="83"/>
      <c r="CE55" s="83"/>
      <c r="CF55" s="83"/>
      <c r="CG55" s="83"/>
    </row>
    <row r="56" spans="2:86" ht="16.5" thickBot="1" x14ac:dyDescent="0.3">
      <c r="B56" s="78"/>
      <c r="C56" s="71"/>
      <c r="D56" s="109"/>
      <c r="E56" s="109" t="e">
        <f>D51</f>
        <v>#VALUE!</v>
      </c>
      <c r="F56" s="132" t="e">
        <f>C45</f>
        <v>#VALUE!</v>
      </c>
      <c r="G56" s="109" t="e">
        <f>E51</f>
        <v>#VALUE!</v>
      </c>
      <c r="H56" s="71"/>
      <c r="I56" s="71"/>
      <c r="J56" s="71"/>
      <c r="K56" s="71"/>
      <c r="L56" s="75"/>
      <c r="N56" s="103">
        <v>8.8699999999999974</v>
      </c>
      <c r="O56" s="162">
        <f t="shared" si="122"/>
        <v>66</v>
      </c>
      <c r="P56" s="302">
        <v>11</v>
      </c>
      <c r="Q56" s="336">
        <v>25.78</v>
      </c>
      <c r="R56" s="153">
        <v>34.65</v>
      </c>
      <c r="S56" s="153">
        <f t="shared" ref="S56:AA56" si="130">R56+$N56</f>
        <v>43.519999999999996</v>
      </c>
      <c r="T56" s="153">
        <f t="shared" si="130"/>
        <v>52.389999999999993</v>
      </c>
      <c r="U56" s="153">
        <f t="shared" si="130"/>
        <v>61.259999999999991</v>
      </c>
      <c r="V56" s="153">
        <f t="shared" si="130"/>
        <v>70.13</v>
      </c>
      <c r="W56" s="153">
        <f t="shared" si="130"/>
        <v>79</v>
      </c>
      <c r="X56" s="153">
        <f t="shared" si="130"/>
        <v>87.87</v>
      </c>
      <c r="Y56" s="153">
        <f t="shared" si="130"/>
        <v>96.740000000000009</v>
      </c>
      <c r="Z56" s="153">
        <f t="shared" si="130"/>
        <v>105.61000000000001</v>
      </c>
      <c r="AA56" s="153">
        <f t="shared" si="130"/>
        <v>114.48000000000002</v>
      </c>
      <c r="AB56" s="206"/>
      <c r="AC56" s="206"/>
      <c r="AD56" s="206"/>
      <c r="AE56" s="206"/>
      <c r="AF56" s="206"/>
      <c r="AG56" s="206"/>
      <c r="AH56" s="206"/>
      <c r="AI56" s="206"/>
      <c r="AJ56" s="64"/>
      <c r="AK56" s="64"/>
      <c r="AL56" s="270" t="s">
        <v>212</v>
      </c>
      <c r="AM56" s="304"/>
      <c r="AN56" s="249" t="e">
        <f>AM50</f>
        <v>#VALUE!</v>
      </c>
      <c r="AO56" s="64" t="s">
        <v>86</v>
      </c>
      <c r="AP56" s="65"/>
      <c r="BZ56" s="83"/>
      <c r="CA56" s="83"/>
      <c r="CB56" s="83"/>
      <c r="CC56" s="83"/>
      <c r="CD56" s="83"/>
      <c r="CE56" s="83"/>
      <c r="CF56" s="83"/>
      <c r="CG56" s="83"/>
    </row>
    <row r="57" spans="2:86" ht="16.5" thickBot="1" x14ac:dyDescent="0.3">
      <c r="B57" s="78"/>
      <c r="C57" s="71"/>
      <c r="D57" s="109" t="e">
        <f>H51</f>
        <v>#VALUE!</v>
      </c>
      <c r="E57" s="133" t="e">
        <f>INDEX(C18:V37,$H$52,$D$52)</f>
        <v>#VALUE!</v>
      </c>
      <c r="F57" s="133" t="e">
        <f>(((F56-E56)/(G56-E56))*(G57-E57))+E57</f>
        <v>#VALUE!</v>
      </c>
      <c r="G57" s="133" t="e">
        <f>INDEX(C18:V37,$H$52,$E$52)</f>
        <v>#VALUE!</v>
      </c>
      <c r="H57" s="71"/>
      <c r="I57" s="71"/>
      <c r="J57" s="71"/>
      <c r="K57" s="71"/>
      <c r="L57" s="75"/>
      <c r="N57" s="103">
        <v>9.7199999999999989</v>
      </c>
      <c r="O57" s="162">
        <f t="shared" si="122"/>
        <v>72</v>
      </c>
      <c r="P57" s="302">
        <v>12</v>
      </c>
      <c r="Q57" s="336">
        <v>28.21</v>
      </c>
      <c r="R57" s="153">
        <v>37.93</v>
      </c>
      <c r="S57" s="153">
        <f t="shared" ref="S57:AA57" si="131">R57+$N57</f>
        <v>47.65</v>
      </c>
      <c r="T57" s="153">
        <f t="shared" si="131"/>
        <v>57.37</v>
      </c>
      <c r="U57" s="153">
        <f t="shared" si="131"/>
        <v>67.09</v>
      </c>
      <c r="V57" s="153">
        <f t="shared" si="131"/>
        <v>76.81</v>
      </c>
      <c r="W57" s="153">
        <f t="shared" si="131"/>
        <v>86.53</v>
      </c>
      <c r="X57" s="153">
        <f t="shared" si="131"/>
        <v>96.25</v>
      </c>
      <c r="Y57" s="153">
        <f t="shared" si="131"/>
        <v>105.97</v>
      </c>
      <c r="Z57" s="153">
        <f t="shared" si="131"/>
        <v>115.69</v>
      </c>
      <c r="AA57" s="153">
        <f t="shared" si="131"/>
        <v>125.41</v>
      </c>
      <c r="AB57" s="206"/>
      <c r="AC57" s="206"/>
      <c r="AD57" s="206"/>
      <c r="AE57" s="206"/>
      <c r="AF57" s="206"/>
      <c r="AG57" s="206"/>
      <c r="AH57" s="206"/>
      <c r="AI57" s="206"/>
      <c r="AJ57" s="64"/>
      <c r="AK57" s="64"/>
      <c r="AL57" s="270" t="s">
        <v>213</v>
      </c>
      <c r="AM57" s="304"/>
      <c r="AN57" s="303" t="e">
        <f>AN56*C11</f>
        <v>#VALUE!</v>
      </c>
      <c r="AO57" s="64" t="s">
        <v>86</v>
      </c>
      <c r="AP57" s="65"/>
      <c r="BZ57" s="83"/>
      <c r="CA57" s="83"/>
      <c r="CB57" s="83"/>
      <c r="CC57" s="83"/>
      <c r="CD57" s="83"/>
      <c r="CE57" s="83"/>
      <c r="CF57" s="83"/>
      <c r="CG57" s="83"/>
    </row>
    <row r="58" spans="2:86"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10.11</v>
      </c>
      <c r="O58" s="162">
        <f t="shared" si="122"/>
        <v>78</v>
      </c>
      <c r="P58" s="302">
        <v>13</v>
      </c>
      <c r="Q58" s="336">
        <v>29.85</v>
      </c>
      <c r="R58" s="153">
        <v>39.96</v>
      </c>
      <c r="S58" s="153">
        <f t="shared" ref="S58:AA58" si="132">R58+$N58</f>
        <v>50.07</v>
      </c>
      <c r="T58" s="153">
        <f t="shared" si="132"/>
        <v>60.18</v>
      </c>
      <c r="U58" s="153">
        <f t="shared" si="132"/>
        <v>70.289999999999992</v>
      </c>
      <c r="V58" s="153">
        <f t="shared" si="132"/>
        <v>80.399999999999991</v>
      </c>
      <c r="W58" s="153">
        <f t="shared" si="132"/>
        <v>90.509999999999991</v>
      </c>
      <c r="X58" s="153">
        <f t="shared" si="132"/>
        <v>100.61999999999999</v>
      </c>
      <c r="Y58" s="153">
        <f t="shared" si="132"/>
        <v>110.72999999999999</v>
      </c>
      <c r="Z58" s="153">
        <f t="shared" si="132"/>
        <v>120.83999999999999</v>
      </c>
      <c r="AA58" s="153">
        <f t="shared" si="132"/>
        <v>130.94999999999999</v>
      </c>
      <c r="AB58" s="206"/>
      <c r="AC58" s="206"/>
      <c r="AD58" s="206"/>
      <c r="AE58" s="206"/>
      <c r="AF58" s="206"/>
      <c r="AG58" s="206"/>
      <c r="AH58" s="206"/>
      <c r="AI58" s="206"/>
      <c r="AJ58" s="64"/>
      <c r="AK58" s="64"/>
      <c r="AL58" s="64"/>
      <c r="AM58" s="303"/>
      <c r="AN58" s="303"/>
      <c r="AO58" s="64"/>
      <c r="AP58" s="65"/>
      <c r="BZ58" s="83"/>
      <c r="CA58" s="83"/>
      <c r="CB58" s="83"/>
      <c r="CC58" s="83"/>
      <c r="CD58" s="83"/>
      <c r="CE58" s="83"/>
      <c r="CF58" s="83"/>
      <c r="CG58" s="83"/>
    </row>
    <row r="59" spans="2:86" ht="16.5" thickBot="1" x14ac:dyDescent="0.3">
      <c r="B59" s="78"/>
      <c r="C59" s="71"/>
      <c r="D59" s="109" t="e">
        <f>I51</f>
        <v>#VALUE!</v>
      </c>
      <c r="E59" s="133" t="e">
        <f>INDEX(C18:V37,$I$52,$D$52)</f>
        <v>#VALUE!</v>
      </c>
      <c r="F59" s="133" t="e">
        <f>(((F56-E56)/(G56-E56))*(G59-E59))+E59</f>
        <v>#VALUE!</v>
      </c>
      <c r="G59" s="133" t="e">
        <f>INDEX(C18:V37,$I$52,$E$52)</f>
        <v>#VALUE!</v>
      </c>
      <c r="H59" s="71"/>
      <c r="I59" s="71"/>
      <c r="J59" s="71"/>
      <c r="K59" s="71"/>
      <c r="L59" s="75"/>
      <c r="N59" s="103">
        <v>10.950000000000003</v>
      </c>
      <c r="O59" s="162">
        <f t="shared" si="122"/>
        <v>84</v>
      </c>
      <c r="P59" s="302">
        <v>14</v>
      </c>
      <c r="Q59" s="336">
        <v>32.26</v>
      </c>
      <c r="R59" s="153">
        <v>43.21</v>
      </c>
      <c r="S59" s="153">
        <f t="shared" ref="S59:AA59" si="133">R59+$N59</f>
        <v>54.160000000000004</v>
      </c>
      <c r="T59" s="153">
        <f t="shared" si="133"/>
        <v>65.110000000000014</v>
      </c>
      <c r="U59" s="153">
        <f t="shared" si="133"/>
        <v>76.060000000000016</v>
      </c>
      <c r="V59" s="153">
        <f t="shared" si="133"/>
        <v>87.010000000000019</v>
      </c>
      <c r="W59" s="153">
        <f t="shared" si="133"/>
        <v>97.960000000000022</v>
      </c>
      <c r="X59" s="153">
        <f t="shared" si="133"/>
        <v>108.91000000000003</v>
      </c>
      <c r="Y59" s="153">
        <f t="shared" si="133"/>
        <v>119.86000000000003</v>
      </c>
      <c r="Z59" s="153">
        <f t="shared" si="133"/>
        <v>130.81000000000003</v>
      </c>
      <c r="AA59" s="153">
        <f t="shared" si="133"/>
        <v>141.76000000000005</v>
      </c>
      <c r="AB59" s="206"/>
      <c r="AC59" s="206"/>
      <c r="AD59" s="206"/>
      <c r="AE59" s="206"/>
      <c r="AF59" s="206"/>
      <c r="AG59" s="206"/>
      <c r="AH59" s="206"/>
      <c r="AI59" s="206"/>
      <c r="AJ59" s="64"/>
      <c r="AK59" s="64"/>
      <c r="AL59" s="64"/>
      <c r="AM59" s="303"/>
      <c r="AN59" s="303"/>
      <c r="AO59" s="64"/>
      <c r="AP59" s="97"/>
      <c r="BZ59" s="83"/>
      <c r="CA59" s="83"/>
      <c r="CB59" s="83"/>
      <c r="CC59" s="83"/>
      <c r="CD59" s="83"/>
      <c r="CE59" s="83"/>
      <c r="CF59" s="83"/>
      <c r="CG59" s="83"/>
      <c r="CH59" s="83"/>
    </row>
    <row r="60" spans="2:86" ht="15.75" thickBot="1" x14ac:dyDescent="0.3">
      <c r="B60" s="78"/>
      <c r="C60" s="71"/>
      <c r="D60" s="71"/>
      <c r="E60" s="71"/>
      <c r="F60" s="71"/>
      <c r="G60" s="71"/>
      <c r="H60" s="71"/>
      <c r="I60" s="71"/>
      <c r="J60" s="71"/>
      <c r="K60" s="71"/>
      <c r="L60" s="75"/>
      <c r="N60" s="103">
        <v>11.790000000000006</v>
      </c>
      <c r="O60" s="162">
        <f t="shared" si="122"/>
        <v>90</v>
      </c>
      <c r="P60" s="302">
        <v>15</v>
      </c>
      <c r="Q60" s="336">
        <v>34.659999999999997</v>
      </c>
      <c r="R60" s="153">
        <v>46.45</v>
      </c>
      <c r="S60" s="153">
        <f t="shared" ref="S60:AA60" si="134">R60+$N60</f>
        <v>58.240000000000009</v>
      </c>
      <c r="T60" s="153">
        <f t="shared" si="134"/>
        <v>70.030000000000015</v>
      </c>
      <c r="U60" s="153">
        <f t="shared" si="134"/>
        <v>81.820000000000022</v>
      </c>
      <c r="V60" s="153">
        <f t="shared" si="134"/>
        <v>93.610000000000028</v>
      </c>
      <c r="W60" s="153">
        <f t="shared" si="134"/>
        <v>105.40000000000003</v>
      </c>
      <c r="X60" s="153">
        <f t="shared" si="134"/>
        <v>117.19000000000004</v>
      </c>
      <c r="Y60" s="153">
        <f t="shared" si="134"/>
        <v>128.98000000000005</v>
      </c>
      <c r="Z60" s="153">
        <f t="shared" si="134"/>
        <v>140.77000000000004</v>
      </c>
      <c r="AA60" s="153">
        <f t="shared" si="134"/>
        <v>152.56000000000006</v>
      </c>
      <c r="AB60" s="206"/>
      <c r="AC60" s="206"/>
      <c r="AD60" s="206"/>
      <c r="AE60" s="206"/>
      <c r="AF60" s="206"/>
      <c r="AG60" s="206"/>
      <c r="AH60" s="206"/>
      <c r="AI60" s="206"/>
      <c r="AJ60" s="64"/>
      <c r="AK60" s="64"/>
      <c r="AL60" s="64"/>
      <c r="AM60" s="303"/>
      <c r="AN60" s="303"/>
      <c r="AO60" s="64"/>
      <c r="AP60" s="97"/>
      <c r="BF60" s="83"/>
      <c r="BX60" s="83"/>
      <c r="BY60" s="83"/>
      <c r="BZ60" s="83"/>
      <c r="CA60" s="83"/>
      <c r="CB60" s="83"/>
      <c r="CC60" s="83"/>
      <c r="CD60" s="83"/>
      <c r="CE60" s="83"/>
      <c r="CF60" s="83"/>
      <c r="CG60" s="83"/>
      <c r="CH60" s="83"/>
    </row>
    <row r="61" spans="2:86" ht="15.75" thickBot="1" x14ac:dyDescent="0.3">
      <c r="B61" s="78"/>
      <c r="C61" s="71"/>
      <c r="D61" s="71"/>
      <c r="E61" s="71"/>
      <c r="F61" s="71"/>
      <c r="G61" s="71"/>
      <c r="H61" s="71"/>
      <c r="I61" s="71"/>
      <c r="J61" s="71"/>
      <c r="K61" s="71"/>
      <c r="L61" s="75"/>
      <c r="N61" s="103">
        <v>12.649999999999999</v>
      </c>
      <c r="O61" s="162">
        <f t="shared" si="122"/>
        <v>96</v>
      </c>
      <c r="P61" s="302">
        <v>16</v>
      </c>
      <c r="Q61" s="336">
        <v>37.090000000000003</v>
      </c>
      <c r="R61" s="153">
        <v>49.74</v>
      </c>
      <c r="S61" s="153">
        <f t="shared" ref="S61:AA61" si="135">R61+$N61</f>
        <v>62.39</v>
      </c>
      <c r="T61" s="153">
        <f t="shared" si="135"/>
        <v>75.039999999999992</v>
      </c>
      <c r="U61" s="153">
        <f t="shared" si="135"/>
        <v>87.69</v>
      </c>
      <c r="V61" s="153">
        <f t="shared" si="135"/>
        <v>100.34</v>
      </c>
      <c r="W61" s="153">
        <f t="shared" si="135"/>
        <v>112.99000000000001</v>
      </c>
      <c r="X61" s="153">
        <f t="shared" si="135"/>
        <v>125.64000000000001</v>
      </c>
      <c r="Y61" s="153">
        <f t="shared" si="135"/>
        <v>138.29000000000002</v>
      </c>
      <c r="Z61" s="153">
        <f t="shared" si="135"/>
        <v>150.94000000000003</v>
      </c>
      <c r="AA61" s="153">
        <f t="shared" si="135"/>
        <v>163.59000000000003</v>
      </c>
      <c r="AB61" s="206"/>
      <c r="AC61" s="206"/>
      <c r="AD61" s="206"/>
      <c r="AE61" s="206"/>
      <c r="AF61" s="206"/>
      <c r="AG61" s="206"/>
      <c r="AH61" s="206"/>
      <c r="AI61" s="206"/>
      <c r="AJ61" s="64"/>
      <c r="AK61" s="64"/>
      <c r="AL61" s="64"/>
      <c r="AM61" s="303"/>
      <c r="AN61" s="303"/>
      <c r="AO61" s="64"/>
      <c r="AP61" s="97"/>
      <c r="BF61" s="83"/>
      <c r="BX61" s="83"/>
      <c r="BY61" s="83"/>
      <c r="BZ61" s="83"/>
      <c r="CA61" s="83"/>
      <c r="CB61" s="83"/>
      <c r="CC61" s="83"/>
      <c r="CD61" s="83"/>
      <c r="CE61" s="83"/>
      <c r="CF61" s="83"/>
      <c r="CG61" s="83"/>
      <c r="CH61" s="83"/>
    </row>
    <row r="62" spans="2:86" ht="15.75" thickBot="1" x14ac:dyDescent="0.3">
      <c r="B62" s="78"/>
      <c r="C62" s="71"/>
      <c r="D62" s="71"/>
      <c r="E62" s="71"/>
      <c r="F62" s="71"/>
      <c r="G62" s="71"/>
      <c r="H62" s="71"/>
      <c r="I62" s="71"/>
      <c r="J62" s="71"/>
      <c r="K62" s="71"/>
      <c r="L62" s="75"/>
      <c r="N62" s="103"/>
      <c r="O62" s="162">
        <f t="shared" si="122"/>
        <v>102</v>
      </c>
      <c r="P62" s="302">
        <v>17</v>
      </c>
      <c r="Q62" s="339"/>
      <c r="R62" s="206"/>
      <c r="S62" s="206"/>
      <c r="T62" s="206"/>
      <c r="U62" s="206"/>
      <c r="V62" s="206"/>
      <c r="W62" s="206"/>
      <c r="X62" s="206"/>
      <c r="Y62" s="206"/>
      <c r="Z62" s="206"/>
      <c r="AA62" s="206"/>
      <c r="AB62" s="206"/>
      <c r="AC62" s="206"/>
      <c r="AD62" s="206"/>
      <c r="AE62" s="206"/>
      <c r="AF62" s="206"/>
      <c r="AG62" s="206"/>
      <c r="AH62" s="206"/>
      <c r="AI62" s="206"/>
      <c r="AJ62" s="64"/>
      <c r="AK62" s="64"/>
      <c r="AL62" s="64"/>
      <c r="AM62" s="303"/>
      <c r="AN62" s="303"/>
      <c r="AO62" s="64"/>
      <c r="AP62" s="97"/>
      <c r="BF62" s="83"/>
      <c r="BX62" s="83"/>
      <c r="BY62" s="83"/>
      <c r="BZ62" s="83"/>
      <c r="CA62" s="83"/>
      <c r="CB62" s="83"/>
      <c r="CC62" s="83"/>
      <c r="CD62" s="83"/>
      <c r="CE62" s="83"/>
      <c r="CF62" s="83"/>
      <c r="CG62" s="83"/>
      <c r="CH62" s="83"/>
    </row>
    <row r="63" spans="2:86" ht="21.75" thickBot="1" x14ac:dyDescent="0.4">
      <c r="B63" s="229" t="s">
        <v>80</v>
      </c>
      <c r="C63" s="71"/>
      <c r="D63" s="71"/>
      <c r="E63" s="71"/>
      <c r="F63" s="71"/>
      <c r="G63" s="71"/>
      <c r="H63" s="71"/>
      <c r="I63" s="71"/>
      <c r="J63" s="71"/>
      <c r="K63" s="71"/>
      <c r="L63" s="75"/>
      <c r="N63" s="103"/>
      <c r="O63" s="162">
        <f t="shared" si="122"/>
        <v>108</v>
      </c>
      <c r="P63" s="302">
        <v>18</v>
      </c>
      <c r="Q63" s="339"/>
      <c r="R63" s="206"/>
      <c r="S63" s="206"/>
      <c r="T63" s="206"/>
      <c r="U63" s="206"/>
      <c r="V63" s="206"/>
      <c r="W63" s="206"/>
      <c r="X63" s="206"/>
      <c r="Y63" s="206"/>
      <c r="Z63" s="206"/>
      <c r="AA63" s="206"/>
      <c r="AB63" s="206"/>
      <c r="AC63" s="206"/>
      <c r="AD63" s="206"/>
      <c r="AE63" s="206"/>
      <c r="AF63" s="206"/>
      <c r="AG63" s="206"/>
      <c r="AH63" s="206"/>
      <c r="AI63" s="206"/>
      <c r="AJ63" s="64"/>
      <c r="AK63" s="64"/>
      <c r="AL63" s="64"/>
      <c r="AM63" s="64"/>
      <c r="AN63" s="64"/>
      <c r="AO63" s="64"/>
      <c r="AP63" s="97"/>
      <c r="BF63" s="83"/>
      <c r="BX63" s="83"/>
      <c r="BY63" s="83"/>
      <c r="BZ63" s="83"/>
      <c r="CA63" s="83"/>
      <c r="CB63" s="83"/>
      <c r="CC63" s="83"/>
      <c r="CD63" s="83"/>
      <c r="CE63" s="83"/>
      <c r="CF63" s="83"/>
      <c r="CG63" s="83"/>
      <c r="CH63" s="83"/>
    </row>
    <row r="64" spans="2:86" ht="19.5" thickBot="1" x14ac:dyDescent="0.35">
      <c r="B64" s="230" t="s">
        <v>46</v>
      </c>
      <c r="C64" s="71"/>
      <c r="D64" s="141" t="e">
        <f>F58*(D3*D4)/144</f>
        <v>#VALUE!</v>
      </c>
      <c r="E64" s="256" t="s">
        <v>45</v>
      </c>
      <c r="F64" s="71"/>
      <c r="G64" s="71"/>
      <c r="H64" s="71"/>
      <c r="I64" s="71"/>
      <c r="J64" s="71"/>
      <c r="K64" s="71"/>
      <c r="L64" s="75"/>
      <c r="N64" s="103"/>
      <c r="O64" s="162">
        <f t="shared" si="122"/>
        <v>114</v>
      </c>
      <c r="P64" s="302">
        <v>19</v>
      </c>
      <c r="Q64" s="339"/>
      <c r="R64" s="206"/>
      <c r="S64" s="206"/>
      <c r="T64" s="206"/>
      <c r="U64" s="206"/>
      <c r="V64" s="206"/>
      <c r="W64" s="206"/>
      <c r="X64" s="206"/>
      <c r="Y64" s="206"/>
      <c r="Z64" s="206"/>
      <c r="AA64" s="206"/>
      <c r="AB64" s="206"/>
      <c r="AC64" s="206"/>
      <c r="AD64" s="206"/>
      <c r="AE64" s="206"/>
      <c r="AF64" s="206"/>
      <c r="AG64" s="206"/>
      <c r="AH64" s="206"/>
      <c r="AI64" s="206"/>
      <c r="AJ64" s="64"/>
      <c r="AK64" s="64"/>
      <c r="AL64" s="64"/>
      <c r="AM64" s="64"/>
      <c r="AN64" s="64"/>
      <c r="AO64" s="64"/>
      <c r="AP64" s="97"/>
      <c r="BF64" s="83"/>
      <c r="BX64" s="83"/>
      <c r="BY64" s="83"/>
      <c r="BZ64" s="83"/>
      <c r="CA64" s="83"/>
      <c r="CB64" s="83"/>
      <c r="CC64" s="83"/>
      <c r="CD64" s="83"/>
      <c r="CE64" s="83"/>
      <c r="CF64" s="83"/>
      <c r="CG64" s="83"/>
      <c r="CH64" s="83"/>
    </row>
    <row r="65" spans="2:86" ht="19.5" thickBot="1" x14ac:dyDescent="0.35">
      <c r="B65" s="230" t="s">
        <v>47</v>
      </c>
      <c r="C65" s="71"/>
      <c r="D65" s="142" t="e">
        <f>(D3*D4)/144</f>
        <v>#VALUE!</v>
      </c>
      <c r="E65" s="256" t="s">
        <v>45</v>
      </c>
      <c r="F65" s="71"/>
      <c r="G65" s="71"/>
      <c r="H65" s="71"/>
      <c r="I65" s="71"/>
      <c r="J65" s="71"/>
      <c r="K65" s="71"/>
      <c r="L65" s="75"/>
      <c r="N65" s="103"/>
      <c r="O65" s="162">
        <f t="shared" si="122"/>
        <v>120</v>
      </c>
      <c r="P65" s="302">
        <v>20</v>
      </c>
      <c r="Q65" s="339"/>
      <c r="R65" s="206"/>
      <c r="S65" s="206"/>
      <c r="T65" s="206"/>
      <c r="U65" s="206"/>
      <c r="V65" s="206"/>
      <c r="W65" s="206"/>
      <c r="X65" s="206"/>
      <c r="Y65" s="206"/>
      <c r="Z65" s="206"/>
      <c r="AA65" s="206"/>
      <c r="AB65" s="206"/>
      <c r="AC65" s="206"/>
      <c r="AD65" s="206"/>
      <c r="AE65" s="206"/>
      <c r="AF65" s="206"/>
      <c r="AG65" s="206"/>
      <c r="AH65" s="206"/>
      <c r="AI65" s="206"/>
      <c r="AJ65" s="64"/>
      <c r="AK65" s="64"/>
      <c r="AL65" s="64"/>
      <c r="AM65" s="64"/>
      <c r="AN65" s="64"/>
      <c r="AO65" s="64"/>
      <c r="AP65" s="97"/>
      <c r="BF65" s="83"/>
      <c r="BX65" s="83"/>
      <c r="BY65" s="83"/>
      <c r="BZ65" s="83"/>
      <c r="CA65" s="83"/>
      <c r="CB65" s="83"/>
      <c r="CC65" s="83"/>
      <c r="CD65" s="83"/>
      <c r="CE65" s="83"/>
      <c r="CF65" s="83"/>
      <c r="CG65" s="83"/>
      <c r="CH65" s="83"/>
    </row>
    <row r="66" spans="2:86" ht="19.5" thickBot="1" x14ac:dyDescent="0.35">
      <c r="B66" s="230" t="s">
        <v>81</v>
      </c>
      <c r="C66" s="71"/>
      <c r="D66" s="138" t="e">
        <f>F58*100</f>
        <v>#VALUE!</v>
      </c>
      <c r="E66" s="256" t="s">
        <v>16</v>
      </c>
      <c r="F66" s="71"/>
      <c r="G66" s="71"/>
      <c r="H66" s="71"/>
      <c r="I66" s="71"/>
      <c r="J66" s="71"/>
      <c r="K66" s="71"/>
      <c r="L66" s="75"/>
      <c r="N66" s="103"/>
      <c r="O66" s="149"/>
      <c r="P66" s="65"/>
      <c r="Q66" s="149"/>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5"/>
      <c r="BF66" s="83"/>
      <c r="BX66" s="83"/>
      <c r="BY66" s="83"/>
      <c r="BZ66" s="83"/>
      <c r="CA66" s="83"/>
      <c r="CB66" s="83"/>
      <c r="CC66" s="83"/>
      <c r="CD66" s="83"/>
      <c r="CE66" s="83"/>
      <c r="CF66" s="83"/>
      <c r="CG66" s="83"/>
      <c r="CH66" s="83"/>
    </row>
    <row r="67" spans="2:86" ht="19.5" thickBot="1" x14ac:dyDescent="0.35">
      <c r="B67" s="78"/>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5"/>
    </row>
    <row r="68" spans="2:86" ht="19.5" thickBot="1" x14ac:dyDescent="0.35">
      <c r="B68" s="231" t="s">
        <v>82</v>
      </c>
      <c r="D68" s="138" t="e">
        <f>C5/D64</f>
        <v>#VALUE!</v>
      </c>
      <c r="E68" s="256" t="s">
        <v>48</v>
      </c>
      <c r="F68" s="72"/>
      <c r="G68" s="72"/>
      <c r="H68" s="72"/>
      <c r="I68" s="72"/>
      <c r="J68" s="72"/>
      <c r="K68" s="72"/>
      <c r="L68" s="81"/>
      <c r="N68" s="164"/>
      <c r="O68" s="163"/>
      <c r="P68" s="69"/>
      <c r="Q68" s="163"/>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9"/>
    </row>
    <row r="69" spans="2:86" ht="18.75" x14ac:dyDescent="0.3">
      <c r="B69" s="232" t="s">
        <v>83</v>
      </c>
      <c r="C69" s="136" t="s">
        <v>9</v>
      </c>
      <c r="D69" s="141" t="e">
        <f>5.38522933014481E-08*D68^2 + 1.00435995131236E-07*D68 + 0.000174874004085125</f>
        <v>#VALUE!</v>
      </c>
      <c r="E69" s="256" t="s">
        <v>99</v>
      </c>
      <c r="F69" s="72"/>
      <c r="G69" s="72"/>
      <c r="H69" s="72"/>
      <c r="I69" s="72"/>
      <c r="J69" s="72"/>
      <c r="K69" s="72"/>
      <c r="L69" s="81"/>
    </row>
    <row r="70" spans="2:86" ht="18.75" x14ac:dyDescent="0.3">
      <c r="B70" s="233"/>
      <c r="C70" s="136" t="s">
        <v>10</v>
      </c>
      <c r="D70" s="141" t="e">
        <f>6.8697855462382E-08*D68^2 + 1.30484240320459E-06*D68 - 0.000394159937727749</f>
        <v>#VALUE!</v>
      </c>
      <c r="E70" s="256" t="s">
        <v>99</v>
      </c>
      <c r="F70" s="72"/>
      <c r="G70" s="72"/>
      <c r="H70" s="72"/>
      <c r="I70" s="72"/>
      <c r="J70" s="72"/>
      <c r="K70" s="72"/>
      <c r="L70" s="81"/>
    </row>
    <row r="71" spans="2:86" ht="15.75" thickBot="1" x14ac:dyDescent="0.3">
      <c r="B71" s="79"/>
      <c r="C71" s="76"/>
      <c r="D71" s="76"/>
      <c r="E71" s="257"/>
      <c r="F71" s="76"/>
      <c r="G71" s="76"/>
      <c r="H71" s="76"/>
      <c r="I71" s="76"/>
      <c r="J71" s="76"/>
      <c r="K71" s="76"/>
      <c r="L71" s="77"/>
    </row>
    <row r="72" spans="2:86"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2:86"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2:86" ht="15.75" thickBot="1" x14ac:dyDescent="0.3">
      <c r="N74" s="477"/>
      <c r="O74" s="480" t="s">
        <v>194</v>
      </c>
      <c r="P74" s="479"/>
      <c r="Q74" s="47"/>
      <c r="R74" s="47"/>
      <c r="S74" s="47"/>
      <c r="T74" s="47"/>
      <c r="U74" s="47"/>
      <c r="V74" s="47"/>
      <c r="W74" s="278"/>
      <c r="X74" s="178"/>
      <c r="Y74" s="48"/>
      <c r="Z74" s="47" t="s">
        <v>193</v>
      </c>
      <c r="AA74" s="47"/>
      <c r="AB74" s="47" t="e">
        <f>AN57</f>
        <v>#VALUE!</v>
      </c>
      <c r="AC74" s="47" t="s">
        <v>184</v>
      </c>
      <c r="AD74" s="47"/>
      <c r="AE74" s="47"/>
      <c r="AF74" s="47"/>
      <c r="AG74" s="47"/>
      <c r="AH74" s="47"/>
      <c r="AI74" s="47"/>
      <c r="AJ74" s="278"/>
    </row>
    <row r="75" spans="2:86" ht="15.75" thickBot="1" x14ac:dyDescent="0.3">
      <c r="N75" s="476"/>
      <c r="O75" s="47" t="s">
        <v>185</v>
      </c>
      <c r="P75" s="64">
        <v>2.2499999999999999E-2</v>
      </c>
      <c r="Q75" s="47" t="s">
        <v>182</v>
      </c>
      <c r="R75" s="47"/>
      <c r="S75" s="47"/>
      <c r="T75" s="47"/>
      <c r="U75" s="47"/>
      <c r="V75" s="47"/>
      <c r="W75" s="278"/>
      <c r="X75" s="175"/>
      <c r="Y75" s="48"/>
      <c r="Z75" s="47" t="s">
        <v>194</v>
      </c>
      <c r="AA75" s="47"/>
      <c r="AB75" s="471" t="e">
        <f>P78</f>
        <v>#VALUE!</v>
      </c>
      <c r="AC75" s="47" t="s">
        <v>184</v>
      </c>
      <c r="AD75" s="47"/>
      <c r="AE75" s="47"/>
      <c r="AF75" s="47"/>
      <c r="AG75" s="47"/>
      <c r="AH75" s="47"/>
      <c r="AI75" s="47"/>
      <c r="AJ75" s="278"/>
    </row>
    <row r="76" spans="2:86" ht="16.5" thickBot="1" x14ac:dyDescent="0.3">
      <c r="N76" s="477"/>
      <c r="O76" s="47" t="s">
        <v>195</v>
      </c>
      <c r="P76" s="64" t="e">
        <f>((2*D3)+(2*D4))</f>
        <v>#VALUE!</v>
      </c>
      <c r="Q76" s="47" t="s">
        <v>196</v>
      </c>
      <c r="R76" s="47"/>
      <c r="S76" s="47"/>
      <c r="T76" s="47"/>
      <c r="U76" s="47"/>
      <c r="V76" s="47"/>
      <c r="W76" s="278"/>
      <c r="X76" s="175"/>
      <c r="Y76" s="48"/>
      <c r="Z76" s="47" t="s">
        <v>192</v>
      </c>
      <c r="AA76" s="47"/>
      <c r="AB76" s="471" t="e">
        <f>P85</f>
        <v>#VALUE!</v>
      </c>
      <c r="AC76" s="47" t="s">
        <v>184</v>
      </c>
      <c r="AD76" s="47"/>
      <c r="AE76" s="47"/>
      <c r="AF76" s="47"/>
      <c r="AG76" s="47"/>
      <c r="AH76" s="47"/>
      <c r="AI76" s="47"/>
      <c r="AJ76" s="278"/>
      <c r="AL76" s="313"/>
      <c r="AM76" s="313"/>
      <c r="AN76" s="485"/>
      <c r="AO76" s="313"/>
    </row>
    <row r="77" spans="2:86" ht="16.5" thickBot="1" x14ac:dyDescent="0.3">
      <c r="N77" s="48"/>
      <c r="O77" s="47"/>
      <c r="P77" s="47"/>
      <c r="Q77" s="47"/>
      <c r="R77" s="47"/>
      <c r="S77" s="47"/>
      <c r="T77" s="47"/>
      <c r="U77" s="47"/>
      <c r="V77" s="47"/>
      <c r="W77" s="278"/>
      <c r="X77" s="175"/>
      <c r="Y77" s="48"/>
      <c r="Z77" s="47"/>
      <c r="AA77" s="47"/>
      <c r="AB77" s="47"/>
      <c r="AC77" s="47"/>
      <c r="AD77" s="47"/>
      <c r="AE77" s="47"/>
      <c r="AF77" s="47"/>
      <c r="AG77" s="47"/>
      <c r="AH77" s="47"/>
      <c r="AI77" s="47"/>
      <c r="AJ77" s="278"/>
      <c r="AK77" s="83"/>
      <c r="AL77" s="313"/>
      <c r="AM77" s="485"/>
      <c r="AN77" s="485"/>
      <c r="AO77" s="485"/>
    </row>
    <row r="78" spans="2:86" ht="16.5" thickBot="1" x14ac:dyDescent="0.3">
      <c r="N78" s="48"/>
      <c r="O78" s="492" t="s">
        <v>183</v>
      </c>
      <c r="P78" s="153" t="e">
        <f>P76*P75</f>
        <v>#VALUE!</v>
      </c>
      <c r="Q78" s="47" t="s">
        <v>184</v>
      </c>
      <c r="S78" s="47"/>
      <c r="T78" s="47"/>
      <c r="U78" s="47"/>
      <c r="V78" s="47"/>
      <c r="W78" s="278"/>
      <c r="X78" s="175"/>
      <c r="Y78" s="48"/>
      <c r="Z78" s="47" t="s">
        <v>91</v>
      </c>
      <c r="AA78" s="47"/>
      <c r="AB78" s="471" t="e">
        <f>AB74+AB75+AB76</f>
        <v>#VALUE!</v>
      </c>
      <c r="AC78" s="47" t="s">
        <v>184</v>
      </c>
      <c r="AD78" s="47"/>
      <c r="AE78" s="47"/>
      <c r="AF78" s="47"/>
      <c r="AG78" s="47"/>
      <c r="AH78" s="47"/>
      <c r="AI78" s="47"/>
      <c r="AJ78" s="278"/>
      <c r="AL78" s="486"/>
      <c r="AM78" s="485"/>
      <c r="AN78" s="487"/>
      <c r="AO78" s="485"/>
    </row>
    <row r="79" spans="2:86" ht="15.75" x14ac:dyDescent="0.25">
      <c r="N79" s="48"/>
      <c r="O79" s="480"/>
      <c r="P79" s="47"/>
      <c r="Q79" s="47"/>
      <c r="R79" s="47"/>
      <c r="S79" s="47"/>
      <c r="T79" s="47"/>
      <c r="U79" s="47"/>
      <c r="V79" s="47"/>
      <c r="W79" s="278"/>
      <c r="X79" s="175"/>
      <c r="Y79" s="48"/>
      <c r="Z79" s="47" t="s">
        <v>90</v>
      </c>
      <c r="AA79" s="47"/>
      <c r="AB79" s="471" t="e">
        <f>AB78/C11</f>
        <v>#VALUE!</v>
      </c>
      <c r="AC79" s="47" t="s">
        <v>184</v>
      </c>
      <c r="AD79" s="47"/>
      <c r="AE79" s="47"/>
      <c r="AF79" s="47"/>
      <c r="AG79" s="47"/>
      <c r="AH79" s="47"/>
      <c r="AI79" s="47"/>
      <c r="AJ79" s="278"/>
      <c r="AL79" s="313"/>
      <c r="AM79" s="485"/>
      <c r="AN79" s="485"/>
      <c r="AO79" s="485"/>
    </row>
    <row r="80" spans="2:86" x14ac:dyDescent="0.25">
      <c r="N80" s="48"/>
      <c r="O80" s="480"/>
      <c r="P80" s="47"/>
      <c r="Q80" s="47"/>
      <c r="R80" s="47"/>
      <c r="S80" s="47"/>
      <c r="T80" s="47"/>
      <c r="U80" s="47"/>
      <c r="V80" s="47"/>
      <c r="W80" s="278"/>
      <c r="X80" s="175"/>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X81" s="175"/>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X82" s="175"/>
      <c r="Y82" s="48"/>
      <c r="Z82" s="47"/>
      <c r="AA82" s="47"/>
      <c r="AB82" s="47"/>
      <c r="AC82" s="47"/>
      <c r="AD82" s="47"/>
      <c r="AE82" s="47"/>
      <c r="AF82" s="47"/>
      <c r="AG82" s="47"/>
      <c r="AH82" s="47"/>
      <c r="AI82" s="47"/>
      <c r="AJ82" s="278"/>
      <c r="AM82" s="146"/>
    </row>
    <row r="83" spans="14:43" ht="15.75" thickBot="1" x14ac:dyDescent="0.3">
      <c r="N83" s="48"/>
      <c r="O83" s="47" t="s">
        <v>197</v>
      </c>
      <c r="P83" s="64" t="e">
        <f>(D3*D4)</f>
        <v>#VALUE!</v>
      </c>
      <c r="Q83" s="47" t="s">
        <v>198</v>
      </c>
      <c r="R83" s="64"/>
      <c r="S83" s="47"/>
      <c r="T83" s="47"/>
      <c r="U83" s="47"/>
      <c r="V83" s="47"/>
      <c r="W83" s="278"/>
      <c r="X83" s="175"/>
      <c r="Y83" s="48"/>
      <c r="Z83" s="47"/>
      <c r="AA83" s="47"/>
      <c r="AB83" s="47"/>
      <c r="AC83" s="47"/>
      <c r="AD83" s="47"/>
      <c r="AE83" s="47"/>
      <c r="AF83" s="47"/>
      <c r="AG83" s="47"/>
      <c r="AH83" s="47"/>
      <c r="AI83" s="47"/>
      <c r="AJ83" s="278"/>
      <c r="AM83" s="146"/>
    </row>
    <row r="84" spans="14:43" ht="15.75" thickBot="1" x14ac:dyDescent="0.3">
      <c r="N84" s="48"/>
      <c r="O84" s="47"/>
      <c r="P84" s="47"/>
      <c r="Q84" s="47"/>
      <c r="R84" s="64"/>
      <c r="S84" s="47"/>
      <c r="T84" s="47"/>
      <c r="U84" s="47"/>
      <c r="V84" s="47"/>
      <c r="W84" s="278"/>
      <c r="X84" s="175"/>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X85" s="175"/>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X86" s="175"/>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X87" s="175"/>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X88" s="175"/>
      <c r="Y88" s="49"/>
      <c r="Z88" s="50"/>
      <c r="AA88" s="50"/>
      <c r="AB88" s="50"/>
      <c r="AC88" s="50"/>
      <c r="AD88" s="50"/>
      <c r="AE88" s="50"/>
      <c r="AF88" s="50"/>
      <c r="AG88" s="50"/>
      <c r="AH88" s="50"/>
      <c r="AI88" s="50"/>
      <c r="AJ88" s="279"/>
      <c r="AQ88" s="83"/>
    </row>
    <row r="89" spans="14:43" x14ac:dyDescent="0.25">
      <c r="O89" s="481"/>
      <c r="P89" s="482"/>
      <c r="Q89" s="175"/>
      <c r="R89" s="175"/>
      <c r="S89" s="175"/>
      <c r="T89" s="175"/>
      <c r="U89" s="175"/>
      <c r="V89" s="175"/>
      <c r="W89" s="175"/>
      <c r="X89" s="175"/>
      <c r="Y89" s="175"/>
      <c r="Z89" s="175"/>
      <c r="AA89" s="175"/>
      <c r="AB89" s="175"/>
      <c r="AC89" s="175"/>
      <c r="AD89" s="175"/>
      <c r="AE89" s="175"/>
      <c r="AF89" s="175"/>
      <c r="AG89" s="175"/>
      <c r="AH89" s="175"/>
      <c r="AI89" s="175"/>
      <c r="AK89" s="175"/>
      <c r="AQ89" s="83"/>
    </row>
    <row r="90" spans="14:43" x14ac:dyDescent="0.25">
      <c r="O90" s="481"/>
      <c r="P90" s="482"/>
      <c r="Q90" s="175"/>
      <c r="R90" s="175"/>
      <c r="S90" s="175"/>
      <c r="T90" s="175"/>
      <c r="U90" s="175"/>
      <c r="V90" s="175"/>
      <c r="W90" s="175"/>
      <c r="X90" s="175"/>
      <c r="Y90" s="175"/>
      <c r="Z90" s="175"/>
      <c r="AA90" s="175"/>
      <c r="AB90" s="175"/>
      <c r="AC90" s="175"/>
      <c r="AD90" s="175"/>
      <c r="AE90" s="175"/>
      <c r="AF90" s="175"/>
      <c r="AG90" s="175"/>
      <c r="AH90" s="175"/>
      <c r="AI90" s="175"/>
      <c r="AK90" s="175"/>
      <c r="AQ90" s="83"/>
    </row>
    <row r="91" spans="14:43" x14ac:dyDescent="0.25">
      <c r="O91" s="481"/>
      <c r="P91" s="482"/>
      <c r="Q91" s="175"/>
      <c r="R91" s="175"/>
      <c r="S91" s="175"/>
      <c r="T91" s="175"/>
      <c r="U91" s="175"/>
      <c r="V91" s="175"/>
      <c r="W91" s="175"/>
      <c r="X91" s="175"/>
      <c r="Y91" s="175"/>
      <c r="Z91" s="175"/>
      <c r="AA91" s="175"/>
      <c r="AB91" s="175"/>
      <c r="AC91" s="175"/>
      <c r="AD91" s="175"/>
      <c r="AE91" s="175"/>
      <c r="AF91" s="175"/>
      <c r="AG91" s="175"/>
      <c r="AH91" s="175"/>
      <c r="AI91" s="175"/>
      <c r="AK91" s="175"/>
      <c r="AQ91" s="83"/>
    </row>
    <row r="92" spans="14:43" x14ac:dyDescent="0.25">
      <c r="O92" s="481"/>
      <c r="P92" s="482"/>
      <c r="Q92" s="175"/>
      <c r="R92" s="175"/>
      <c r="S92" s="175"/>
      <c r="T92" s="175"/>
      <c r="U92" s="175"/>
      <c r="V92" s="175"/>
      <c r="W92" s="175"/>
      <c r="X92" s="175"/>
      <c r="Y92" s="175"/>
      <c r="Z92" s="175"/>
      <c r="AA92" s="175"/>
      <c r="AB92" s="175"/>
      <c r="AC92" s="175"/>
      <c r="AD92" s="175"/>
      <c r="AE92" s="175"/>
      <c r="AF92" s="175"/>
      <c r="AG92" s="175"/>
      <c r="AH92" s="175"/>
      <c r="AI92" s="175"/>
      <c r="AK92" s="175"/>
      <c r="AQ92" s="83"/>
    </row>
    <row r="93" spans="14:43" ht="18.75" customHeight="1" x14ac:dyDescent="0.25">
      <c r="O93" s="481"/>
      <c r="P93" s="482"/>
      <c r="Q93" s="175"/>
      <c r="R93" s="175"/>
      <c r="S93" s="175"/>
      <c r="T93" s="175"/>
      <c r="U93" s="175"/>
      <c r="V93" s="175"/>
      <c r="W93" s="175"/>
      <c r="X93" s="175"/>
      <c r="Y93" s="175"/>
      <c r="Z93" s="175"/>
      <c r="AA93" s="175"/>
      <c r="AB93" s="175"/>
      <c r="AC93" s="175"/>
      <c r="AD93" s="175"/>
      <c r="AE93" s="175"/>
      <c r="AF93" s="175"/>
      <c r="AG93" s="175"/>
      <c r="AH93" s="175"/>
      <c r="AI93" s="175"/>
      <c r="AK93" s="175"/>
      <c r="AQ93" s="83"/>
    </row>
    <row r="94" spans="14:43" ht="18.75" customHeight="1" x14ac:dyDescent="0.25">
      <c r="O94" s="481"/>
      <c r="P94" s="482"/>
      <c r="AK94" s="175"/>
      <c r="AQ94" s="83"/>
    </row>
    <row r="95" spans="14:43" x14ac:dyDescent="0.25">
      <c r="P95" s="482"/>
    </row>
    <row r="100" spans="4:41" ht="21" x14ac:dyDescent="0.35">
      <c r="N100" s="74"/>
    </row>
    <row r="101" spans="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4:41" x14ac:dyDescent="0.25">
      <c r="N102" s="484"/>
      <c r="P102" s="482"/>
      <c r="Q102" s="178"/>
      <c r="R102" s="178"/>
      <c r="S102" s="178"/>
      <c r="T102" s="178"/>
      <c r="U102" s="178"/>
      <c r="V102" s="178"/>
      <c r="W102" s="178"/>
      <c r="X102" s="178"/>
      <c r="Y102" s="178"/>
      <c r="Z102" s="178"/>
      <c r="AA102" s="178"/>
      <c r="AB102" s="178"/>
      <c r="AC102" s="178"/>
      <c r="AD102" s="178"/>
      <c r="AE102" s="178"/>
      <c r="AF102" s="178"/>
      <c r="AG102" s="178"/>
      <c r="AH102" s="178"/>
      <c r="AI102" s="178"/>
    </row>
    <row r="103" spans="4:41" x14ac:dyDescent="0.25">
      <c r="D103" s="140"/>
      <c r="N103" s="483"/>
      <c r="O103" s="481"/>
      <c r="P103" s="482"/>
      <c r="Q103" s="175"/>
      <c r="R103" s="175"/>
      <c r="S103" s="175"/>
      <c r="T103" s="175"/>
      <c r="U103" s="175"/>
      <c r="V103" s="175"/>
      <c r="W103" s="175"/>
      <c r="X103" s="175"/>
      <c r="Y103" s="175"/>
      <c r="Z103" s="175"/>
      <c r="AA103" s="175"/>
      <c r="AB103" s="175"/>
      <c r="AC103" s="175"/>
      <c r="AD103" s="175"/>
      <c r="AE103" s="175"/>
      <c r="AF103" s="175"/>
      <c r="AG103" s="175"/>
      <c r="AH103" s="175"/>
      <c r="AI103" s="175"/>
    </row>
    <row r="104" spans="4:41" ht="15.75" x14ac:dyDescent="0.25">
      <c r="N104" s="484"/>
      <c r="O104" s="481"/>
      <c r="P104" s="482"/>
      <c r="Q104" s="175"/>
      <c r="R104" s="175"/>
      <c r="S104" s="175"/>
      <c r="T104" s="175"/>
      <c r="U104" s="175"/>
      <c r="V104" s="175"/>
      <c r="W104" s="175"/>
      <c r="X104" s="175"/>
      <c r="Y104" s="175"/>
      <c r="Z104" s="175"/>
      <c r="AA104" s="175"/>
      <c r="AB104" s="175"/>
      <c r="AC104" s="175"/>
      <c r="AD104" s="175"/>
      <c r="AE104" s="175"/>
      <c r="AF104" s="175"/>
      <c r="AG104" s="175"/>
      <c r="AH104" s="175"/>
      <c r="AI104" s="175"/>
      <c r="AL104" s="313"/>
      <c r="AM104" s="313"/>
      <c r="AN104" s="485"/>
      <c r="AO104" s="313"/>
    </row>
    <row r="105" spans="4:41" ht="15.75" x14ac:dyDescent="0.25">
      <c r="O105" s="481"/>
      <c r="P105" s="482"/>
      <c r="Q105" s="175"/>
      <c r="R105" s="175"/>
      <c r="S105" s="175"/>
      <c r="T105" s="175"/>
      <c r="U105" s="175"/>
      <c r="V105" s="175"/>
      <c r="W105" s="175"/>
      <c r="X105" s="175"/>
      <c r="Y105" s="175"/>
      <c r="Z105" s="175"/>
      <c r="AA105" s="175"/>
      <c r="AB105" s="175"/>
      <c r="AC105" s="175"/>
      <c r="AD105" s="175"/>
      <c r="AE105" s="175"/>
      <c r="AF105" s="175"/>
      <c r="AG105" s="175"/>
      <c r="AH105" s="175"/>
      <c r="AI105" s="175"/>
      <c r="AK105" s="83"/>
      <c r="AL105" s="313"/>
      <c r="AM105" s="485"/>
      <c r="AN105" s="485"/>
      <c r="AO105" s="485"/>
    </row>
    <row r="106" spans="4:41" ht="15.75" x14ac:dyDescent="0.25">
      <c r="O106" s="481"/>
      <c r="P106" s="482"/>
      <c r="Q106" s="175"/>
      <c r="R106" s="175"/>
      <c r="S106" s="175"/>
      <c r="T106" s="175"/>
      <c r="U106" s="175"/>
      <c r="V106" s="175"/>
      <c r="W106" s="175"/>
      <c r="X106" s="175"/>
      <c r="Y106" s="175"/>
      <c r="Z106" s="175"/>
      <c r="AA106" s="175"/>
      <c r="AB106" s="175"/>
      <c r="AC106" s="175"/>
      <c r="AD106" s="175"/>
      <c r="AE106" s="175"/>
      <c r="AF106" s="175"/>
      <c r="AG106" s="175"/>
      <c r="AH106" s="175"/>
      <c r="AI106" s="175"/>
      <c r="AL106" s="486"/>
      <c r="AM106" s="485"/>
      <c r="AN106" s="487"/>
      <c r="AO106" s="485"/>
    </row>
    <row r="107" spans="4:41" ht="15.75" x14ac:dyDescent="0.25">
      <c r="O107" s="481"/>
      <c r="P107" s="482"/>
      <c r="Q107" s="175"/>
      <c r="R107" s="175"/>
      <c r="S107" s="175"/>
      <c r="T107" s="175"/>
      <c r="U107" s="175"/>
      <c r="V107" s="175"/>
      <c r="W107" s="175"/>
      <c r="X107" s="175"/>
      <c r="Y107" s="175"/>
      <c r="Z107" s="175"/>
      <c r="AA107" s="175"/>
      <c r="AB107" s="175"/>
      <c r="AC107" s="175"/>
      <c r="AD107" s="175"/>
      <c r="AE107" s="175"/>
      <c r="AF107" s="175"/>
      <c r="AG107" s="175"/>
      <c r="AH107" s="175"/>
      <c r="AI107" s="175"/>
      <c r="AL107" s="313"/>
      <c r="AM107" s="485"/>
      <c r="AN107" s="485"/>
      <c r="AO107" s="485"/>
    </row>
    <row r="108" spans="4:41" x14ac:dyDescent="0.25">
      <c r="O108" s="481"/>
      <c r="P108" s="482"/>
      <c r="Q108" s="175"/>
      <c r="R108" s="175"/>
      <c r="S108" s="175"/>
      <c r="T108" s="175"/>
      <c r="U108" s="175"/>
      <c r="V108" s="175"/>
      <c r="W108" s="175"/>
      <c r="X108" s="175"/>
      <c r="Y108" s="175"/>
      <c r="Z108" s="175"/>
      <c r="AA108" s="175"/>
      <c r="AB108" s="175"/>
      <c r="AC108" s="175"/>
      <c r="AD108" s="175"/>
      <c r="AE108" s="175"/>
      <c r="AF108" s="175"/>
      <c r="AG108" s="175"/>
      <c r="AH108" s="175"/>
      <c r="AI108" s="175"/>
    </row>
    <row r="109" spans="4:41" x14ac:dyDescent="0.25">
      <c r="O109" s="481"/>
      <c r="P109" s="482"/>
      <c r="Q109" s="175"/>
      <c r="R109" s="175"/>
      <c r="S109" s="175"/>
      <c r="T109" s="175"/>
      <c r="U109" s="175"/>
      <c r="V109" s="175"/>
      <c r="W109" s="175"/>
      <c r="X109" s="175"/>
      <c r="Y109" s="175"/>
      <c r="Z109" s="175"/>
      <c r="AA109" s="175"/>
      <c r="AB109" s="175"/>
      <c r="AC109" s="175"/>
      <c r="AD109" s="175"/>
      <c r="AE109" s="175"/>
      <c r="AF109" s="175"/>
      <c r="AG109" s="175"/>
      <c r="AH109" s="175"/>
      <c r="AI109" s="175"/>
    </row>
    <row r="110" spans="4:41" x14ac:dyDescent="0.25">
      <c r="O110" s="481"/>
      <c r="P110" s="482"/>
      <c r="Q110" s="175"/>
      <c r="R110" s="175"/>
      <c r="S110" s="175"/>
      <c r="T110" s="175"/>
      <c r="U110" s="175"/>
      <c r="V110" s="175"/>
      <c r="W110" s="175"/>
      <c r="X110" s="175"/>
      <c r="Y110" s="175"/>
      <c r="Z110" s="175"/>
      <c r="AA110" s="175"/>
      <c r="AB110" s="175"/>
      <c r="AC110" s="175"/>
      <c r="AD110" s="175"/>
      <c r="AE110" s="175"/>
      <c r="AF110" s="175"/>
      <c r="AG110" s="175"/>
      <c r="AH110" s="175"/>
      <c r="AI110" s="175"/>
    </row>
    <row r="111" spans="4:41" x14ac:dyDescent="0.25">
      <c r="O111" s="481"/>
      <c r="P111" s="482"/>
      <c r="Q111" s="175"/>
      <c r="R111" s="175"/>
      <c r="S111" s="175"/>
      <c r="T111" s="175"/>
      <c r="U111" s="175"/>
      <c r="V111" s="175"/>
      <c r="W111" s="175"/>
      <c r="X111" s="175"/>
      <c r="Y111" s="175"/>
      <c r="Z111" s="175"/>
      <c r="AA111" s="175"/>
      <c r="AB111" s="175"/>
      <c r="AC111" s="175"/>
      <c r="AD111" s="175"/>
      <c r="AE111" s="175"/>
      <c r="AF111" s="175"/>
      <c r="AG111" s="175"/>
      <c r="AH111" s="175"/>
      <c r="AI111" s="175"/>
    </row>
    <row r="112" spans="4:41" x14ac:dyDescent="0.25">
      <c r="O112" s="481"/>
      <c r="P112" s="482"/>
      <c r="Q112" s="175"/>
      <c r="R112" s="175"/>
      <c r="S112" s="175"/>
      <c r="T112" s="175"/>
      <c r="U112" s="175"/>
      <c r="V112" s="175"/>
      <c r="W112" s="175"/>
      <c r="X112" s="175"/>
      <c r="Y112" s="175"/>
      <c r="Z112" s="175"/>
      <c r="AA112" s="175"/>
      <c r="AB112" s="175"/>
      <c r="AC112" s="175"/>
      <c r="AD112" s="175"/>
      <c r="AE112" s="175"/>
      <c r="AF112" s="175"/>
      <c r="AG112" s="175"/>
      <c r="AH112" s="175"/>
      <c r="AI112" s="175"/>
    </row>
    <row r="113" spans="15:43" ht="15.75" x14ac:dyDescent="0.25">
      <c r="O113" s="481"/>
      <c r="P113" s="482"/>
      <c r="Q113" s="175"/>
      <c r="R113" s="175"/>
      <c r="S113" s="175"/>
      <c r="T113" s="175"/>
      <c r="U113" s="175"/>
      <c r="V113" s="175"/>
      <c r="W113" s="175"/>
      <c r="X113" s="175"/>
      <c r="Y113" s="175"/>
      <c r="Z113" s="175"/>
      <c r="AA113" s="175"/>
      <c r="AB113" s="175"/>
      <c r="AC113" s="175"/>
      <c r="AD113" s="175"/>
      <c r="AE113" s="175"/>
      <c r="AF113" s="175"/>
      <c r="AG113" s="175"/>
      <c r="AH113" s="175"/>
      <c r="AI113" s="175"/>
      <c r="AN113" s="488"/>
    </row>
    <row r="114" spans="15:43" ht="15.75" x14ac:dyDescent="0.25">
      <c r="O114" s="481"/>
      <c r="P114" s="482"/>
      <c r="Q114" s="175"/>
      <c r="R114" s="175"/>
      <c r="S114" s="175"/>
      <c r="T114" s="175"/>
      <c r="U114" s="175"/>
      <c r="V114" s="175"/>
      <c r="W114" s="175"/>
      <c r="X114" s="175"/>
      <c r="Y114" s="175"/>
      <c r="Z114" s="175"/>
      <c r="AA114" s="175"/>
      <c r="AB114" s="175"/>
      <c r="AC114" s="175"/>
      <c r="AD114" s="175"/>
      <c r="AE114" s="175"/>
      <c r="AF114" s="175"/>
      <c r="AG114" s="175"/>
      <c r="AH114" s="175"/>
      <c r="AI114" s="175"/>
      <c r="AM114" s="488"/>
      <c r="AN114" s="488"/>
    </row>
    <row r="115" spans="15:43" x14ac:dyDescent="0.25">
      <c r="O115" s="481"/>
      <c r="P115" s="482"/>
      <c r="Q115" s="175"/>
      <c r="R115" s="175"/>
      <c r="S115" s="175"/>
      <c r="T115" s="175"/>
      <c r="U115" s="175"/>
      <c r="V115" s="175"/>
      <c r="W115" s="175"/>
      <c r="X115" s="175"/>
      <c r="Y115" s="175"/>
      <c r="Z115" s="175"/>
      <c r="AA115" s="175"/>
      <c r="AB115" s="175"/>
      <c r="AC115" s="175"/>
      <c r="AD115" s="175"/>
      <c r="AE115" s="175"/>
      <c r="AF115" s="175"/>
      <c r="AG115" s="175"/>
      <c r="AH115" s="175"/>
      <c r="AI115" s="175"/>
    </row>
    <row r="116" spans="15:43" x14ac:dyDescent="0.25">
      <c r="O116" s="481"/>
      <c r="P116" s="482"/>
      <c r="Q116" s="175"/>
      <c r="R116" s="175"/>
      <c r="S116" s="175"/>
      <c r="T116" s="175"/>
      <c r="U116" s="175"/>
      <c r="V116" s="175"/>
      <c r="W116" s="175"/>
      <c r="X116" s="175"/>
      <c r="Y116" s="175"/>
      <c r="Z116" s="175"/>
      <c r="AA116" s="175"/>
      <c r="AB116" s="175"/>
      <c r="AC116" s="175"/>
      <c r="AD116" s="175"/>
      <c r="AE116" s="175"/>
      <c r="AF116" s="175"/>
      <c r="AG116" s="175"/>
      <c r="AH116" s="175"/>
      <c r="AI116" s="175"/>
      <c r="AQ116" s="83"/>
    </row>
    <row r="117" spans="15:43" x14ac:dyDescent="0.25">
      <c r="O117" s="481"/>
      <c r="P117" s="482"/>
      <c r="Q117" s="175"/>
      <c r="R117" s="175"/>
      <c r="S117" s="175"/>
      <c r="T117" s="175"/>
      <c r="U117" s="175"/>
      <c r="V117" s="175"/>
      <c r="W117" s="175"/>
      <c r="X117" s="175"/>
      <c r="Y117" s="175"/>
      <c r="Z117" s="175"/>
      <c r="AA117" s="175"/>
      <c r="AB117" s="175"/>
      <c r="AC117" s="175"/>
      <c r="AD117" s="175"/>
      <c r="AE117" s="175"/>
      <c r="AF117" s="175"/>
      <c r="AG117" s="175"/>
      <c r="AH117" s="175"/>
      <c r="AI117" s="175"/>
      <c r="AK117" s="175"/>
      <c r="AQ117" s="83"/>
    </row>
    <row r="118" spans="15:43" x14ac:dyDescent="0.25">
      <c r="O118" s="481"/>
      <c r="P118" s="482"/>
      <c r="Q118" s="175"/>
      <c r="R118" s="175"/>
      <c r="S118" s="175"/>
      <c r="T118" s="175"/>
      <c r="U118" s="175"/>
      <c r="V118" s="175"/>
      <c r="W118" s="175"/>
      <c r="X118" s="175"/>
      <c r="Y118" s="175"/>
      <c r="Z118" s="175"/>
      <c r="AA118" s="175"/>
      <c r="AB118" s="175"/>
      <c r="AC118" s="175"/>
      <c r="AD118" s="175"/>
      <c r="AE118" s="175"/>
      <c r="AF118" s="175"/>
      <c r="AG118" s="175"/>
      <c r="AH118" s="175"/>
      <c r="AI118" s="175"/>
      <c r="AK118" s="175"/>
      <c r="AQ118" s="83"/>
    </row>
    <row r="119" spans="15:43" x14ac:dyDescent="0.25">
      <c r="O119" s="481"/>
      <c r="P119" s="482"/>
      <c r="Q119" s="175"/>
      <c r="R119" s="175"/>
      <c r="S119" s="175"/>
      <c r="T119" s="175"/>
      <c r="U119" s="175"/>
      <c r="V119" s="175"/>
      <c r="W119" s="175"/>
      <c r="X119" s="175"/>
      <c r="Y119" s="175"/>
      <c r="Z119" s="175"/>
      <c r="AA119" s="175"/>
      <c r="AB119" s="175"/>
      <c r="AC119" s="175"/>
      <c r="AD119" s="175"/>
      <c r="AE119" s="175"/>
      <c r="AF119" s="175"/>
      <c r="AG119" s="175"/>
      <c r="AH119" s="175"/>
      <c r="AI119" s="175"/>
      <c r="AK119" s="175"/>
      <c r="AQ119" s="83"/>
    </row>
    <row r="120" spans="15:43" x14ac:dyDescent="0.25">
      <c r="O120" s="481"/>
      <c r="P120" s="482"/>
      <c r="Q120" s="175"/>
      <c r="R120" s="175"/>
      <c r="S120" s="175"/>
      <c r="T120" s="175"/>
      <c r="U120" s="175"/>
      <c r="V120" s="175"/>
      <c r="W120" s="175"/>
      <c r="X120" s="175"/>
      <c r="Y120" s="175"/>
      <c r="Z120" s="175"/>
      <c r="AA120" s="175"/>
      <c r="AB120" s="175"/>
      <c r="AC120" s="175"/>
      <c r="AD120" s="175"/>
      <c r="AE120" s="175"/>
      <c r="AF120" s="175"/>
      <c r="AG120" s="175"/>
      <c r="AH120" s="175"/>
      <c r="AI120" s="175"/>
      <c r="AK120" s="175"/>
      <c r="AQ120" s="83"/>
    </row>
    <row r="121" spans="15:43" x14ac:dyDescent="0.25">
      <c r="O121" s="481"/>
      <c r="P121" s="482"/>
      <c r="Q121" s="175"/>
      <c r="R121" s="175"/>
      <c r="S121" s="175"/>
      <c r="T121" s="175"/>
      <c r="U121" s="175"/>
      <c r="V121" s="175"/>
      <c r="W121" s="175"/>
      <c r="X121" s="175"/>
      <c r="Y121" s="175"/>
      <c r="Z121" s="175"/>
      <c r="AA121" s="175"/>
      <c r="AB121" s="175"/>
      <c r="AC121" s="175"/>
      <c r="AD121" s="175"/>
      <c r="AE121" s="175"/>
      <c r="AF121" s="175"/>
      <c r="AG121" s="175"/>
      <c r="AH121" s="175"/>
      <c r="AI121" s="175"/>
      <c r="AK121" s="175"/>
      <c r="AQ121" s="83"/>
    </row>
    <row r="122" spans="15:43" x14ac:dyDescent="0.25">
      <c r="O122" s="481"/>
      <c r="P122" s="482"/>
      <c r="AK122" s="175"/>
      <c r="AQ122" s="83"/>
    </row>
    <row r="123" spans="15:43" x14ac:dyDescent="0.25">
      <c r="P123" s="482"/>
    </row>
    <row r="137" ht="150.75" customHeight="1" x14ac:dyDescent="0.25"/>
    <row r="145" spans="3:3" x14ac:dyDescent="0.25">
      <c r="C145" s="179"/>
    </row>
    <row r="146" spans="3:3" x14ac:dyDescent="0.25">
      <c r="C146" s="179"/>
    </row>
    <row r="278" spans="14:15" x14ac:dyDescent="0.25">
      <c r="N278" s="146"/>
      <c r="O278" s="145"/>
    </row>
  </sheetData>
  <sheetProtection selectLockedCells="1" selectUnlockedCells="1"/>
  <mergeCells count="7">
    <mergeCell ref="AT16:IN16"/>
    <mergeCell ref="AU18:AV20"/>
    <mergeCell ref="AX18:HW19"/>
    <mergeCell ref="IG19:IM19"/>
    <mergeCell ref="B47:C47"/>
    <mergeCell ref="D16:V16"/>
    <mergeCell ref="N45:N46"/>
  </mergeCells>
  <conditionalFormatting sqref="Q47:AA61">
    <cfRule type="colorScale" priority="6">
      <colorScale>
        <cfvo type="min"/>
        <cfvo type="percentile" val="50"/>
        <cfvo type="max"/>
        <color rgb="FF63BE7B"/>
        <color rgb="FFFFEB84"/>
        <color rgb="FFF8696B"/>
      </colorScale>
    </cfRule>
  </conditionalFormatting>
  <conditionalFormatting sqref="Q89:AA89 X75:X88">
    <cfRule type="colorScale" priority="3">
      <colorScale>
        <cfvo type="min"/>
        <cfvo type="percentile" val="50"/>
        <cfvo type="max"/>
        <color rgb="FF63BE7B"/>
        <color rgb="FFFFEB84"/>
        <color rgb="FFF8696B"/>
      </colorScale>
    </cfRule>
  </conditionalFormatting>
  <conditionalFormatting sqref="Q103:AA117">
    <cfRule type="colorScale" priority="2">
      <colorScale>
        <cfvo type="min"/>
        <cfvo type="percentile" val="50"/>
        <cfvo type="max"/>
        <color rgb="FF63BE7B"/>
        <color rgb="FFFFEB84"/>
        <color rgb="FFF8696B"/>
      </colorScale>
    </cfRule>
  </conditionalFormatting>
  <conditionalFormatting sqref="Q94:AB94">
    <cfRule type="colorScale" priority="5">
      <colorScale>
        <cfvo type="min"/>
        <cfvo type="percentile" val="50"/>
        <cfvo type="max"/>
        <color rgb="FF63BE7B"/>
        <color rgb="FFFFEB84"/>
        <color rgb="FFF8696B"/>
      </colorScale>
    </cfRule>
  </conditionalFormatting>
  <conditionalFormatting sqref="Q122:AB122 AJ103:AJ112">
    <cfRule type="colorScale" priority="4">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N278"/>
  <sheetViews>
    <sheetView topLeftCell="M44" zoomScale="70" zoomScaleNormal="70" workbookViewId="0">
      <selection activeCell="N67" sqref="N67:N68"/>
    </sheetView>
  </sheetViews>
  <sheetFormatPr defaultRowHeight="15" x14ac:dyDescent="0.25"/>
  <cols>
    <col min="1" max="1" width="12.85546875" customWidth="1"/>
    <col min="2" max="2" width="21" customWidth="1"/>
    <col min="3" max="3" width="19.7109375" customWidth="1"/>
    <col min="4" max="4" width="13.7109375" customWidth="1"/>
    <col min="5" max="5" width="19" customWidth="1"/>
    <col min="6" max="6" width="13.42578125" customWidth="1"/>
    <col min="7" max="7" width="9.85546875" customWidth="1"/>
    <col min="8" max="8" width="10" customWidth="1"/>
    <col min="9" max="9" width="13.42578125" customWidth="1"/>
    <col min="10" max="10" width="10.28515625" customWidth="1"/>
    <col min="11" max="11" width="15.140625" customWidth="1"/>
    <col min="12" max="12" width="9.140625" customWidth="1"/>
    <col min="13" max="13" width="12.42578125" customWidth="1"/>
    <col min="14" max="14" width="19.7109375" customWidth="1"/>
    <col min="15" max="15" width="16.7109375" customWidth="1"/>
    <col min="16" max="16" width="11.85546875" customWidth="1"/>
    <col min="18" max="21" width="9.140625" customWidth="1"/>
    <col min="22" max="22" width="13.140625" customWidth="1"/>
    <col min="23" max="25" width="9.140625" customWidth="1"/>
    <col min="28" max="35" width="9.140625" customWidth="1"/>
    <col min="38" max="38" width="12.42578125" customWidth="1"/>
    <col min="39"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6" width="0" hidden="1" customWidth="1"/>
    <col min="107" max="107" width="12.140625" hidden="1" customWidth="1"/>
    <col min="108" max="109" width="9.140625" hidden="1" customWidth="1"/>
    <col min="110" max="111" width="9.140625" customWidth="1"/>
    <col min="112" max="115" width="9.140625" hidden="1" customWidth="1"/>
    <col min="116" max="117" width="0"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9" width="9.140625" hidden="1" customWidth="1"/>
    <col min="150" max="151" width="9.140625" customWidth="1"/>
    <col min="152" max="155" width="9.140625" hidden="1" customWidth="1"/>
    <col min="156" max="157" width="0" hidden="1" customWidth="1"/>
    <col min="158" max="165" width="9.140625" hidden="1" customWidth="1"/>
    <col min="166" max="167" width="0" hidden="1" customWidth="1"/>
    <col min="168" max="175" width="9.140625" hidden="1" customWidth="1"/>
    <col min="176" max="177" width="0" hidden="1" customWidth="1"/>
    <col min="178" max="185" width="9.140625" hidden="1" customWidth="1"/>
    <col min="186" max="187" width="0" hidden="1" customWidth="1"/>
    <col min="188" max="194" width="9.140625" hidden="1" customWidth="1"/>
    <col min="195" max="195" width="18.140625" hidden="1" customWidth="1"/>
    <col min="196" max="196" width="15.140625" hidden="1" customWidth="1"/>
    <col min="197" max="197" width="17.85546875" hidden="1" customWidth="1"/>
    <col min="198" max="198" width="29" hidden="1" customWidth="1"/>
    <col min="199" max="199" width="30.28515625" hidden="1" customWidth="1"/>
    <col min="200" max="200" width="35.42578125" hidden="1" customWidth="1"/>
    <col min="201" max="201" width="26.140625" hidden="1" customWidth="1"/>
    <col min="202" max="202" width="22.5703125" hidden="1" customWidth="1"/>
    <col min="203" max="203" width="28" hidden="1" customWidth="1"/>
    <col min="204" max="206" width="0" hidden="1" customWidth="1"/>
    <col min="207" max="207" width="20.28515625" hidden="1" customWidth="1"/>
    <col min="208" max="208" width="36" hidden="1" customWidth="1"/>
    <col min="209" max="209" width="35.42578125" hidden="1" customWidth="1"/>
    <col min="210" max="210" width="33.42578125" hidden="1" customWidth="1"/>
    <col min="211" max="211" width="30.85546875" hidden="1" customWidth="1"/>
    <col min="212" max="214" width="0" hidden="1" customWidth="1"/>
    <col min="215" max="215" width="18.28515625" hidden="1" customWidth="1"/>
    <col min="216" max="239" width="0" hidden="1" customWidth="1"/>
  </cols>
  <sheetData>
    <row r="1" spans="1:248" ht="21.75" thickBot="1" x14ac:dyDescent="0.4">
      <c r="A1" s="51"/>
      <c r="B1" s="315" t="s">
        <v>39</v>
      </c>
      <c r="C1" s="381" t="s">
        <v>110</v>
      </c>
      <c r="D1" s="387"/>
      <c r="E1" s="387"/>
      <c r="F1" s="388"/>
      <c r="G1" s="51"/>
      <c r="H1" s="51"/>
    </row>
    <row r="2" spans="1:248" ht="21" x14ac:dyDescent="0.35">
      <c r="A2" s="51"/>
      <c r="B2" s="382" t="s">
        <v>40</v>
      </c>
      <c r="C2" s="314"/>
      <c r="D2" s="314" t="s">
        <v>73</v>
      </c>
      <c r="E2" s="314"/>
      <c r="F2" s="331"/>
      <c r="G2" s="51"/>
      <c r="H2" s="403" t="s">
        <v>277</v>
      </c>
      <c r="I2" s="387"/>
      <c r="J2" s="388"/>
      <c r="N2" s="315" t="s">
        <v>64</v>
      </c>
      <c r="O2" s="316"/>
      <c r="P2" s="316"/>
      <c r="Q2" s="316"/>
      <c r="R2" s="316"/>
      <c r="S2" s="316"/>
      <c r="T2" s="316"/>
      <c r="U2" s="316"/>
      <c r="V2" s="316"/>
      <c r="W2" s="324"/>
    </row>
    <row r="3" spans="1:248" ht="18.75" x14ac:dyDescent="0.3">
      <c r="A3" s="51"/>
      <c r="B3" s="382" t="s">
        <v>41</v>
      </c>
      <c r="C3" s="314" t="str">
        <f>IF('DATA ENTRY'!B9="mm",'DATA ENTRY'!B10/25.4,'DATA ENTRY'!B10)</f>
        <v>ENTER WIDTH</v>
      </c>
      <c r="D3" s="287" t="e">
        <f>IF('DATA ENTRY'!B12="ACTUAL",'QAF1245'!C3,'QAF1245'!C3-0.5)</f>
        <v>#VALUE!</v>
      </c>
      <c r="E3" s="314"/>
      <c r="F3" s="331"/>
      <c r="G3" s="359"/>
      <c r="H3" s="330" t="s">
        <v>278</v>
      </c>
      <c r="J3" s="331" t="e">
        <f>D3*D4/144</f>
        <v>#VALUE!</v>
      </c>
      <c r="N3" s="48"/>
      <c r="O3" s="47"/>
      <c r="P3" s="47"/>
      <c r="Q3" s="47"/>
      <c r="R3" s="47"/>
      <c r="S3" s="47"/>
      <c r="T3" s="47"/>
      <c r="U3" s="47"/>
      <c r="V3" s="47"/>
      <c r="W3" s="278"/>
    </row>
    <row r="4" spans="1:248" ht="18.75" x14ac:dyDescent="0.3">
      <c r="A4" s="51"/>
      <c r="B4" s="382" t="s">
        <v>42</v>
      </c>
      <c r="C4" s="314" t="str">
        <f>IF('DATA ENTRY'!B9="mm",'DATA ENTRY'!B11/25.4,'DATA ENTRY'!B11)</f>
        <v>ENTER HEIGHT</v>
      </c>
      <c r="D4" s="287" t="e">
        <f>IF('DATA ENTRY'!B12="ACTUAL",'QAF1245'!C4,'QAF1245'!C4-0.5)</f>
        <v>#VALUE!</v>
      </c>
      <c r="E4" s="314"/>
      <c r="F4" s="331"/>
      <c r="G4" s="51"/>
      <c r="H4" s="330" t="s">
        <v>279</v>
      </c>
      <c r="I4" s="314"/>
      <c r="J4" s="331" t="e">
        <f>C5/J3</f>
        <v>#VALUE!</v>
      </c>
      <c r="N4" s="280"/>
      <c r="O4" s="282" t="str">
        <f>C1&amp;"_MODEL"</f>
        <v>QAF1245_MODEL</v>
      </c>
      <c r="P4" s="282" t="s">
        <v>113</v>
      </c>
      <c r="Q4" s="282"/>
      <c r="R4" s="282"/>
      <c r="S4" s="282"/>
      <c r="T4" s="282"/>
      <c r="U4" s="282"/>
      <c r="V4" s="287" t="s">
        <v>116</v>
      </c>
      <c r="W4" s="291"/>
    </row>
    <row r="5" spans="1:248" ht="18.75" x14ac:dyDescent="0.3">
      <c r="A5" s="51"/>
      <c r="B5" s="382" t="s">
        <v>43</v>
      </c>
      <c r="C5" s="509" t="str">
        <f>IF('DATA ENTRY'!B9="mm",'DATA ENTRY'!B13*2.1188799727597,'DATA ENTRY'!B13)</f>
        <v>ENTER AIR VOLUME</v>
      </c>
      <c r="D5" s="314"/>
      <c r="E5" s="314"/>
      <c r="F5" s="331"/>
      <c r="G5" s="51"/>
      <c r="H5" s="330"/>
      <c r="I5" s="314"/>
      <c r="J5" s="331"/>
      <c r="N5" s="280" t="s">
        <v>93</v>
      </c>
      <c r="O5" s="282" t="str">
        <f>C1&amp;"_FA"</f>
        <v>QAF1245_FA</v>
      </c>
      <c r="P5" s="283" t="e">
        <f>D64</f>
        <v>#VALUE!</v>
      </c>
      <c r="Q5" s="282" t="s">
        <v>45</v>
      </c>
      <c r="R5" s="282"/>
      <c r="S5" s="282"/>
      <c r="T5" s="282"/>
      <c r="U5" s="282"/>
      <c r="V5" s="282" t="str">
        <f>C1&amp;"_W"</f>
        <v>QAF1245_W</v>
      </c>
      <c r="W5" s="286" t="e">
        <f>D3</f>
        <v>#VALUE!</v>
      </c>
    </row>
    <row r="6" spans="1:248" ht="18.75" x14ac:dyDescent="0.3">
      <c r="A6" s="51"/>
      <c r="B6" s="382" t="s">
        <v>44</v>
      </c>
      <c r="C6" s="383" t="str">
        <f>'DATA ENTRY'!B14</f>
        <v>SELECT AIR DIRECTION</v>
      </c>
      <c r="D6" s="314"/>
      <c r="E6" s="314"/>
      <c r="F6" s="331"/>
      <c r="G6" s="51"/>
      <c r="H6" s="330"/>
      <c r="I6" s="314"/>
      <c r="J6" s="331"/>
      <c r="N6" s="280" t="s">
        <v>70</v>
      </c>
      <c r="O6" s="282" t="str">
        <f>C1&amp;"_FA%"</f>
        <v>QAF1245_FA%</v>
      </c>
      <c r="P6" s="284" t="e">
        <f>D66</f>
        <v>#VALUE!</v>
      </c>
      <c r="Q6" s="282" t="s">
        <v>16</v>
      </c>
      <c r="R6" s="282"/>
      <c r="S6" s="282"/>
      <c r="T6" s="282"/>
      <c r="U6" s="282"/>
      <c r="V6" s="282" t="str">
        <f>C1&amp;"_H"</f>
        <v>QAF1245_H</v>
      </c>
      <c r="W6" s="286" t="e">
        <f>D4</f>
        <v>#VALUE!</v>
      </c>
    </row>
    <row r="7" spans="1:248" ht="19.5" thickBot="1" x14ac:dyDescent="0.35">
      <c r="A7" s="51"/>
      <c r="B7" s="330"/>
      <c r="C7" s="314"/>
      <c r="D7" s="314"/>
      <c r="E7" s="314"/>
      <c r="F7" s="331"/>
      <c r="G7" s="51"/>
      <c r="H7" s="543"/>
      <c r="I7" s="544"/>
      <c r="J7" s="545"/>
      <c r="N7" s="280" t="s">
        <v>96</v>
      </c>
      <c r="O7" s="282" t="str">
        <f>C1&amp;"_VEL"</f>
        <v>QAF1245_VEL</v>
      </c>
      <c r="P7" s="284" t="e">
        <f>D68</f>
        <v>#VALUE!</v>
      </c>
      <c r="Q7" s="282" t="s">
        <v>0</v>
      </c>
      <c r="R7" s="282"/>
      <c r="S7" s="282"/>
      <c r="T7" s="282"/>
      <c r="U7" s="282"/>
      <c r="V7" s="282" t="str">
        <f>C1&amp;"_SW"</f>
        <v>QAF1245_SW</v>
      </c>
      <c r="W7" s="286" t="e">
        <f>C8</f>
        <v>#VALUE!</v>
      </c>
    </row>
    <row r="8" spans="1:248" ht="18.75" x14ac:dyDescent="0.3">
      <c r="A8" s="51"/>
      <c r="B8" s="382" t="s">
        <v>74</v>
      </c>
      <c r="C8" s="314" t="e">
        <f>CEILING(D3/72,1)</f>
        <v>#VALUE!</v>
      </c>
      <c r="D8" s="314"/>
      <c r="E8" s="314" t="s">
        <v>75</v>
      </c>
      <c r="F8" s="331" t="e">
        <f>CEILING(D4/96,1)</f>
        <v>#VALUE!</v>
      </c>
      <c r="G8" s="51"/>
      <c r="H8" s="51"/>
      <c r="N8" s="280" t="s">
        <v>94</v>
      </c>
      <c r="O8" s="282" t="str">
        <f>C1&amp;"_Intake"</f>
        <v>QAF1245_Intake</v>
      </c>
      <c r="P8" s="285" t="e">
        <f>D69</f>
        <v>#VALUE!</v>
      </c>
      <c r="Q8" s="282" t="s">
        <v>99</v>
      </c>
      <c r="R8" s="282"/>
      <c r="S8" s="282"/>
      <c r="T8" s="282"/>
      <c r="U8" s="282"/>
      <c r="V8" s="282" t="str">
        <f>C1&amp;"_SH"</f>
        <v>QAF1245_SH</v>
      </c>
      <c r="W8" s="286" t="e">
        <f>F8</f>
        <v>#VALUE!</v>
      </c>
    </row>
    <row r="9" spans="1:248" ht="18.75" x14ac:dyDescent="0.3">
      <c r="A9" s="51"/>
      <c r="B9" s="382" t="s">
        <v>72</v>
      </c>
      <c r="C9" s="314" t="e">
        <f>D3/C8</f>
        <v>#VALUE!</v>
      </c>
      <c r="D9" s="314"/>
      <c r="E9" s="314" t="s">
        <v>63</v>
      </c>
      <c r="F9" s="331" t="e">
        <f>D4/F8</f>
        <v>#VALUE!</v>
      </c>
      <c r="G9" s="51"/>
      <c r="H9" s="51"/>
      <c r="N9" s="280" t="s">
        <v>95</v>
      </c>
      <c r="O9" s="282" t="str">
        <f>C1&amp;"_Exhaust"</f>
        <v>QAF1245_Exhaust</v>
      </c>
      <c r="P9" s="285" t="e">
        <f>D70</f>
        <v>#VALUE!</v>
      </c>
      <c r="Q9" s="282" t="s">
        <v>99</v>
      </c>
      <c r="R9" s="282"/>
      <c r="S9" s="282"/>
      <c r="T9" s="282"/>
      <c r="U9" s="282"/>
      <c r="V9" s="282"/>
      <c r="W9" s="291"/>
    </row>
    <row r="10" spans="1:248" ht="18.75" x14ac:dyDescent="0.3">
      <c r="A10" s="51"/>
      <c r="B10" s="330"/>
      <c r="C10" s="314"/>
      <c r="D10" s="314"/>
      <c r="E10" s="314"/>
      <c r="F10" s="331"/>
      <c r="G10" s="51"/>
      <c r="H10" s="51"/>
      <c r="N10" s="280" t="s">
        <v>100</v>
      </c>
      <c r="O10" s="282" t="str">
        <f>C1&amp;"_SEC"</f>
        <v>QAF1245_SEC</v>
      </c>
      <c r="P10" s="282" t="e">
        <f>C11</f>
        <v>#VALUE!</v>
      </c>
      <c r="Q10" s="282"/>
      <c r="R10" s="282"/>
      <c r="S10" s="282"/>
      <c r="T10" s="282"/>
      <c r="U10" s="282"/>
      <c r="V10" s="282"/>
      <c r="W10" s="291"/>
    </row>
    <row r="11" spans="1:248" ht="18.75" x14ac:dyDescent="0.3">
      <c r="A11" s="51"/>
      <c r="B11" s="382" t="s">
        <v>76</v>
      </c>
      <c r="C11" s="314" t="e">
        <f>C8*F8</f>
        <v>#VALUE!</v>
      </c>
      <c r="D11" s="314"/>
      <c r="E11" s="383" t="s">
        <v>164</v>
      </c>
      <c r="F11" s="384">
        <v>12</v>
      </c>
      <c r="G11" s="51"/>
      <c r="H11" s="51"/>
      <c r="N11" s="280" t="s">
        <v>97</v>
      </c>
      <c r="O11" s="282" t="str">
        <f>C1&amp;"_SECW"</f>
        <v>QAF1245_SECW</v>
      </c>
      <c r="P11" s="364" t="e">
        <f>AB79</f>
        <v>#VALUE!</v>
      </c>
      <c r="Q11" s="282" t="s">
        <v>86</v>
      </c>
      <c r="R11" s="282"/>
      <c r="S11" s="282"/>
      <c r="T11" s="282"/>
      <c r="U11" s="282"/>
      <c r="V11" s="282"/>
      <c r="W11" s="291"/>
    </row>
    <row r="12" spans="1:248" ht="18.75" x14ac:dyDescent="0.3">
      <c r="A12" s="51"/>
      <c r="B12" s="330"/>
      <c r="C12" s="314"/>
      <c r="D12" s="314"/>
      <c r="E12" s="383" t="s">
        <v>165</v>
      </c>
      <c r="F12" s="384">
        <v>19.75</v>
      </c>
      <c r="G12" s="51"/>
      <c r="H12" s="51"/>
      <c r="N12" s="280" t="s">
        <v>98</v>
      </c>
      <c r="O12" s="282" t="str">
        <f>C1&amp;"_TW"</f>
        <v>QAF1245_TW</v>
      </c>
      <c r="P12" s="364" t="e">
        <f>AB78</f>
        <v>#VALUE!</v>
      </c>
      <c r="Q12" s="282" t="s">
        <v>86</v>
      </c>
      <c r="R12" s="47"/>
      <c r="S12" s="47"/>
      <c r="T12" s="47"/>
      <c r="U12" s="47"/>
      <c r="V12" s="47"/>
      <c r="W12" s="278"/>
    </row>
    <row r="13" spans="1:248" ht="18.75" x14ac:dyDescent="0.3">
      <c r="A13" s="51"/>
      <c r="B13" s="330"/>
      <c r="C13" s="314"/>
      <c r="D13" s="314"/>
      <c r="E13" s="383"/>
      <c r="F13" s="384"/>
      <c r="G13" s="51"/>
      <c r="H13" s="51"/>
      <c r="N13" s="280" t="s">
        <v>280</v>
      </c>
      <c r="O13" s="282" t="str">
        <f>$C$1&amp;"_FACEAREA"</f>
        <v>QAF1245_FACEAREA</v>
      </c>
      <c r="P13" s="364" t="e">
        <f>J3</f>
        <v>#VALUE!</v>
      </c>
      <c r="Q13" s="282" t="s">
        <v>45</v>
      </c>
      <c r="R13" s="47"/>
      <c r="S13" s="47"/>
      <c r="T13" s="47"/>
      <c r="U13" s="47"/>
      <c r="V13" s="47"/>
      <c r="W13" s="278"/>
    </row>
    <row r="14" spans="1:248" ht="19.5" thickBot="1" x14ac:dyDescent="0.35">
      <c r="A14" s="51"/>
      <c r="B14" s="330"/>
      <c r="C14" s="314"/>
      <c r="D14" s="314"/>
      <c r="E14" s="383"/>
      <c r="F14" s="384"/>
      <c r="G14" s="51"/>
      <c r="H14" s="51"/>
      <c r="N14" s="281" t="s">
        <v>277</v>
      </c>
      <c r="O14" s="395" t="str">
        <f>$C$1&amp;"_FACEVEL"</f>
        <v>QAF1245_FACEVEL</v>
      </c>
      <c r="P14" s="472" t="e">
        <f>J4</f>
        <v>#VALUE!</v>
      </c>
      <c r="Q14" s="395" t="s">
        <v>0</v>
      </c>
      <c r="R14" s="50"/>
      <c r="S14" s="50"/>
      <c r="T14" s="50"/>
      <c r="U14" s="50"/>
      <c r="V14" s="50"/>
      <c r="W14" s="279"/>
    </row>
    <row r="15" spans="1:248" ht="15.75" thickBot="1" x14ac:dyDescent="0.3">
      <c r="B15" s="49"/>
      <c r="C15" s="50"/>
      <c r="D15" s="50"/>
      <c r="E15" s="50"/>
      <c r="F15" s="279"/>
    </row>
    <row r="16" spans="1:24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5"/>
      <c r="W16" s="94"/>
      <c r="X16" s="95"/>
      <c r="AT16" s="886" t="s">
        <v>110</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8"/>
    </row>
    <row r="17" spans="2:248" ht="15.75" thickBot="1" x14ac:dyDescent="0.3">
      <c r="B17" s="66"/>
      <c r="C17" s="68"/>
      <c r="D17" s="68">
        <f>F11</f>
        <v>12</v>
      </c>
      <c r="E17" s="68">
        <f>D17+6</f>
        <v>18</v>
      </c>
      <c r="F17" s="68">
        <f t="shared" ref="F17:G17" si="0">E17+6</f>
        <v>24</v>
      </c>
      <c r="G17" s="68">
        <f t="shared" si="0"/>
        <v>30</v>
      </c>
      <c r="H17" s="68">
        <f>G17+6</f>
        <v>36</v>
      </c>
      <c r="I17" s="68">
        <v>42</v>
      </c>
      <c r="J17" s="68">
        <v>48</v>
      </c>
      <c r="K17" s="68">
        <v>54</v>
      </c>
      <c r="L17" s="68">
        <v>60</v>
      </c>
      <c r="M17" s="68">
        <v>66</v>
      </c>
      <c r="N17" s="68">
        <v>72</v>
      </c>
      <c r="O17" s="68">
        <v>78</v>
      </c>
      <c r="P17" s="68">
        <v>84</v>
      </c>
      <c r="Q17" s="68">
        <v>90</v>
      </c>
      <c r="R17" s="68">
        <v>96</v>
      </c>
      <c r="S17" s="68">
        <v>102</v>
      </c>
      <c r="T17" s="68">
        <v>108</v>
      </c>
      <c r="U17" s="68">
        <v>114</v>
      </c>
      <c r="V17" s="68">
        <v>120</v>
      </c>
      <c r="W17" s="64"/>
      <c r="X17" s="65"/>
      <c r="AT17" s="4"/>
      <c r="AU17" s="5"/>
      <c r="AV17" s="5"/>
      <c r="AW17" s="5"/>
      <c r="AX17" s="6"/>
      <c r="AY17" s="7"/>
      <c r="AZ17" s="7"/>
      <c r="BA17" s="7"/>
      <c r="BB17" s="7"/>
      <c r="BC17" s="7"/>
      <c r="BD17" s="7"/>
      <c r="BE17" s="7"/>
      <c r="BF17" s="7"/>
      <c r="BG17" s="7"/>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5"/>
      <c r="IE17" s="5"/>
      <c r="IF17" s="5"/>
      <c r="IG17" s="5"/>
      <c r="IH17" s="5"/>
      <c r="II17" s="5"/>
      <c r="IJ17" s="5"/>
      <c r="IK17" s="5"/>
      <c r="IL17" s="5"/>
      <c r="IM17" s="5"/>
      <c r="IN17" s="8"/>
    </row>
    <row r="18" spans="2:248" ht="16.5" thickBot="1" x14ac:dyDescent="0.3">
      <c r="B18" s="107" t="s">
        <v>123</v>
      </c>
      <c r="C18" s="104">
        <v>1</v>
      </c>
      <c r="D18" s="105">
        <v>2</v>
      </c>
      <c r="E18" s="106">
        <v>3</v>
      </c>
      <c r="F18" s="106">
        <v>4</v>
      </c>
      <c r="G18" s="106">
        <v>5</v>
      </c>
      <c r="H18" s="106">
        <v>6</v>
      </c>
      <c r="I18" s="106">
        <v>7</v>
      </c>
      <c r="J18" s="106">
        <v>8</v>
      </c>
      <c r="K18" s="106">
        <v>9</v>
      </c>
      <c r="L18" s="106">
        <v>10</v>
      </c>
      <c r="M18" s="106">
        <v>11</v>
      </c>
      <c r="N18" s="106">
        <v>12</v>
      </c>
      <c r="O18" s="106">
        <v>13</v>
      </c>
      <c r="P18" s="106">
        <v>14</v>
      </c>
      <c r="Q18" s="106">
        <v>15</v>
      </c>
      <c r="R18" s="106">
        <v>16</v>
      </c>
      <c r="S18" s="106">
        <v>17</v>
      </c>
      <c r="T18" s="106">
        <v>18</v>
      </c>
      <c r="U18" s="106">
        <v>19</v>
      </c>
      <c r="V18" s="106">
        <v>20</v>
      </c>
      <c r="W18" s="64"/>
      <c r="X18" s="65"/>
      <c r="AT18" s="4"/>
      <c r="AU18" s="889" t="s">
        <v>17</v>
      </c>
      <c r="AV18" s="890"/>
      <c r="AW18" s="209"/>
      <c r="AX18" s="895" t="s">
        <v>18</v>
      </c>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208"/>
      <c r="HY18" s="208"/>
      <c r="HZ18" s="208"/>
      <c r="IA18" s="208"/>
      <c r="IB18" s="208"/>
      <c r="IC18" s="208"/>
      <c r="ID18" s="198"/>
      <c r="IE18" s="200"/>
      <c r="IF18" s="5"/>
      <c r="IG18" s="9"/>
      <c r="IH18" s="9"/>
      <c r="II18" s="9"/>
      <c r="IJ18" s="9"/>
      <c r="IK18" s="9"/>
      <c r="IL18" s="9"/>
      <c r="IM18" s="9"/>
      <c r="IN18" s="8"/>
    </row>
    <row r="19" spans="2:248" ht="15" customHeight="1" thickBot="1" x14ac:dyDescent="0.3">
      <c r="B19" s="103"/>
      <c r="C19" s="101"/>
      <c r="D19" s="497"/>
      <c r="E19" s="258"/>
      <c r="F19" s="258"/>
      <c r="G19" s="258"/>
      <c r="H19" s="258"/>
      <c r="I19" s="258"/>
      <c r="J19" s="258"/>
      <c r="K19" s="258"/>
      <c r="L19" s="258"/>
      <c r="M19" s="258"/>
      <c r="N19" s="258"/>
      <c r="O19" s="258"/>
      <c r="P19" s="258"/>
      <c r="Q19" s="258"/>
      <c r="R19" s="258"/>
      <c r="S19" s="258"/>
      <c r="T19" s="258"/>
      <c r="U19" s="258"/>
      <c r="V19" s="258"/>
      <c r="W19" s="96"/>
      <c r="X19" s="97"/>
      <c r="Y19" s="83"/>
      <c r="Z19" s="83"/>
      <c r="AA19" s="83"/>
      <c r="AT19" s="4"/>
      <c r="AU19" s="891"/>
      <c r="AV19" s="892"/>
      <c r="AW19" s="210"/>
      <c r="AX19" s="897"/>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207"/>
      <c r="HY19" s="207"/>
      <c r="HZ19" s="207"/>
      <c r="IA19" s="207"/>
      <c r="IB19" s="207"/>
      <c r="IC19" s="207"/>
      <c r="ID19" s="199"/>
      <c r="IE19" s="201"/>
      <c r="IF19" s="5"/>
      <c r="IG19" s="899" t="s">
        <v>19</v>
      </c>
      <c r="IH19" s="900"/>
      <c r="II19" s="900"/>
      <c r="IJ19" s="900"/>
      <c r="IK19" s="900"/>
      <c r="IL19" s="900"/>
      <c r="IM19" s="901"/>
      <c r="IN19" s="8"/>
    </row>
    <row r="20" spans="2:248" ht="15.75" thickBot="1" x14ac:dyDescent="0.3">
      <c r="B20" s="103">
        <f>F12</f>
        <v>19.75</v>
      </c>
      <c r="C20" s="102">
        <v>3</v>
      </c>
      <c r="D20" s="98">
        <f t="shared" ref="D20:D33" si="1">AX23/((D$17*B20)/144)</f>
        <v>0.14247401494408238</v>
      </c>
      <c r="E20" s="96">
        <f t="shared" ref="E20:E33" si="2">BH23/((E$17*$B20)/144)</f>
        <v>0.15197228260702123</v>
      </c>
      <c r="F20" s="96">
        <f t="shared" ref="F20:F33" si="3">BR23/((F$17*$B20)/144)</f>
        <v>0.15672141643849063</v>
      </c>
      <c r="G20" s="96">
        <f t="shared" ref="G20:G33" si="4">CB23/((G$17*$B20)/144)</f>
        <v>0.15957089673737229</v>
      </c>
      <c r="H20" s="96">
        <f t="shared" ref="H20:H33" si="5">CL23/((H$17*$B20)/144)</f>
        <v>0.16147055026996007</v>
      </c>
      <c r="I20" s="96">
        <f t="shared" ref="I20:I33" si="6">CV23/((I$17*$B20)/144)</f>
        <v>0.16282744565037985</v>
      </c>
      <c r="J20" s="96">
        <f t="shared" ref="J20:J33" si="7">DF23/((J$17*$B20)/144)</f>
        <v>0.16384511718569478</v>
      </c>
      <c r="K20" s="96">
        <f t="shared" ref="K20:K33" si="8">DP23/((K$17*$B20)/144)</f>
        <v>0.16463663949093968</v>
      </c>
      <c r="L20" s="96">
        <f t="shared" ref="L20:L33" si="9">DZ23/((L$17*$B20)/144)</f>
        <v>0.16526985733513561</v>
      </c>
      <c r="M20" s="96">
        <f t="shared" ref="M20:M33" si="10">EJ23/((M$17*$B20)/144)</f>
        <v>0.16578794466220495</v>
      </c>
      <c r="N20" s="96">
        <f t="shared" ref="N20:N33" si="11">ET23/((N$17*$B20)/144)</f>
        <v>0.16621968410142945</v>
      </c>
      <c r="O20" s="259"/>
      <c r="P20" s="259"/>
      <c r="Q20" s="259"/>
      <c r="R20" s="259"/>
      <c r="S20" s="259"/>
      <c r="T20" s="259"/>
      <c r="U20" s="259"/>
      <c r="V20" s="259"/>
      <c r="W20" s="64"/>
      <c r="X20" s="65"/>
      <c r="Z20" s="83"/>
      <c r="AA20" s="83"/>
      <c r="AT20" s="4"/>
      <c r="AU20" s="893"/>
      <c r="AV20" s="894"/>
      <c r="AW20" s="10"/>
      <c r="AX20" s="11">
        <v>12</v>
      </c>
      <c r="AY20" s="12" t="str">
        <f>"("&amp;ROUND(AX20*25.4/50,0)*50&amp;")"</f>
        <v>(300)</v>
      </c>
      <c r="AZ20" s="13" t="s">
        <v>20</v>
      </c>
      <c r="BA20" s="13" t="s">
        <v>21</v>
      </c>
      <c r="BB20" s="13" t="s">
        <v>22</v>
      </c>
      <c r="BC20" s="13" t="s">
        <v>23</v>
      </c>
      <c r="BD20" s="13" t="s">
        <v>24</v>
      </c>
      <c r="BE20" s="13" t="s">
        <v>25</v>
      </c>
      <c r="BF20" s="13" t="s">
        <v>26</v>
      </c>
      <c r="BG20" s="13" t="s">
        <v>27</v>
      </c>
      <c r="BH20" s="11">
        <f>AX20+6</f>
        <v>18</v>
      </c>
      <c r="BI20" s="12" t="str">
        <f>"("&amp;ROUND(BH20*25.4/50,0)*50&amp;")"</f>
        <v>(450)</v>
      </c>
      <c r="BJ20" s="13" t="s">
        <v>20</v>
      </c>
      <c r="BK20" s="13" t="s">
        <v>21</v>
      </c>
      <c r="BL20" s="13" t="s">
        <v>22</v>
      </c>
      <c r="BM20" s="13" t="s">
        <v>23</v>
      </c>
      <c r="BN20" s="13" t="s">
        <v>24</v>
      </c>
      <c r="BO20" s="13" t="s">
        <v>25</v>
      </c>
      <c r="BP20" s="13" t="s">
        <v>26</v>
      </c>
      <c r="BQ20" s="13" t="s">
        <v>27</v>
      </c>
      <c r="BR20" s="11">
        <f>BH20+6</f>
        <v>24</v>
      </c>
      <c r="BS20" s="12" t="str">
        <f>"("&amp;ROUND(BR20*25.4/50,0)*50&amp;")"</f>
        <v>(600)</v>
      </c>
      <c r="BT20" s="13" t="s">
        <v>20</v>
      </c>
      <c r="BU20" s="13" t="s">
        <v>21</v>
      </c>
      <c r="BV20" s="13" t="s">
        <v>22</v>
      </c>
      <c r="BW20" s="13" t="s">
        <v>23</v>
      </c>
      <c r="BX20" s="13" t="s">
        <v>24</v>
      </c>
      <c r="BY20" s="13" t="s">
        <v>25</v>
      </c>
      <c r="BZ20" s="13" t="s">
        <v>26</v>
      </c>
      <c r="CA20" s="13" t="s">
        <v>27</v>
      </c>
      <c r="CB20" s="11">
        <f>BR20+6</f>
        <v>30</v>
      </c>
      <c r="CC20" s="12" t="str">
        <f>"("&amp;ROUND(CB20*25.4/50,0)*50&amp;")"</f>
        <v>(750)</v>
      </c>
      <c r="CD20" s="13" t="s">
        <v>20</v>
      </c>
      <c r="CE20" s="13" t="s">
        <v>21</v>
      </c>
      <c r="CF20" s="13" t="s">
        <v>22</v>
      </c>
      <c r="CG20" s="13" t="s">
        <v>23</v>
      </c>
      <c r="CH20" s="13" t="s">
        <v>24</v>
      </c>
      <c r="CI20" s="13" t="s">
        <v>25</v>
      </c>
      <c r="CJ20" s="13" t="s">
        <v>26</v>
      </c>
      <c r="CK20" s="13" t="s">
        <v>27</v>
      </c>
      <c r="CL20" s="11">
        <f>CB20+6</f>
        <v>36</v>
      </c>
      <c r="CM20" s="12" t="str">
        <f>"("&amp;ROUND(CL20*25.4/50,0)*50&amp;")"</f>
        <v>(900)</v>
      </c>
      <c r="CN20" s="13" t="s">
        <v>20</v>
      </c>
      <c r="CO20" s="13" t="s">
        <v>21</v>
      </c>
      <c r="CP20" s="13" t="s">
        <v>22</v>
      </c>
      <c r="CQ20" s="13" t="s">
        <v>23</v>
      </c>
      <c r="CR20" s="13" t="s">
        <v>24</v>
      </c>
      <c r="CS20" s="13" t="s">
        <v>25</v>
      </c>
      <c r="CT20" s="13" t="s">
        <v>26</v>
      </c>
      <c r="CU20" s="13" t="s">
        <v>27</v>
      </c>
      <c r="CV20" s="11">
        <f>CL20+6</f>
        <v>42</v>
      </c>
      <c r="CW20" s="12" t="str">
        <f>"("&amp;ROUND(CV20*25.4/50,0)*50&amp;")"</f>
        <v>(1050)</v>
      </c>
      <c r="CX20" s="13" t="s">
        <v>20</v>
      </c>
      <c r="CY20" s="13" t="s">
        <v>21</v>
      </c>
      <c r="CZ20" s="13" t="s">
        <v>22</v>
      </c>
      <c r="DA20" s="13" t="s">
        <v>23</v>
      </c>
      <c r="DB20" s="13" t="s">
        <v>24</v>
      </c>
      <c r="DC20" s="13" t="s">
        <v>25</v>
      </c>
      <c r="DD20" s="13" t="s">
        <v>26</v>
      </c>
      <c r="DE20" s="13" t="s">
        <v>27</v>
      </c>
      <c r="DF20" s="11">
        <f>CV20+6</f>
        <v>48</v>
      </c>
      <c r="DG20" s="12" t="str">
        <f>"("&amp;ROUND(DF20*25.4/50,0)*50&amp;")"</f>
        <v>(1200)</v>
      </c>
      <c r="DH20" s="13" t="s">
        <v>20</v>
      </c>
      <c r="DI20" s="13" t="s">
        <v>21</v>
      </c>
      <c r="DJ20" s="13" t="s">
        <v>22</v>
      </c>
      <c r="DK20" s="13" t="s">
        <v>23</v>
      </c>
      <c r="DL20" s="13" t="s">
        <v>24</v>
      </c>
      <c r="DM20" s="13" t="s">
        <v>25</v>
      </c>
      <c r="DN20" s="13" t="s">
        <v>26</v>
      </c>
      <c r="DO20" s="13" t="s">
        <v>27</v>
      </c>
      <c r="DP20" s="11">
        <f>DF20+6</f>
        <v>54</v>
      </c>
      <c r="DQ20" s="12" t="str">
        <f>"("&amp;ROUND(DP20*25.4/50,0)*50&amp;")"</f>
        <v>(1350)</v>
      </c>
      <c r="DR20" s="13" t="s">
        <v>20</v>
      </c>
      <c r="DS20" s="13" t="s">
        <v>21</v>
      </c>
      <c r="DT20" s="13" t="s">
        <v>22</v>
      </c>
      <c r="DU20" s="13" t="s">
        <v>23</v>
      </c>
      <c r="DV20" s="13" t="s">
        <v>24</v>
      </c>
      <c r="DW20" s="13" t="s">
        <v>25</v>
      </c>
      <c r="DX20" s="13" t="s">
        <v>26</v>
      </c>
      <c r="DY20" s="13" t="s">
        <v>27</v>
      </c>
      <c r="DZ20" s="11">
        <f>DP20+6</f>
        <v>60</v>
      </c>
      <c r="EA20" s="12" t="str">
        <f>"("&amp;ROUND(DZ20*25.4/50,0)*50&amp;")"</f>
        <v>(1500)</v>
      </c>
      <c r="EB20" s="13" t="s">
        <v>20</v>
      </c>
      <c r="EC20" s="13" t="s">
        <v>21</v>
      </c>
      <c r="ED20" s="13" t="s">
        <v>22</v>
      </c>
      <c r="EE20" s="13" t="s">
        <v>23</v>
      </c>
      <c r="EF20" s="13" t="s">
        <v>24</v>
      </c>
      <c r="EG20" s="13" t="s">
        <v>25</v>
      </c>
      <c r="EH20" s="13" t="s">
        <v>26</v>
      </c>
      <c r="EI20" s="13" t="s">
        <v>27</v>
      </c>
      <c r="EJ20" s="11">
        <f>DZ20+6</f>
        <v>66</v>
      </c>
      <c r="EK20" s="12" t="str">
        <f>"("&amp;ROUND(EJ20*25.4/50,0)*50&amp;")"</f>
        <v>(1700)</v>
      </c>
      <c r="EL20" s="13" t="s">
        <v>20</v>
      </c>
      <c r="EM20" s="13" t="s">
        <v>21</v>
      </c>
      <c r="EN20" s="13" t="s">
        <v>22</v>
      </c>
      <c r="EO20" s="13" t="s">
        <v>23</v>
      </c>
      <c r="EP20" s="13" t="s">
        <v>24</v>
      </c>
      <c r="EQ20" s="13" t="s">
        <v>25</v>
      </c>
      <c r="ER20" s="13" t="s">
        <v>26</v>
      </c>
      <c r="ES20" s="13" t="s">
        <v>27</v>
      </c>
      <c r="ET20" s="11">
        <f>EJ20+6</f>
        <v>72</v>
      </c>
      <c r="EU20" s="12" t="str">
        <f>"("&amp;ROUND(ET20*25.4/50,0)*50&amp;")"</f>
        <v>(1850)</v>
      </c>
      <c r="EV20" s="13" t="s">
        <v>20</v>
      </c>
      <c r="EW20" s="13" t="s">
        <v>21</v>
      </c>
      <c r="EX20" s="13" t="s">
        <v>22</v>
      </c>
      <c r="EY20" s="13" t="s">
        <v>23</v>
      </c>
      <c r="EZ20" s="13" t="s">
        <v>24</v>
      </c>
      <c r="FA20" s="13" t="s">
        <v>25</v>
      </c>
      <c r="FB20" s="13" t="s">
        <v>26</v>
      </c>
      <c r="FC20" s="13" t="s">
        <v>27</v>
      </c>
      <c r="FD20" s="11">
        <f>ET20+6</f>
        <v>78</v>
      </c>
      <c r="FE20" s="12" t="str">
        <f>"("&amp;ROUND(FD20*25.4/50,0)*50&amp;")"</f>
        <v>(2000)</v>
      </c>
      <c r="FF20" s="13" t="s">
        <v>20</v>
      </c>
      <c r="FG20" s="13" t="s">
        <v>21</v>
      </c>
      <c r="FH20" s="13" t="s">
        <v>22</v>
      </c>
      <c r="FI20" s="13" t="s">
        <v>23</v>
      </c>
      <c r="FJ20" s="13" t="s">
        <v>24</v>
      </c>
      <c r="FK20" s="13" t="s">
        <v>25</v>
      </c>
      <c r="FL20" s="13" t="s">
        <v>26</v>
      </c>
      <c r="FM20" s="13" t="s">
        <v>27</v>
      </c>
      <c r="FN20" s="11">
        <f>FD20+6</f>
        <v>84</v>
      </c>
      <c r="FO20" s="12" t="str">
        <f>"("&amp;ROUND(FN20*25.4/50,0)*50&amp;")"</f>
        <v>(2150)</v>
      </c>
      <c r="FP20" s="13" t="s">
        <v>20</v>
      </c>
      <c r="FQ20" s="13" t="s">
        <v>21</v>
      </c>
      <c r="FR20" s="13" t="s">
        <v>22</v>
      </c>
      <c r="FS20" s="13" t="s">
        <v>23</v>
      </c>
      <c r="FT20" s="13" t="s">
        <v>24</v>
      </c>
      <c r="FU20" s="13" t="s">
        <v>25</v>
      </c>
      <c r="FV20" s="13" t="s">
        <v>26</v>
      </c>
      <c r="FW20" s="13" t="s">
        <v>27</v>
      </c>
      <c r="FX20" s="11">
        <f>FN20+6</f>
        <v>90</v>
      </c>
      <c r="FY20" s="12" t="str">
        <f>"("&amp;ROUND(FX20*25.4/50,0)*50&amp;")"</f>
        <v>(2300)</v>
      </c>
      <c r="FZ20" s="13" t="s">
        <v>20</v>
      </c>
      <c r="GA20" s="13" t="s">
        <v>21</v>
      </c>
      <c r="GB20" s="13" t="s">
        <v>22</v>
      </c>
      <c r="GC20" s="13" t="s">
        <v>23</v>
      </c>
      <c r="GD20" s="13" t="s">
        <v>24</v>
      </c>
      <c r="GE20" s="13" t="s">
        <v>25</v>
      </c>
      <c r="GF20" s="13" t="s">
        <v>26</v>
      </c>
      <c r="GG20" s="13" t="s">
        <v>27</v>
      </c>
      <c r="GH20" s="11">
        <f>FX20+6</f>
        <v>96</v>
      </c>
      <c r="GI20" s="12" t="str">
        <f>"("&amp;ROUND(GH20*25.4/50,0)*50&amp;")"</f>
        <v>(2450)</v>
      </c>
      <c r="GJ20" s="13" t="s">
        <v>20</v>
      </c>
      <c r="GK20" s="13" t="s">
        <v>21</v>
      </c>
      <c r="GL20" s="13" t="s">
        <v>22</v>
      </c>
      <c r="GM20" s="13" t="s">
        <v>23</v>
      </c>
      <c r="GN20" s="13" t="s">
        <v>24</v>
      </c>
      <c r="GO20" s="13" t="s">
        <v>25</v>
      </c>
      <c r="GP20" s="13" t="s">
        <v>26</v>
      </c>
      <c r="GQ20" s="13" t="s">
        <v>27</v>
      </c>
      <c r="GR20" s="11">
        <f>GH20+6</f>
        <v>102</v>
      </c>
      <c r="GS20" s="12" t="str">
        <f>"("&amp;ROUND(GR20*25.4/50,0)*50&amp;")"</f>
        <v>(2600)</v>
      </c>
      <c r="GT20" s="13" t="s">
        <v>20</v>
      </c>
      <c r="GU20" s="13" t="s">
        <v>21</v>
      </c>
      <c r="GV20" s="13" t="s">
        <v>22</v>
      </c>
      <c r="GW20" s="13" t="s">
        <v>23</v>
      </c>
      <c r="GX20" s="13" t="s">
        <v>24</v>
      </c>
      <c r="GY20" s="13" t="s">
        <v>25</v>
      </c>
      <c r="GZ20" s="13" t="s">
        <v>26</v>
      </c>
      <c r="HA20" s="13" t="s">
        <v>27</v>
      </c>
      <c r="HB20" s="11">
        <f>GR20+6</f>
        <v>108</v>
      </c>
      <c r="HC20" s="12" t="str">
        <f>"("&amp;ROUND(HB20*25.4/50,0)*50&amp;")"</f>
        <v>(2750)</v>
      </c>
      <c r="HD20" s="13" t="s">
        <v>20</v>
      </c>
      <c r="HE20" s="13" t="s">
        <v>21</v>
      </c>
      <c r="HF20" s="13" t="s">
        <v>22</v>
      </c>
      <c r="HG20" s="13" t="s">
        <v>23</v>
      </c>
      <c r="HH20" s="13" t="s">
        <v>24</v>
      </c>
      <c r="HI20" s="13" t="s">
        <v>25</v>
      </c>
      <c r="HJ20" s="13" t="s">
        <v>26</v>
      </c>
      <c r="HK20" s="13" t="s">
        <v>27</v>
      </c>
      <c r="HL20" s="11">
        <f>HB20+6</f>
        <v>114</v>
      </c>
      <c r="HM20" s="12" t="str">
        <f>"("&amp;ROUND(HL20*25.4/50,0)*50&amp;")"</f>
        <v>(2900)</v>
      </c>
      <c r="HN20" s="13" t="s">
        <v>20</v>
      </c>
      <c r="HO20" s="13" t="s">
        <v>21</v>
      </c>
      <c r="HP20" s="13" t="s">
        <v>22</v>
      </c>
      <c r="HQ20" s="13" t="s">
        <v>23</v>
      </c>
      <c r="HR20" s="13" t="s">
        <v>24</v>
      </c>
      <c r="HS20" s="13" t="s">
        <v>25</v>
      </c>
      <c r="HT20" s="13" t="s">
        <v>26</v>
      </c>
      <c r="HU20" s="13" t="s">
        <v>27</v>
      </c>
      <c r="HV20" s="11">
        <f>HL20+6</f>
        <v>120</v>
      </c>
      <c r="HW20" s="12" t="str">
        <f>"("&amp;ROUND(HV20*25.4/50,0)*50&amp;")"</f>
        <v>(3050)</v>
      </c>
      <c r="HX20" s="13" t="s">
        <v>20</v>
      </c>
      <c r="HY20" s="13" t="s">
        <v>21</v>
      </c>
      <c r="HZ20" s="13" t="s">
        <v>22</v>
      </c>
      <c r="IA20" s="13" t="s">
        <v>23</v>
      </c>
      <c r="IB20" s="13" t="s">
        <v>24</v>
      </c>
      <c r="IC20" s="13" t="s">
        <v>25</v>
      </c>
      <c r="ID20" s="13" t="s">
        <v>26</v>
      </c>
      <c r="IE20" s="13" t="s">
        <v>27</v>
      </c>
      <c r="IF20" s="15"/>
      <c r="IG20" s="16" t="s">
        <v>28</v>
      </c>
      <c r="IH20" s="16" t="s">
        <v>29</v>
      </c>
      <c r="II20" s="16" t="s">
        <v>30</v>
      </c>
      <c r="IJ20" s="16" t="s">
        <v>31</v>
      </c>
      <c r="IK20" s="16" t="s">
        <v>32</v>
      </c>
      <c r="IL20" s="16" t="s">
        <v>33</v>
      </c>
      <c r="IM20" s="16" t="s">
        <v>34</v>
      </c>
      <c r="IN20" s="8"/>
    </row>
    <row r="21" spans="2:248" ht="15.75" thickBot="1" x14ac:dyDescent="0.3">
      <c r="B21" s="103">
        <v>24</v>
      </c>
      <c r="C21" s="102">
        <v>4</v>
      </c>
      <c r="D21" s="98">
        <f t="shared" si="1"/>
        <v>0.19045138888888888</v>
      </c>
      <c r="E21" s="96">
        <f t="shared" si="2"/>
        <v>0.20314814814814811</v>
      </c>
      <c r="F21" s="96">
        <f t="shared" si="3"/>
        <v>0.20949652777777775</v>
      </c>
      <c r="G21" s="96">
        <f t="shared" si="4"/>
        <v>0.21330555555555555</v>
      </c>
      <c r="H21" s="96">
        <f t="shared" si="5"/>
        <v>0.21584490740740739</v>
      </c>
      <c r="I21" s="96">
        <f t="shared" si="6"/>
        <v>0.21765873015873013</v>
      </c>
      <c r="J21" s="96">
        <f t="shared" si="7"/>
        <v>0.21901909722222221</v>
      </c>
      <c r="K21" s="96">
        <f t="shared" si="8"/>
        <v>0.22007716049382714</v>
      </c>
      <c r="L21" s="96">
        <f t="shared" si="9"/>
        <v>0.22092361111111111</v>
      </c>
      <c r="M21" s="96">
        <f t="shared" si="10"/>
        <v>0.22161616161616157</v>
      </c>
      <c r="N21" s="96">
        <f t="shared" si="11"/>
        <v>0.222193287037037</v>
      </c>
      <c r="O21" s="259"/>
      <c r="P21" s="259"/>
      <c r="Q21" s="259"/>
      <c r="R21" s="259"/>
      <c r="S21" s="259"/>
      <c r="T21" s="259"/>
      <c r="U21" s="259"/>
      <c r="V21" s="259"/>
      <c r="W21" s="64"/>
      <c r="X21" s="65"/>
      <c r="Z21" s="83"/>
      <c r="AA21" s="83"/>
      <c r="AT21" s="4"/>
      <c r="AU21" s="10"/>
      <c r="AV21" s="17"/>
      <c r="AW21" s="18"/>
      <c r="AX21" s="11">
        <v>6</v>
      </c>
      <c r="AY21" s="12">
        <f>AX21+1</f>
        <v>7</v>
      </c>
      <c r="AZ21" s="12">
        <f t="shared" ref="AZ21:DK21" si="12">AY21+1</f>
        <v>8</v>
      </c>
      <c r="BA21" s="12">
        <f t="shared" si="12"/>
        <v>9</v>
      </c>
      <c r="BB21" s="12">
        <f t="shared" si="12"/>
        <v>10</v>
      </c>
      <c r="BC21" s="12">
        <f t="shared" si="12"/>
        <v>11</v>
      </c>
      <c r="BD21" s="12">
        <f t="shared" si="12"/>
        <v>12</v>
      </c>
      <c r="BE21" s="12">
        <f t="shared" si="12"/>
        <v>13</v>
      </c>
      <c r="BF21" s="12">
        <f t="shared" si="12"/>
        <v>14</v>
      </c>
      <c r="BG21" s="12">
        <f t="shared" si="12"/>
        <v>15</v>
      </c>
      <c r="BH21" s="12">
        <f>BG21+1</f>
        <v>16</v>
      </c>
      <c r="BI21" s="12">
        <f t="shared" si="12"/>
        <v>17</v>
      </c>
      <c r="BJ21" s="12">
        <f t="shared" si="12"/>
        <v>18</v>
      </c>
      <c r="BK21" s="12">
        <f t="shared" si="12"/>
        <v>19</v>
      </c>
      <c r="BL21" s="12">
        <f t="shared" si="12"/>
        <v>20</v>
      </c>
      <c r="BM21" s="12">
        <f t="shared" si="12"/>
        <v>21</v>
      </c>
      <c r="BN21" s="12">
        <f t="shared" si="12"/>
        <v>22</v>
      </c>
      <c r="BO21" s="12">
        <f t="shared" si="12"/>
        <v>23</v>
      </c>
      <c r="BP21" s="12">
        <f t="shared" si="12"/>
        <v>24</v>
      </c>
      <c r="BQ21" s="12">
        <f t="shared" si="12"/>
        <v>25</v>
      </c>
      <c r="BR21" s="12">
        <f t="shared" si="12"/>
        <v>26</v>
      </c>
      <c r="BS21" s="12">
        <f t="shared" si="12"/>
        <v>27</v>
      </c>
      <c r="BT21" s="12">
        <f t="shared" si="12"/>
        <v>28</v>
      </c>
      <c r="BU21" s="12">
        <f t="shared" si="12"/>
        <v>29</v>
      </c>
      <c r="BV21" s="12">
        <f t="shared" si="12"/>
        <v>30</v>
      </c>
      <c r="BW21" s="12">
        <f t="shared" si="12"/>
        <v>31</v>
      </c>
      <c r="BX21" s="12">
        <f t="shared" si="12"/>
        <v>32</v>
      </c>
      <c r="BY21" s="12">
        <f t="shared" si="12"/>
        <v>33</v>
      </c>
      <c r="BZ21" s="12">
        <f t="shared" si="12"/>
        <v>34</v>
      </c>
      <c r="CA21" s="12">
        <f t="shared" si="12"/>
        <v>35</v>
      </c>
      <c r="CB21" s="12">
        <f t="shared" si="12"/>
        <v>36</v>
      </c>
      <c r="CC21" s="12">
        <f t="shared" si="12"/>
        <v>37</v>
      </c>
      <c r="CD21" s="12">
        <f t="shared" si="12"/>
        <v>38</v>
      </c>
      <c r="CE21" s="12">
        <f t="shared" si="12"/>
        <v>39</v>
      </c>
      <c r="CF21" s="12">
        <f t="shared" si="12"/>
        <v>40</v>
      </c>
      <c r="CG21" s="12">
        <f t="shared" si="12"/>
        <v>41</v>
      </c>
      <c r="CH21" s="12">
        <f t="shared" si="12"/>
        <v>42</v>
      </c>
      <c r="CI21" s="12">
        <f t="shared" si="12"/>
        <v>43</v>
      </c>
      <c r="CJ21" s="12">
        <f t="shared" si="12"/>
        <v>44</v>
      </c>
      <c r="CK21" s="12">
        <f t="shared" si="12"/>
        <v>45</v>
      </c>
      <c r="CL21" s="12">
        <f t="shared" si="12"/>
        <v>46</v>
      </c>
      <c r="CM21" s="12">
        <f t="shared" si="12"/>
        <v>47</v>
      </c>
      <c r="CN21" s="12">
        <f t="shared" si="12"/>
        <v>48</v>
      </c>
      <c r="CO21" s="12">
        <f t="shared" si="12"/>
        <v>49</v>
      </c>
      <c r="CP21" s="12">
        <f t="shared" si="12"/>
        <v>50</v>
      </c>
      <c r="CQ21" s="12">
        <f t="shared" si="12"/>
        <v>51</v>
      </c>
      <c r="CR21" s="12">
        <f t="shared" si="12"/>
        <v>52</v>
      </c>
      <c r="CS21" s="12">
        <f t="shared" si="12"/>
        <v>53</v>
      </c>
      <c r="CT21" s="12">
        <f t="shared" si="12"/>
        <v>54</v>
      </c>
      <c r="CU21" s="12">
        <f t="shared" si="12"/>
        <v>55</v>
      </c>
      <c r="CV21" s="12">
        <f t="shared" si="12"/>
        <v>56</v>
      </c>
      <c r="CW21" s="12">
        <f t="shared" si="12"/>
        <v>57</v>
      </c>
      <c r="CX21" s="12">
        <f t="shared" si="12"/>
        <v>58</v>
      </c>
      <c r="CY21" s="12">
        <f t="shared" si="12"/>
        <v>59</v>
      </c>
      <c r="CZ21" s="12">
        <f t="shared" si="12"/>
        <v>60</v>
      </c>
      <c r="DA21" s="12">
        <f t="shared" si="12"/>
        <v>61</v>
      </c>
      <c r="DB21" s="12">
        <f t="shared" si="12"/>
        <v>62</v>
      </c>
      <c r="DC21" s="12">
        <f t="shared" si="12"/>
        <v>63</v>
      </c>
      <c r="DD21" s="12">
        <f t="shared" si="12"/>
        <v>64</v>
      </c>
      <c r="DE21" s="12">
        <f t="shared" si="12"/>
        <v>65</v>
      </c>
      <c r="DF21" s="12">
        <f t="shared" si="12"/>
        <v>66</v>
      </c>
      <c r="DG21" s="12">
        <f t="shared" si="12"/>
        <v>67</v>
      </c>
      <c r="DH21" s="12">
        <f t="shared" si="12"/>
        <v>68</v>
      </c>
      <c r="DI21" s="12">
        <f t="shared" si="12"/>
        <v>69</v>
      </c>
      <c r="DJ21" s="12">
        <f t="shared" si="12"/>
        <v>70</v>
      </c>
      <c r="DK21" s="12">
        <f t="shared" si="12"/>
        <v>71</v>
      </c>
      <c r="DL21" s="12">
        <f t="shared" ref="DL21:FW21" si="13">DK21+1</f>
        <v>72</v>
      </c>
      <c r="DM21" s="12">
        <f t="shared" si="13"/>
        <v>73</v>
      </c>
      <c r="DN21" s="12">
        <f t="shared" si="13"/>
        <v>74</v>
      </c>
      <c r="DO21" s="12">
        <f t="shared" si="13"/>
        <v>75</v>
      </c>
      <c r="DP21" s="12">
        <f t="shared" si="13"/>
        <v>76</v>
      </c>
      <c r="DQ21" s="12">
        <f t="shared" si="13"/>
        <v>77</v>
      </c>
      <c r="DR21" s="12">
        <f t="shared" si="13"/>
        <v>78</v>
      </c>
      <c r="DS21" s="12">
        <f t="shared" si="13"/>
        <v>79</v>
      </c>
      <c r="DT21" s="12">
        <f t="shared" si="13"/>
        <v>80</v>
      </c>
      <c r="DU21" s="12">
        <f t="shared" si="13"/>
        <v>81</v>
      </c>
      <c r="DV21" s="12">
        <f t="shared" si="13"/>
        <v>82</v>
      </c>
      <c r="DW21" s="12">
        <f t="shared" si="13"/>
        <v>83</v>
      </c>
      <c r="DX21" s="12">
        <f t="shared" si="13"/>
        <v>84</v>
      </c>
      <c r="DY21" s="12">
        <f t="shared" si="13"/>
        <v>85</v>
      </c>
      <c r="DZ21" s="12">
        <f t="shared" si="13"/>
        <v>86</v>
      </c>
      <c r="EA21" s="12">
        <f t="shared" si="13"/>
        <v>87</v>
      </c>
      <c r="EB21" s="12">
        <f t="shared" si="13"/>
        <v>88</v>
      </c>
      <c r="EC21" s="12">
        <f t="shared" si="13"/>
        <v>89</v>
      </c>
      <c r="ED21" s="12">
        <f t="shared" si="13"/>
        <v>90</v>
      </c>
      <c r="EE21" s="12">
        <f t="shared" si="13"/>
        <v>91</v>
      </c>
      <c r="EF21" s="12">
        <f t="shared" si="13"/>
        <v>92</v>
      </c>
      <c r="EG21" s="12">
        <f t="shared" si="13"/>
        <v>93</v>
      </c>
      <c r="EH21" s="12">
        <f t="shared" si="13"/>
        <v>94</v>
      </c>
      <c r="EI21" s="12">
        <f t="shared" si="13"/>
        <v>95</v>
      </c>
      <c r="EJ21" s="12">
        <f t="shared" si="13"/>
        <v>96</v>
      </c>
      <c r="EK21" s="12">
        <f t="shared" si="13"/>
        <v>97</v>
      </c>
      <c r="EL21" s="12">
        <f t="shared" si="13"/>
        <v>98</v>
      </c>
      <c r="EM21" s="12">
        <f t="shared" si="13"/>
        <v>99</v>
      </c>
      <c r="EN21" s="12">
        <f t="shared" si="13"/>
        <v>100</v>
      </c>
      <c r="EO21" s="12">
        <f t="shared" si="13"/>
        <v>101</v>
      </c>
      <c r="EP21" s="12">
        <f t="shared" si="13"/>
        <v>102</v>
      </c>
      <c r="EQ21" s="12">
        <f t="shared" si="13"/>
        <v>103</v>
      </c>
      <c r="ER21" s="12">
        <f t="shared" si="13"/>
        <v>104</v>
      </c>
      <c r="ES21" s="12">
        <f t="shared" si="13"/>
        <v>105</v>
      </c>
      <c r="ET21" s="12">
        <f t="shared" si="13"/>
        <v>106</v>
      </c>
      <c r="EU21" s="12">
        <f t="shared" si="13"/>
        <v>107</v>
      </c>
      <c r="EV21" s="12">
        <f t="shared" si="13"/>
        <v>108</v>
      </c>
      <c r="EW21" s="12">
        <f t="shared" si="13"/>
        <v>109</v>
      </c>
      <c r="EX21" s="12">
        <f t="shared" si="13"/>
        <v>110</v>
      </c>
      <c r="EY21" s="12">
        <f t="shared" si="13"/>
        <v>111</v>
      </c>
      <c r="EZ21" s="12">
        <f t="shared" si="13"/>
        <v>112</v>
      </c>
      <c r="FA21" s="12">
        <f t="shared" si="13"/>
        <v>113</v>
      </c>
      <c r="FB21" s="12">
        <f t="shared" si="13"/>
        <v>114</v>
      </c>
      <c r="FC21" s="12">
        <f t="shared" si="13"/>
        <v>115</v>
      </c>
      <c r="FD21" s="12">
        <f t="shared" si="13"/>
        <v>116</v>
      </c>
      <c r="FE21" s="12">
        <f t="shared" si="13"/>
        <v>117</v>
      </c>
      <c r="FF21" s="12">
        <f t="shared" si="13"/>
        <v>118</v>
      </c>
      <c r="FG21" s="12">
        <f t="shared" si="13"/>
        <v>119</v>
      </c>
      <c r="FH21" s="12">
        <f t="shared" si="13"/>
        <v>120</v>
      </c>
      <c r="FI21" s="12">
        <f t="shared" si="13"/>
        <v>121</v>
      </c>
      <c r="FJ21" s="12">
        <f t="shared" si="13"/>
        <v>122</v>
      </c>
      <c r="FK21" s="12">
        <f t="shared" si="13"/>
        <v>123</v>
      </c>
      <c r="FL21" s="12">
        <f t="shared" si="13"/>
        <v>124</v>
      </c>
      <c r="FM21" s="12">
        <f t="shared" si="13"/>
        <v>125</v>
      </c>
      <c r="FN21" s="12">
        <f t="shared" si="13"/>
        <v>126</v>
      </c>
      <c r="FO21" s="12">
        <f t="shared" si="13"/>
        <v>127</v>
      </c>
      <c r="FP21" s="12">
        <f t="shared" si="13"/>
        <v>128</v>
      </c>
      <c r="FQ21" s="12">
        <f t="shared" si="13"/>
        <v>129</v>
      </c>
      <c r="FR21" s="12">
        <f t="shared" si="13"/>
        <v>130</v>
      </c>
      <c r="FS21" s="12">
        <f t="shared" si="13"/>
        <v>131</v>
      </c>
      <c r="FT21" s="12">
        <f t="shared" si="13"/>
        <v>132</v>
      </c>
      <c r="FU21" s="12">
        <f t="shared" si="13"/>
        <v>133</v>
      </c>
      <c r="FV21" s="12">
        <f t="shared" si="13"/>
        <v>134</v>
      </c>
      <c r="FW21" s="12">
        <f t="shared" si="13"/>
        <v>135</v>
      </c>
      <c r="FX21" s="12">
        <f t="shared" ref="FX21:HW21" si="14">FW21+1</f>
        <v>136</v>
      </c>
      <c r="FY21" s="12">
        <f t="shared" si="14"/>
        <v>137</v>
      </c>
      <c r="FZ21" s="12">
        <f t="shared" si="14"/>
        <v>138</v>
      </c>
      <c r="GA21" s="12">
        <f t="shared" si="14"/>
        <v>139</v>
      </c>
      <c r="GB21" s="12">
        <f t="shared" si="14"/>
        <v>140</v>
      </c>
      <c r="GC21" s="12">
        <f t="shared" si="14"/>
        <v>141</v>
      </c>
      <c r="GD21" s="12">
        <f t="shared" si="14"/>
        <v>142</v>
      </c>
      <c r="GE21" s="12">
        <f t="shared" si="14"/>
        <v>143</v>
      </c>
      <c r="GF21" s="12">
        <f t="shared" si="14"/>
        <v>144</v>
      </c>
      <c r="GG21" s="12">
        <f t="shared" si="14"/>
        <v>145</v>
      </c>
      <c r="GH21" s="12">
        <f t="shared" si="14"/>
        <v>146</v>
      </c>
      <c r="GI21" s="12">
        <f t="shared" si="14"/>
        <v>147</v>
      </c>
      <c r="GJ21" s="12">
        <f t="shared" si="14"/>
        <v>148</v>
      </c>
      <c r="GK21" s="12">
        <f t="shared" si="14"/>
        <v>149</v>
      </c>
      <c r="GL21" s="12">
        <f t="shared" si="14"/>
        <v>150</v>
      </c>
      <c r="GM21" s="12">
        <f t="shared" si="14"/>
        <v>151</v>
      </c>
      <c r="GN21" s="12">
        <f t="shared" si="14"/>
        <v>152</v>
      </c>
      <c r="GO21" s="12">
        <f t="shared" si="14"/>
        <v>153</v>
      </c>
      <c r="GP21" s="12">
        <f t="shared" si="14"/>
        <v>154</v>
      </c>
      <c r="GQ21" s="12">
        <f t="shared" si="14"/>
        <v>155</v>
      </c>
      <c r="GR21" s="12">
        <f t="shared" si="14"/>
        <v>156</v>
      </c>
      <c r="GS21" s="12">
        <f t="shared" si="14"/>
        <v>157</v>
      </c>
      <c r="GT21" s="12">
        <f t="shared" si="14"/>
        <v>158</v>
      </c>
      <c r="GU21" s="12">
        <f t="shared" si="14"/>
        <v>159</v>
      </c>
      <c r="GV21" s="12">
        <f t="shared" si="14"/>
        <v>160</v>
      </c>
      <c r="GW21" s="12">
        <f t="shared" si="14"/>
        <v>161</v>
      </c>
      <c r="GX21" s="12">
        <f t="shared" si="14"/>
        <v>162</v>
      </c>
      <c r="GY21" s="12">
        <f t="shared" si="14"/>
        <v>163</v>
      </c>
      <c r="GZ21" s="12">
        <f t="shared" si="14"/>
        <v>164</v>
      </c>
      <c r="HA21" s="12">
        <f t="shared" si="14"/>
        <v>165</v>
      </c>
      <c r="HB21" s="12">
        <f t="shared" si="14"/>
        <v>166</v>
      </c>
      <c r="HC21" s="12">
        <f t="shared" si="14"/>
        <v>167</v>
      </c>
      <c r="HD21" s="12">
        <f t="shared" si="14"/>
        <v>168</v>
      </c>
      <c r="HE21" s="12">
        <f t="shared" si="14"/>
        <v>169</v>
      </c>
      <c r="HF21" s="12">
        <f t="shared" si="14"/>
        <v>170</v>
      </c>
      <c r="HG21" s="12">
        <f t="shared" si="14"/>
        <v>171</v>
      </c>
      <c r="HH21" s="12">
        <f t="shared" si="14"/>
        <v>172</v>
      </c>
      <c r="HI21" s="12">
        <f t="shared" si="14"/>
        <v>173</v>
      </c>
      <c r="HJ21" s="12">
        <f t="shared" si="14"/>
        <v>174</v>
      </c>
      <c r="HK21" s="12">
        <f t="shared" si="14"/>
        <v>175</v>
      </c>
      <c r="HL21" s="12">
        <f t="shared" si="14"/>
        <v>176</v>
      </c>
      <c r="HM21" s="12">
        <f t="shared" si="14"/>
        <v>177</v>
      </c>
      <c r="HN21" s="12">
        <f t="shared" si="14"/>
        <v>178</v>
      </c>
      <c r="HO21" s="12">
        <f t="shared" si="14"/>
        <v>179</v>
      </c>
      <c r="HP21" s="12">
        <f t="shared" si="14"/>
        <v>180</v>
      </c>
      <c r="HQ21" s="12">
        <f t="shared" si="14"/>
        <v>181</v>
      </c>
      <c r="HR21" s="12">
        <f t="shared" si="14"/>
        <v>182</v>
      </c>
      <c r="HS21" s="12">
        <f t="shared" si="14"/>
        <v>183</v>
      </c>
      <c r="HT21" s="12">
        <f t="shared" si="14"/>
        <v>184</v>
      </c>
      <c r="HU21" s="12">
        <f t="shared" si="14"/>
        <v>185</v>
      </c>
      <c r="HV21" s="12">
        <f t="shared" si="14"/>
        <v>186</v>
      </c>
      <c r="HW21" s="12">
        <f t="shared" si="14"/>
        <v>187</v>
      </c>
      <c r="HX21" s="13"/>
      <c r="HY21" s="13"/>
      <c r="HZ21" s="13"/>
      <c r="IA21" s="13"/>
      <c r="IB21" s="13"/>
      <c r="IC21" s="13"/>
      <c r="ID21" s="13"/>
      <c r="IE21" s="13"/>
      <c r="IF21" s="15"/>
      <c r="IG21" s="16"/>
      <c r="IH21" s="16"/>
      <c r="II21" s="16"/>
      <c r="IJ21" s="16"/>
      <c r="IK21" s="16"/>
      <c r="IL21" s="16"/>
      <c r="IM21" s="16"/>
      <c r="IN21" s="8"/>
    </row>
    <row r="22" spans="2:248" ht="15.75" thickBot="1" x14ac:dyDescent="0.3">
      <c r="B22" s="103">
        <f t="shared" ref="B22:B37" si="15">B21+6</f>
        <v>30</v>
      </c>
      <c r="C22" s="102">
        <v>5</v>
      </c>
      <c r="D22" s="98">
        <f t="shared" si="1"/>
        <v>0.15236111111111111</v>
      </c>
      <c r="E22" s="96">
        <f t="shared" si="2"/>
        <v>0.16251851851851848</v>
      </c>
      <c r="F22" s="96">
        <f t="shared" si="3"/>
        <v>0.1675972222222222</v>
      </c>
      <c r="G22" s="96">
        <f t="shared" si="4"/>
        <v>0.17064444444444443</v>
      </c>
      <c r="H22" s="96">
        <f t="shared" si="5"/>
        <v>0.17267592592592593</v>
      </c>
      <c r="I22" s="96">
        <f t="shared" si="6"/>
        <v>0.17412698412698413</v>
      </c>
      <c r="J22" s="96">
        <f t="shared" si="7"/>
        <v>0.17521527777777776</v>
      </c>
      <c r="K22" s="96">
        <f t="shared" si="8"/>
        <v>0.17606172839506171</v>
      </c>
      <c r="L22" s="96">
        <f t="shared" si="9"/>
        <v>0.17673888888888889</v>
      </c>
      <c r="M22" s="96">
        <f t="shared" si="10"/>
        <v>0.17729292929292925</v>
      </c>
      <c r="N22" s="96">
        <f t="shared" si="11"/>
        <v>0.1777546296296296</v>
      </c>
      <c r="O22" s="259"/>
      <c r="P22" s="259"/>
      <c r="Q22" s="259"/>
      <c r="R22" s="259"/>
      <c r="S22" s="259"/>
      <c r="T22" s="259"/>
      <c r="U22" s="259"/>
      <c r="V22" s="259"/>
      <c r="W22" s="64"/>
      <c r="X22" s="65"/>
      <c r="Z22" s="83"/>
      <c r="AA22" s="83"/>
      <c r="AT22" s="4"/>
      <c r="AU22" s="14"/>
      <c r="AV22" s="12"/>
      <c r="AW22" s="19"/>
      <c r="AX22" s="202"/>
      <c r="AY22" s="203"/>
      <c r="AZ22" s="204"/>
      <c r="BA22" s="204"/>
      <c r="BB22" s="204"/>
      <c r="BC22" s="204"/>
      <c r="BD22" s="204"/>
      <c r="BE22" s="204"/>
      <c r="BF22" s="204"/>
      <c r="BG22" s="205"/>
      <c r="BH22" s="202"/>
      <c r="BI22" s="203"/>
      <c r="BJ22" s="204"/>
      <c r="BK22" s="204"/>
      <c r="BL22" s="204"/>
      <c r="BM22" s="204"/>
      <c r="BN22" s="204"/>
      <c r="BO22" s="204"/>
      <c r="BP22" s="204"/>
      <c r="BQ22" s="205"/>
      <c r="BR22" s="202"/>
      <c r="BS22" s="203"/>
      <c r="BT22" s="204"/>
      <c r="BU22" s="204"/>
      <c r="BV22" s="204"/>
      <c r="BW22" s="204"/>
      <c r="BX22" s="204"/>
      <c r="BY22" s="204"/>
      <c r="BZ22" s="204"/>
      <c r="CA22" s="205"/>
      <c r="CB22" s="202"/>
      <c r="CC22" s="203"/>
      <c r="CD22" s="204"/>
      <c r="CE22" s="204"/>
      <c r="CF22" s="204"/>
      <c r="CG22" s="204"/>
      <c r="CH22" s="204"/>
      <c r="CI22" s="204"/>
      <c r="CJ22" s="204"/>
      <c r="CK22" s="205"/>
      <c r="CL22" s="202"/>
      <c r="CM22" s="203"/>
      <c r="CN22" s="204"/>
      <c r="CO22" s="204"/>
      <c r="CP22" s="204"/>
      <c r="CQ22" s="204"/>
      <c r="CR22" s="204"/>
      <c r="CS22" s="204"/>
      <c r="CT22" s="204"/>
      <c r="CU22" s="205"/>
      <c r="CV22" s="202"/>
      <c r="CW22" s="203"/>
      <c r="CX22" s="204"/>
      <c r="CY22" s="204"/>
      <c r="CZ22" s="204"/>
      <c r="DA22" s="204"/>
      <c r="DB22" s="204"/>
      <c r="DC22" s="204"/>
      <c r="DD22" s="204"/>
      <c r="DE22" s="205"/>
      <c r="DF22" s="202"/>
      <c r="DG22" s="203"/>
      <c r="DH22" s="204"/>
      <c r="DI22" s="204"/>
      <c r="DJ22" s="204"/>
      <c r="DK22" s="204"/>
      <c r="DL22" s="204"/>
      <c r="DM22" s="204"/>
      <c r="DN22" s="204"/>
      <c r="DO22" s="205"/>
      <c r="DP22" s="202"/>
      <c r="DQ22" s="203"/>
      <c r="DR22" s="204"/>
      <c r="DS22" s="204"/>
      <c r="DT22" s="204"/>
      <c r="DU22" s="204"/>
      <c r="DV22" s="204"/>
      <c r="DW22" s="204"/>
      <c r="DX22" s="204"/>
      <c r="DY22" s="205"/>
      <c r="DZ22" s="202"/>
      <c r="EA22" s="203"/>
      <c r="EB22" s="204"/>
      <c r="EC22" s="204"/>
      <c r="ED22" s="204"/>
      <c r="EE22" s="204"/>
      <c r="EF22" s="204"/>
      <c r="EG22" s="204"/>
      <c r="EH22" s="204"/>
      <c r="EI22" s="205"/>
      <c r="EJ22" s="202"/>
      <c r="EK22" s="203"/>
      <c r="EL22" s="204"/>
      <c r="EM22" s="204"/>
      <c r="EN22" s="204"/>
      <c r="EO22" s="204"/>
      <c r="EP22" s="204"/>
      <c r="EQ22" s="204"/>
      <c r="ER22" s="204"/>
      <c r="ES22" s="205"/>
      <c r="ET22" s="202"/>
      <c r="EU22" s="203"/>
      <c r="EV22" s="204"/>
      <c r="EW22" s="204"/>
      <c r="EX22" s="204"/>
      <c r="EY22" s="204"/>
      <c r="EZ22" s="204"/>
      <c r="FA22" s="204"/>
      <c r="FB22" s="204"/>
      <c r="FC22" s="205"/>
      <c r="FD22" s="202"/>
      <c r="FE22" s="203"/>
      <c r="FF22" s="204"/>
      <c r="FG22" s="204"/>
      <c r="FH22" s="204"/>
      <c r="FI22" s="204"/>
      <c r="FJ22" s="204"/>
      <c r="FK22" s="204"/>
      <c r="FL22" s="204"/>
      <c r="FM22" s="205"/>
      <c r="FN22" s="202"/>
      <c r="FO22" s="203"/>
      <c r="FP22" s="204"/>
      <c r="FQ22" s="204"/>
      <c r="FR22" s="204"/>
      <c r="FS22" s="204"/>
      <c r="FT22" s="204"/>
      <c r="FU22" s="204"/>
      <c r="FV22" s="204"/>
      <c r="FW22" s="205"/>
      <c r="FX22" s="202"/>
      <c r="FY22" s="203"/>
      <c r="FZ22" s="204"/>
      <c r="GA22" s="204"/>
      <c r="GB22" s="204"/>
      <c r="GC22" s="204"/>
      <c r="GD22" s="204"/>
      <c r="GE22" s="204"/>
      <c r="GF22" s="204"/>
      <c r="GG22" s="205"/>
      <c r="GH22" s="202"/>
      <c r="GI22" s="203"/>
      <c r="GJ22" s="204"/>
      <c r="GK22" s="204"/>
      <c r="GL22" s="204"/>
      <c r="GM22" s="204"/>
      <c r="GN22" s="204"/>
      <c r="GO22" s="204"/>
      <c r="GP22" s="204"/>
      <c r="GQ22" s="205"/>
      <c r="GR22" s="202"/>
      <c r="GS22" s="203"/>
      <c r="GT22" s="204"/>
      <c r="GU22" s="204"/>
      <c r="GV22" s="204"/>
      <c r="GW22" s="204"/>
      <c r="GX22" s="204"/>
      <c r="GY22" s="204"/>
      <c r="GZ22" s="204"/>
      <c r="HA22" s="205"/>
      <c r="HB22" s="202"/>
      <c r="HC22" s="203"/>
      <c r="HD22" s="204"/>
      <c r="HE22" s="204"/>
      <c r="HF22" s="204"/>
      <c r="HG22" s="204"/>
      <c r="HH22" s="204"/>
      <c r="HI22" s="204"/>
      <c r="HJ22" s="204"/>
      <c r="HK22" s="205"/>
      <c r="HL22" s="202"/>
      <c r="HM22" s="203"/>
      <c r="HN22" s="204"/>
      <c r="HO22" s="204"/>
      <c r="HP22" s="204"/>
      <c r="HQ22" s="204"/>
      <c r="HR22" s="204"/>
      <c r="HS22" s="204"/>
      <c r="HT22" s="204"/>
      <c r="HU22" s="205"/>
      <c r="HV22" s="202"/>
      <c r="HW22" s="203"/>
      <c r="HX22" s="204"/>
      <c r="HY22" s="204"/>
      <c r="HZ22" s="204"/>
      <c r="IA22" s="204"/>
      <c r="IB22" s="204"/>
      <c r="IC22" s="204"/>
      <c r="ID22" s="204"/>
      <c r="IE22" s="205"/>
      <c r="IF22" s="24"/>
      <c r="IG22" s="25"/>
      <c r="IH22" s="26"/>
      <c r="II22" s="26"/>
      <c r="IJ22" s="26"/>
      <c r="IK22" s="26">
        <v>1</v>
      </c>
      <c r="IL22" s="26">
        <v>1</v>
      </c>
      <c r="IM22" s="26">
        <v>1.125</v>
      </c>
      <c r="IN22" s="8"/>
    </row>
    <row r="23" spans="2:248" ht="15.75" thickBot="1" x14ac:dyDescent="0.3">
      <c r="B23" s="103">
        <f t="shared" si="15"/>
        <v>36</v>
      </c>
      <c r="C23" s="102">
        <v>6</v>
      </c>
      <c r="D23" s="98">
        <f t="shared" si="1"/>
        <v>0.20152777777777778</v>
      </c>
      <c r="E23" s="96">
        <f t="shared" si="2"/>
        <v>0.21496296296296294</v>
      </c>
      <c r="F23" s="96">
        <f t="shared" si="3"/>
        <v>0.22168055555555555</v>
      </c>
      <c r="G23" s="96">
        <f t="shared" si="4"/>
        <v>0.22571111111111108</v>
      </c>
      <c r="H23" s="96">
        <f t="shared" si="5"/>
        <v>0.2283981481481481</v>
      </c>
      <c r="I23" s="96">
        <f t="shared" si="6"/>
        <v>0.23031746031746034</v>
      </c>
      <c r="J23" s="96">
        <f t="shared" si="7"/>
        <v>0.23175694444444442</v>
      </c>
      <c r="K23" s="96">
        <f t="shared" si="8"/>
        <v>0.23287654320987652</v>
      </c>
      <c r="L23" s="96">
        <f t="shared" si="9"/>
        <v>0.23377222222222221</v>
      </c>
      <c r="M23" s="96">
        <f t="shared" si="10"/>
        <v>0.23450505050505049</v>
      </c>
      <c r="N23" s="96">
        <f t="shared" si="11"/>
        <v>0.23511574074074071</v>
      </c>
      <c r="O23" s="259"/>
      <c r="P23" s="259"/>
      <c r="Q23" s="259"/>
      <c r="R23" s="259"/>
      <c r="S23" s="259"/>
      <c r="T23" s="259"/>
      <c r="U23" s="259"/>
      <c r="V23" s="259"/>
      <c r="W23" s="64"/>
      <c r="X23" s="65"/>
      <c r="Z23" s="83"/>
      <c r="AA23" s="83"/>
      <c r="AT23" s="4"/>
      <c r="AU23" s="248">
        <f>F12</f>
        <v>19.75</v>
      </c>
      <c r="AV23" s="12" t="str">
        <f t="shared" ref="AV23:AV40" si="16">"("&amp;ROUND(AU23*25.4/50,0)*50&amp;")"</f>
        <v>(500)</v>
      </c>
      <c r="AW23" s="19">
        <f>AW22+1</f>
        <v>1</v>
      </c>
      <c r="AX23" s="20">
        <v>0.23448848292880226</v>
      </c>
      <c r="AY23" s="21" t="str">
        <f t="shared" ref="AY23:AY36" si="17">"("&amp;FIXED(AX23*0.092903,2)&amp;")"</f>
        <v>(0.02)</v>
      </c>
      <c r="AZ23" s="22">
        <v>2</v>
      </c>
      <c r="BA23" s="22">
        <f t="shared" ref="BA23:BA36" si="18">$IK$22*AZ23</f>
        <v>2</v>
      </c>
      <c r="BB23" s="22">
        <v>0</v>
      </c>
      <c r="BC23" s="22">
        <f t="shared" ref="BC23:BC36" si="19">$IM$22*BB23</f>
        <v>0</v>
      </c>
      <c r="BD23" s="22">
        <v>0</v>
      </c>
      <c r="BE23" s="22">
        <f t="shared" ref="BE23:BE36" si="20">$IL$22*BD23</f>
        <v>0</v>
      </c>
      <c r="BF23" s="22">
        <f t="shared" ref="BF23:BF36" si="21">BA23+BC23+BE23</f>
        <v>2</v>
      </c>
      <c r="BG23" s="23">
        <f t="shared" ref="BG23:BG36" si="22">AX$20-BA23-BC23-BE23</f>
        <v>10</v>
      </c>
      <c r="BH23" s="20">
        <v>0.37518157268608365</v>
      </c>
      <c r="BI23" s="21" t="str">
        <f t="shared" ref="BI23:BI36" si="23">"("&amp;ROUND(BH23*0.092903,2)&amp;")"</f>
        <v>(0.03)</v>
      </c>
      <c r="BJ23" s="22">
        <v>2</v>
      </c>
      <c r="BK23" s="22">
        <f t="shared" ref="BK23:BK36" si="24">$IK$22*BJ23</f>
        <v>2</v>
      </c>
      <c r="BL23" s="22">
        <v>0</v>
      </c>
      <c r="BM23" s="22">
        <f t="shared" ref="BM23:BM36" si="25">$IM$22*BL23</f>
        <v>0</v>
      </c>
      <c r="BN23" s="22">
        <v>0</v>
      </c>
      <c r="BO23" s="22">
        <f t="shared" ref="BO23:BO36" si="26">$IL$22*BN23</f>
        <v>0</v>
      </c>
      <c r="BP23" s="22">
        <f t="shared" ref="BP23:BP36" si="27">BK23+BM23+BO23</f>
        <v>2</v>
      </c>
      <c r="BQ23" s="23">
        <f t="shared" ref="BQ23:BQ36" si="28">BH$20-BK23-BM23-BO23</f>
        <v>16</v>
      </c>
      <c r="BR23" s="20">
        <v>0.515874662443365</v>
      </c>
      <c r="BS23" s="21" t="str">
        <f t="shared" ref="BS23:BS36" si="29">"("&amp;ROUND(BR23*0.092903,2)&amp;")"</f>
        <v>(0.05)</v>
      </c>
      <c r="BT23" s="22">
        <v>2</v>
      </c>
      <c r="BU23" s="22">
        <f t="shared" ref="BU23:BU36" si="30">$IK$22*BT23</f>
        <v>2</v>
      </c>
      <c r="BV23" s="22">
        <v>0</v>
      </c>
      <c r="BW23" s="22">
        <f t="shared" ref="BW23:BW36" si="31">$IM$22*BV23</f>
        <v>0</v>
      </c>
      <c r="BX23" s="22">
        <v>0</v>
      </c>
      <c r="BY23" s="22">
        <f t="shared" ref="BY23:BY36" si="32">$IL$22*BX23</f>
        <v>0</v>
      </c>
      <c r="BZ23" s="22">
        <f t="shared" ref="BZ23:BZ36" si="33">BU23+BW23+BY23</f>
        <v>2</v>
      </c>
      <c r="CA23" s="23">
        <f t="shared" ref="CA23:CA36" si="34">BR$20-BU23-BW23-BY23</f>
        <v>22</v>
      </c>
      <c r="CB23" s="20">
        <v>0.65656775220064634</v>
      </c>
      <c r="CC23" s="21" t="str">
        <f t="shared" ref="CC23:CC36" si="35">"("&amp;ROUND(CB23*0.092903,2)&amp;")"</f>
        <v>(0.06)</v>
      </c>
      <c r="CD23" s="22">
        <v>2</v>
      </c>
      <c r="CE23" s="22">
        <f t="shared" ref="CE23:CE36" si="36">$IK$22*CD23</f>
        <v>2</v>
      </c>
      <c r="CF23" s="22">
        <v>0</v>
      </c>
      <c r="CG23" s="22">
        <f t="shared" ref="CG23:CG36" si="37">$IM$22*CF23</f>
        <v>0</v>
      </c>
      <c r="CH23" s="22">
        <v>0</v>
      </c>
      <c r="CI23" s="22">
        <f t="shared" ref="CI23:CI36" si="38">$IL$22*CH23</f>
        <v>0</v>
      </c>
      <c r="CJ23" s="22">
        <f t="shared" ref="CJ23:CJ36" si="39">CE23+CG23+CI23</f>
        <v>2</v>
      </c>
      <c r="CK23" s="23">
        <f t="shared" ref="CK23:CK36" si="40">CB$20-CE23-CG23-CI23</f>
        <v>28</v>
      </c>
      <c r="CL23" s="20">
        <v>0.79726084195792779</v>
      </c>
      <c r="CM23" s="21" t="str">
        <f t="shared" ref="CM23:CM36" si="41">"("&amp;ROUND(CL23*0.092903,2)&amp;")"</f>
        <v>(0.07)</v>
      </c>
      <c r="CN23" s="22">
        <v>2</v>
      </c>
      <c r="CO23" s="22">
        <f t="shared" ref="CO23:CO36" si="42">$IK$22*CN23</f>
        <v>2</v>
      </c>
      <c r="CP23" s="22">
        <v>0</v>
      </c>
      <c r="CQ23" s="22">
        <f t="shared" ref="CQ23:CQ36" si="43">$IM$22*CP23</f>
        <v>0</v>
      </c>
      <c r="CR23" s="22">
        <v>0</v>
      </c>
      <c r="CS23" s="22">
        <f t="shared" ref="CS23:CS36" si="44">$IL$22*CR23</f>
        <v>0</v>
      </c>
      <c r="CT23" s="22">
        <f t="shared" ref="CT23:CT36" si="45">CO23+CQ23+CS23</f>
        <v>2</v>
      </c>
      <c r="CU23" s="23">
        <f t="shared" ref="CU23:CU36" si="46">CL$20-CO23-CQ23-CS23</f>
        <v>34</v>
      </c>
      <c r="CV23" s="20">
        <v>0.93795393171520902</v>
      </c>
      <c r="CW23" s="21" t="str">
        <f t="shared" ref="CW23:CW36" si="47">"("&amp;ROUND(CV23*0.092903,2)&amp;")"</f>
        <v>(0.09)</v>
      </c>
      <c r="CX23" s="22">
        <v>2</v>
      </c>
      <c r="CY23" s="22">
        <f t="shared" ref="CY23:CY36" si="48">$IK$22*CX23</f>
        <v>2</v>
      </c>
      <c r="CZ23" s="22">
        <v>0</v>
      </c>
      <c r="DA23" s="22">
        <f t="shared" ref="DA23:DA36" si="49">$IM$22*CZ23</f>
        <v>0</v>
      </c>
      <c r="DB23" s="22">
        <v>0</v>
      </c>
      <c r="DC23" s="22">
        <f t="shared" ref="DC23:DC36" si="50">$IL$22*DB23</f>
        <v>0</v>
      </c>
      <c r="DD23" s="22">
        <f t="shared" ref="DD23:DD36" si="51">CY23+DA23+DC23</f>
        <v>2</v>
      </c>
      <c r="DE23" s="23">
        <f t="shared" ref="DE23:DE36" si="52">CV$20-CY23-DA23-DC23</f>
        <v>40</v>
      </c>
      <c r="DF23" s="20">
        <v>1.0786470214724906</v>
      </c>
      <c r="DG23" s="21" t="str">
        <f t="shared" ref="DG23:DG36" si="53">"("&amp;ROUND(DF23*0.092903,2)&amp;")"</f>
        <v>(0.1)</v>
      </c>
      <c r="DH23" s="22">
        <v>2</v>
      </c>
      <c r="DI23" s="22">
        <f t="shared" ref="DI23:DI36" si="54">$IK$22*DH23</f>
        <v>2</v>
      </c>
      <c r="DJ23" s="22">
        <v>0</v>
      </c>
      <c r="DK23" s="22">
        <f t="shared" ref="DK23:DK36" si="55">$IM$22*DJ23</f>
        <v>0</v>
      </c>
      <c r="DL23" s="22">
        <v>0</v>
      </c>
      <c r="DM23" s="22">
        <f t="shared" ref="DM23:DM36" si="56">$IL$22*DL23</f>
        <v>0</v>
      </c>
      <c r="DN23" s="22">
        <f t="shared" ref="DN23:DN36" si="57">DI23+DK23+DM23</f>
        <v>2</v>
      </c>
      <c r="DO23" s="23">
        <f t="shared" ref="DO23:DO36" si="58">DF$20-DI23-DK23-DM23</f>
        <v>46</v>
      </c>
      <c r="DP23" s="20">
        <v>1.2193401112297719</v>
      </c>
      <c r="DQ23" s="21" t="str">
        <f t="shared" ref="DQ23:DQ36" si="59">"("&amp;FIXED(DP23*0.092903,2)&amp;")"</f>
        <v>(0.11)</v>
      </c>
      <c r="DR23" s="22">
        <v>2</v>
      </c>
      <c r="DS23" s="22">
        <f t="shared" ref="DS23:DS36" si="60">$IK$22*DR23</f>
        <v>2</v>
      </c>
      <c r="DT23" s="22">
        <v>0</v>
      </c>
      <c r="DU23" s="22">
        <f t="shared" ref="DU23:DV36" si="61">$IM$22*DT23</f>
        <v>0</v>
      </c>
      <c r="DV23" s="22">
        <f t="shared" si="61"/>
        <v>0</v>
      </c>
      <c r="DW23" s="22">
        <f t="shared" ref="DW23:DW36" si="62">$IL$22*DV23</f>
        <v>0</v>
      </c>
      <c r="DX23" s="22">
        <f t="shared" ref="DX23:DX36" si="63">DS23+DU23+DW23</f>
        <v>2</v>
      </c>
      <c r="DY23" s="23">
        <f t="shared" ref="DY23:DY36" si="64">DP$20-DS23-DU23-DW23</f>
        <v>52</v>
      </c>
      <c r="DZ23" s="20">
        <v>1.3600332009870533</v>
      </c>
      <c r="EA23" s="21" t="str">
        <f t="shared" ref="EA23:EA29" si="65">"("&amp;FIXED(DZ23*0.092903,2)&amp;")"</f>
        <v>(0.13)</v>
      </c>
      <c r="EB23" s="22">
        <v>2</v>
      </c>
      <c r="EC23" s="22">
        <f t="shared" ref="EC23:EC36" si="66">$IK$22*EB23</f>
        <v>2</v>
      </c>
      <c r="ED23" s="22">
        <v>0</v>
      </c>
      <c r="EE23" s="22">
        <f t="shared" ref="EE23:EF36" si="67">$IM$22*ED23</f>
        <v>0</v>
      </c>
      <c r="EF23" s="22">
        <f t="shared" si="67"/>
        <v>0</v>
      </c>
      <c r="EG23" s="22">
        <f t="shared" ref="EG23:EG36" si="68">$IL$22*EF23</f>
        <v>0</v>
      </c>
      <c r="EH23" s="22">
        <f t="shared" ref="EH23:EH36" si="69">EC23+EE23+EG23</f>
        <v>2</v>
      </c>
      <c r="EI23" s="23">
        <f t="shared" ref="EI23:EI36" si="70">DZ$20-EC23-EE23-EG23</f>
        <v>58</v>
      </c>
      <c r="EJ23" s="20">
        <v>1.5007262907443346</v>
      </c>
      <c r="EK23" s="21" t="str">
        <f t="shared" ref="EK23:EK29" si="71">"("&amp;FIXED(EJ23*0.092903,2)&amp;")"</f>
        <v>(0.14)</v>
      </c>
      <c r="EL23" s="22">
        <v>2</v>
      </c>
      <c r="EM23" s="22">
        <f>$IK$23*EL23</f>
        <v>2</v>
      </c>
      <c r="EN23" s="22">
        <v>0</v>
      </c>
      <c r="EO23" s="22">
        <f>$IM23*EN23</f>
        <v>0</v>
      </c>
      <c r="EP23" s="22">
        <f>$IM23*EO23</f>
        <v>0</v>
      </c>
      <c r="EQ23" s="22">
        <f t="shared" ref="EQ23:EQ36" si="72">$IL$22*EP23</f>
        <v>0</v>
      </c>
      <c r="ER23" s="22">
        <f>EM23+EO23+EQ23</f>
        <v>2</v>
      </c>
      <c r="ES23" s="23">
        <f t="shared" ref="ES23:ES36" si="73">EJ$20-EM23-EO23-EQ23</f>
        <v>64</v>
      </c>
      <c r="ET23" s="20">
        <v>1.641419380501616</v>
      </c>
      <c r="EU23" s="21" t="str">
        <f t="shared" ref="EU23:EU36" si="74">"("&amp;FIXED(ET23*0.092903,2)&amp;")"</f>
        <v>(0.15)</v>
      </c>
      <c r="EV23" s="22">
        <v>2</v>
      </c>
      <c r="EW23" s="22">
        <f t="shared" ref="EW23:EW36" si="75">$IK$22*EV23</f>
        <v>2</v>
      </c>
      <c r="EX23" s="22">
        <v>0</v>
      </c>
      <c r="EY23" s="22">
        <f t="shared" ref="EY23:EY36" si="76">$IM$22*EX23</f>
        <v>0</v>
      </c>
      <c r="EZ23" s="22">
        <v>0</v>
      </c>
      <c r="FA23" s="22">
        <f t="shared" ref="FA23:FA36" si="77">$IL$22*EZ23</f>
        <v>0</v>
      </c>
      <c r="FB23" s="22">
        <f t="shared" ref="FB23:FB36" si="78">EW23+EY23+FA23</f>
        <v>2</v>
      </c>
      <c r="FC23" s="23">
        <f t="shared" ref="FC23:FC36" si="79">ET$20-EW23-EY23-FA23</f>
        <v>70</v>
      </c>
      <c r="FD23" s="202"/>
      <c r="FE23" s="203"/>
      <c r="FF23" s="204"/>
      <c r="FG23" s="204"/>
      <c r="FH23" s="204"/>
      <c r="FI23" s="204"/>
      <c r="FJ23" s="204"/>
      <c r="FK23" s="204"/>
      <c r="FL23" s="204"/>
      <c r="FM23" s="205"/>
      <c r="FN23" s="202"/>
      <c r="FO23" s="203"/>
      <c r="FP23" s="204"/>
      <c r="FQ23" s="204"/>
      <c r="FR23" s="204"/>
      <c r="FS23" s="204"/>
      <c r="FT23" s="204"/>
      <c r="FU23" s="204"/>
      <c r="FV23" s="204"/>
      <c r="FW23" s="205"/>
      <c r="FX23" s="202"/>
      <c r="FY23" s="203"/>
      <c r="FZ23" s="204"/>
      <c r="GA23" s="204"/>
      <c r="GB23" s="204"/>
      <c r="GC23" s="204"/>
      <c r="GD23" s="204"/>
      <c r="GE23" s="204"/>
      <c r="GF23" s="204"/>
      <c r="GG23" s="205"/>
      <c r="GH23" s="202"/>
      <c r="GI23" s="203"/>
      <c r="GJ23" s="204"/>
      <c r="GK23" s="204"/>
      <c r="GL23" s="204"/>
      <c r="GM23" s="204"/>
      <c r="GN23" s="204"/>
      <c r="GO23" s="204"/>
      <c r="GP23" s="204"/>
      <c r="GQ23" s="205"/>
      <c r="GR23" s="202"/>
      <c r="GS23" s="203"/>
      <c r="GT23" s="204"/>
      <c r="GU23" s="204"/>
      <c r="GV23" s="204"/>
      <c r="GW23" s="204"/>
      <c r="GX23" s="204"/>
      <c r="GY23" s="204"/>
      <c r="GZ23" s="204"/>
      <c r="HA23" s="205"/>
      <c r="HB23" s="202"/>
      <c r="HC23" s="203"/>
      <c r="HD23" s="204"/>
      <c r="HE23" s="204"/>
      <c r="HF23" s="204"/>
      <c r="HG23" s="204"/>
      <c r="HH23" s="204"/>
      <c r="HI23" s="204"/>
      <c r="HJ23" s="204"/>
      <c r="HK23" s="205"/>
      <c r="HL23" s="202"/>
      <c r="HM23" s="203"/>
      <c r="HN23" s="204"/>
      <c r="HO23" s="204"/>
      <c r="HP23" s="204"/>
      <c r="HQ23" s="204"/>
      <c r="HR23" s="204"/>
      <c r="HS23" s="204"/>
      <c r="HT23" s="204"/>
      <c r="HU23" s="205"/>
      <c r="HV23" s="202"/>
      <c r="HW23" s="203"/>
      <c r="HX23" s="204"/>
      <c r="HY23" s="204"/>
      <c r="HZ23" s="204"/>
      <c r="IA23" s="204"/>
      <c r="IB23" s="204"/>
      <c r="IC23" s="204"/>
      <c r="ID23" s="204"/>
      <c r="IE23" s="205"/>
      <c r="IF23" s="262"/>
      <c r="IG23" s="25">
        <v>0</v>
      </c>
      <c r="IH23" s="26">
        <v>1.387</v>
      </c>
      <c r="II23" s="26">
        <v>3.2210000000000001</v>
      </c>
      <c r="IJ23" s="26">
        <v>4.0979999999999999</v>
      </c>
      <c r="IK23" s="26">
        <v>1</v>
      </c>
      <c r="IL23" s="26">
        <v>1</v>
      </c>
      <c r="IM23" s="26">
        <v>1.125</v>
      </c>
      <c r="IN23" s="8"/>
    </row>
    <row r="24" spans="2:248" ht="15.75" thickBot="1" x14ac:dyDescent="0.3">
      <c r="B24" s="103">
        <f t="shared" si="15"/>
        <v>42</v>
      </c>
      <c r="C24" s="102">
        <v>7</v>
      </c>
      <c r="D24" s="98">
        <f t="shared" si="1"/>
        <v>0.17273809523809525</v>
      </c>
      <c r="E24" s="96">
        <f t="shared" si="2"/>
        <v>0.18425396825396825</v>
      </c>
      <c r="F24" s="96">
        <f t="shared" si="3"/>
        <v>0.19001190476190474</v>
      </c>
      <c r="G24" s="96">
        <f t="shared" si="4"/>
        <v>0.19346666666666665</v>
      </c>
      <c r="H24" s="96">
        <f t="shared" si="5"/>
        <v>0.19576984126984123</v>
      </c>
      <c r="I24" s="96">
        <f t="shared" si="6"/>
        <v>0.19741496598639457</v>
      </c>
      <c r="J24" s="96">
        <f t="shared" si="7"/>
        <v>0.19864880952380951</v>
      </c>
      <c r="K24" s="96">
        <f t="shared" si="8"/>
        <v>0.1996084656084656</v>
      </c>
      <c r="L24" s="96">
        <f t="shared" si="9"/>
        <v>0.20037619047619049</v>
      </c>
      <c r="M24" s="96">
        <f t="shared" si="10"/>
        <v>0.20100432900432899</v>
      </c>
      <c r="N24" s="96">
        <f t="shared" si="11"/>
        <v>0.20152777777777775</v>
      </c>
      <c r="O24" s="259"/>
      <c r="P24" s="259"/>
      <c r="Q24" s="259"/>
      <c r="R24" s="259"/>
      <c r="S24" s="259"/>
      <c r="T24" s="259"/>
      <c r="U24" s="259"/>
      <c r="V24" s="259"/>
      <c r="W24" s="64"/>
      <c r="X24" s="65"/>
      <c r="Z24" s="83"/>
      <c r="AA24" s="83"/>
      <c r="AT24" s="4"/>
      <c r="AU24" s="14">
        <v>24</v>
      </c>
      <c r="AV24" s="12" t="str">
        <f t="shared" si="16"/>
        <v>(600)</v>
      </c>
      <c r="AW24" s="19">
        <f t="shared" ref="AW24:AW40" si="80">AW23+1</f>
        <v>2</v>
      </c>
      <c r="AX24" s="373">
        <f t="shared" ref="AX24:AX36" si="81">($IH24+(($IG24-1)*$II24)+$IJ24)*BG24/144</f>
        <v>0.38090277777777776</v>
      </c>
      <c r="AY24" s="374" t="str">
        <f t="shared" si="17"/>
        <v>(0.04)</v>
      </c>
      <c r="AZ24" s="375">
        <v>2</v>
      </c>
      <c r="BA24" s="375">
        <f t="shared" si="18"/>
        <v>2</v>
      </c>
      <c r="BB24" s="375">
        <v>0</v>
      </c>
      <c r="BC24" s="375">
        <f t="shared" si="19"/>
        <v>0</v>
      </c>
      <c r="BD24" s="375">
        <v>0</v>
      </c>
      <c r="BE24" s="375">
        <f t="shared" si="20"/>
        <v>0</v>
      </c>
      <c r="BF24" s="375">
        <f t="shared" si="21"/>
        <v>2</v>
      </c>
      <c r="BG24" s="376">
        <f t="shared" si="22"/>
        <v>10</v>
      </c>
      <c r="BH24" s="373">
        <f t="shared" ref="BH24:BH36" si="82">($IH24+(($IG24-1)*$II24)+$IJ24)*BQ24/144</f>
        <v>0.60944444444444434</v>
      </c>
      <c r="BI24" s="374" t="str">
        <f t="shared" si="23"/>
        <v>(0.06)</v>
      </c>
      <c r="BJ24" s="375">
        <v>2</v>
      </c>
      <c r="BK24" s="375">
        <f t="shared" si="24"/>
        <v>2</v>
      </c>
      <c r="BL24" s="375">
        <v>0</v>
      </c>
      <c r="BM24" s="375">
        <f t="shared" si="25"/>
        <v>0</v>
      </c>
      <c r="BN24" s="375">
        <v>0</v>
      </c>
      <c r="BO24" s="375">
        <f t="shared" si="26"/>
        <v>0</v>
      </c>
      <c r="BP24" s="375">
        <f t="shared" si="27"/>
        <v>2</v>
      </c>
      <c r="BQ24" s="376">
        <f t="shared" si="28"/>
        <v>16</v>
      </c>
      <c r="BR24" s="373">
        <f t="shared" ref="BR24:BR36" si="83">($IH24+(($IG24-1)*$II24)+$IJ24)*CA24/144</f>
        <v>0.83798611111111099</v>
      </c>
      <c r="BS24" s="374" t="str">
        <f t="shared" si="29"/>
        <v>(0.08)</v>
      </c>
      <c r="BT24" s="375">
        <v>2</v>
      </c>
      <c r="BU24" s="375">
        <f t="shared" si="30"/>
        <v>2</v>
      </c>
      <c r="BV24" s="375">
        <v>0</v>
      </c>
      <c r="BW24" s="375">
        <f t="shared" si="31"/>
        <v>0</v>
      </c>
      <c r="BX24" s="375">
        <v>0</v>
      </c>
      <c r="BY24" s="375">
        <f t="shared" si="32"/>
        <v>0</v>
      </c>
      <c r="BZ24" s="375">
        <f t="shared" si="33"/>
        <v>2</v>
      </c>
      <c r="CA24" s="376">
        <f t="shared" si="34"/>
        <v>22</v>
      </c>
      <c r="CB24" s="373">
        <f t="shared" ref="CB24:CB36" si="84">($IH24+(($IG24-1)*$II24)+$IJ24)*CK24/144</f>
        <v>1.0665277777777777</v>
      </c>
      <c r="CC24" s="374" t="str">
        <f t="shared" si="35"/>
        <v>(0.1)</v>
      </c>
      <c r="CD24" s="375">
        <v>2</v>
      </c>
      <c r="CE24" s="375">
        <f t="shared" si="36"/>
        <v>2</v>
      </c>
      <c r="CF24" s="375">
        <v>0</v>
      </c>
      <c r="CG24" s="375">
        <f t="shared" si="37"/>
        <v>0</v>
      </c>
      <c r="CH24" s="375">
        <v>0</v>
      </c>
      <c r="CI24" s="375">
        <f t="shared" si="38"/>
        <v>0</v>
      </c>
      <c r="CJ24" s="375">
        <f t="shared" si="39"/>
        <v>2</v>
      </c>
      <c r="CK24" s="376">
        <f t="shared" si="40"/>
        <v>28</v>
      </c>
      <c r="CL24" s="373">
        <f t="shared" ref="CL24:CL36" si="85">($IH24+(($IG24-1)*$II24)+$IJ24)*CU24/144</f>
        <v>1.2950694444444444</v>
      </c>
      <c r="CM24" s="374" t="str">
        <f t="shared" si="41"/>
        <v>(0.12)</v>
      </c>
      <c r="CN24" s="375">
        <v>2</v>
      </c>
      <c r="CO24" s="375">
        <f t="shared" si="42"/>
        <v>2</v>
      </c>
      <c r="CP24" s="375">
        <v>0</v>
      </c>
      <c r="CQ24" s="375">
        <f t="shared" si="43"/>
        <v>0</v>
      </c>
      <c r="CR24" s="375">
        <v>0</v>
      </c>
      <c r="CS24" s="375">
        <f t="shared" si="44"/>
        <v>0</v>
      </c>
      <c r="CT24" s="375">
        <f t="shared" si="45"/>
        <v>2</v>
      </c>
      <c r="CU24" s="376">
        <f t="shared" si="46"/>
        <v>34</v>
      </c>
      <c r="CV24" s="373">
        <f t="shared" ref="CV24:CV36" si="86">($IH24+(($IG24-1)*$II24)+$IJ24)*DE24/144</f>
        <v>1.523611111111111</v>
      </c>
      <c r="CW24" s="374" t="str">
        <f t="shared" si="47"/>
        <v>(0.14)</v>
      </c>
      <c r="CX24" s="375">
        <v>2</v>
      </c>
      <c r="CY24" s="375">
        <f t="shared" si="48"/>
        <v>2</v>
      </c>
      <c r="CZ24" s="375">
        <v>0</v>
      </c>
      <c r="DA24" s="375">
        <f t="shared" si="49"/>
        <v>0</v>
      </c>
      <c r="DB24" s="375">
        <v>0</v>
      </c>
      <c r="DC24" s="375">
        <f t="shared" si="50"/>
        <v>0</v>
      </c>
      <c r="DD24" s="375">
        <f t="shared" si="51"/>
        <v>2</v>
      </c>
      <c r="DE24" s="376">
        <f t="shared" si="52"/>
        <v>40</v>
      </c>
      <c r="DF24" s="373">
        <f>($IH24+(($IG24-1)*$II24)+$IJ24)*DO24/144</f>
        <v>1.7521527777777777</v>
      </c>
      <c r="DG24" s="374" t="str">
        <f t="shared" si="53"/>
        <v>(0.16)</v>
      </c>
      <c r="DH24" s="375">
        <v>2</v>
      </c>
      <c r="DI24" s="375">
        <f t="shared" si="54"/>
        <v>2</v>
      </c>
      <c r="DJ24" s="375">
        <v>0</v>
      </c>
      <c r="DK24" s="375">
        <f t="shared" si="55"/>
        <v>0</v>
      </c>
      <c r="DL24" s="375">
        <v>0</v>
      </c>
      <c r="DM24" s="375">
        <f t="shared" si="56"/>
        <v>0</v>
      </c>
      <c r="DN24" s="375">
        <f t="shared" si="57"/>
        <v>2</v>
      </c>
      <c r="DO24" s="376">
        <f t="shared" si="58"/>
        <v>46</v>
      </c>
      <c r="DP24" s="373">
        <f t="shared" ref="DP24:DP36" si="87">($IH24+(($IG24-1)*$II24)+$IJ24)*DY24/144</f>
        <v>1.9806944444444443</v>
      </c>
      <c r="DQ24" s="374" t="str">
        <f t="shared" si="59"/>
        <v>(0.18)</v>
      </c>
      <c r="DR24" s="375">
        <v>2</v>
      </c>
      <c r="DS24" s="375">
        <f t="shared" si="60"/>
        <v>2</v>
      </c>
      <c r="DT24" s="375">
        <v>0</v>
      </c>
      <c r="DU24" s="375">
        <f t="shared" si="61"/>
        <v>0</v>
      </c>
      <c r="DV24" s="375">
        <f t="shared" si="61"/>
        <v>0</v>
      </c>
      <c r="DW24" s="375">
        <f t="shared" si="62"/>
        <v>0</v>
      </c>
      <c r="DX24" s="375">
        <f t="shared" si="63"/>
        <v>2</v>
      </c>
      <c r="DY24" s="376">
        <f t="shared" si="64"/>
        <v>52</v>
      </c>
      <c r="DZ24" s="373">
        <f t="shared" ref="DZ24:DZ36" si="88">($IH24+(($IG24-1)*$II24)+$IJ24)*EI24/144</f>
        <v>2.2092361111111112</v>
      </c>
      <c r="EA24" s="374" t="str">
        <f t="shared" si="65"/>
        <v>(0.21)</v>
      </c>
      <c r="EB24" s="375">
        <v>2</v>
      </c>
      <c r="EC24" s="375">
        <f t="shared" si="66"/>
        <v>2</v>
      </c>
      <c r="ED24" s="375">
        <v>0</v>
      </c>
      <c r="EE24" s="375">
        <f t="shared" si="67"/>
        <v>0</v>
      </c>
      <c r="EF24" s="375">
        <f t="shared" si="67"/>
        <v>0</v>
      </c>
      <c r="EG24" s="375">
        <f t="shared" si="68"/>
        <v>0</v>
      </c>
      <c r="EH24" s="375">
        <f t="shared" si="69"/>
        <v>2</v>
      </c>
      <c r="EI24" s="376">
        <f t="shared" si="70"/>
        <v>58</v>
      </c>
      <c r="EJ24" s="373">
        <f t="shared" ref="EJ24:EJ36" si="89">($IH24+(($IG24-1)*$II24)+$IJ24)*ES24/144</f>
        <v>2.4377777777777774</v>
      </c>
      <c r="EK24" s="374" t="str">
        <f t="shared" si="71"/>
        <v>(0.23)</v>
      </c>
      <c r="EL24" s="375">
        <v>2</v>
      </c>
      <c r="EM24" s="375">
        <f t="shared" ref="EM24:EM35" si="90">$IK$23*EL24</f>
        <v>2</v>
      </c>
      <c r="EN24" s="375">
        <v>0</v>
      </c>
      <c r="EO24" s="375">
        <f t="shared" ref="EO24:EP24" si="91">$IM24*EN24</f>
        <v>0</v>
      </c>
      <c r="EP24" s="375">
        <f t="shared" si="91"/>
        <v>0</v>
      </c>
      <c r="EQ24" s="375">
        <f t="shared" si="72"/>
        <v>0</v>
      </c>
      <c r="ER24" s="375">
        <f t="shared" ref="ER24:ER36" si="92">EM24+EO24+EQ24</f>
        <v>2</v>
      </c>
      <c r="ES24" s="376">
        <f t="shared" si="73"/>
        <v>64</v>
      </c>
      <c r="ET24" s="373">
        <f t="shared" ref="ET24:ET36" si="93">($IH24+(($IG24-1)*$II24)+$IJ24)*FC24/144</f>
        <v>2.666319444444444</v>
      </c>
      <c r="EU24" s="374" t="str">
        <f t="shared" si="74"/>
        <v>(0.25)</v>
      </c>
      <c r="EV24" s="22">
        <v>2</v>
      </c>
      <c r="EW24" s="22">
        <f t="shared" si="75"/>
        <v>2</v>
      </c>
      <c r="EX24" s="22">
        <v>0</v>
      </c>
      <c r="EY24" s="22">
        <f t="shared" si="76"/>
        <v>0</v>
      </c>
      <c r="EZ24" s="22">
        <v>0</v>
      </c>
      <c r="FA24" s="22">
        <f t="shared" si="77"/>
        <v>0</v>
      </c>
      <c r="FB24" s="22">
        <f t="shared" si="78"/>
        <v>2</v>
      </c>
      <c r="FC24" s="23">
        <f t="shared" si="79"/>
        <v>70</v>
      </c>
      <c r="FD24" s="202"/>
      <c r="FE24" s="203"/>
      <c r="FF24" s="204"/>
      <c r="FG24" s="204"/>
      <c r="FH24" s="204"/>
      <c r="FI24" s="204"/>
      <c r="FJ24" s="204"/>
      <c r="FK24" s="204"/>
      <c r="FL24" s="204"/>
      <c r="FM24" s="205"/>
      <c r="FN24" s="202"/>
      <c r="FO24" s="203"/>
      <c r="FP24" s="204"/>
      <c r="FQ24" s="204"/>
      <c r="FR24" s="204"/>
      <c r="FS24" s="204"/>
      <c r="FT24" s="204"/>
      <c r="FU24" s="204"/>
      <c r="FV24" s="204"/>
      <c r="FW24" s="205"/>
      <c r="FX24" s="202"/>
      <c r="FY24" s="203"/>
      <c r="FZ24" s="204"/>
      <c r="GA24" s="204"/>
      <c r="GB24" s="204"/>
      <c r="GC24" s="204"/>
      <c r="GD24" s="204"/>
      <c r="GE24" s="204"/>
      <c r="GF24" s="204"/>
      <c r="GG24" s="205"/>
      <c r="GH24" s="202"/>
      <c r="GI24" s="203"/>
      <c r="GJ24" s="204"/>
      <c r="GK24" s="204"/>
      <c r="GL24" s="204"/>
      <c r="GM24" s="204"/>
      <c r="GN24" s="204"/>
      <c r="GO24" s="204"/>
      <c r="GP24" s="204"/>
      <c r="GQ24" s="205"/>
      <c r="GR24" s="202"/>
      <c r="GS24" s="203"/>
      <c r="GT24" s="204"/>
      <c r="GU24" s="204"/>
      <c r="GV24" s="204"/>
      <c r="GW24" s="204"/>
      <c r="GX24" s="204"/>
      <c r="GY24" s="204"/>
      <c r="GZ24" s="204"/>
      <c r="HA24" s="205"/>
      <c r="HB24" s="202"/>
      <c r="HC24" s="203"/>
      <c r="HD24" s="204"/>
      <c r="HE24" s="204"/>
      <c r="HF24" s="204"/>
      <c r="HG24" s="204"/>
      <c r="HH24" s="204"/>
      <c r="HI24" s="204"/>
      <c r="HJ24" s="204"/>
      <c r="HK24" s="205"/>
      <c r="HL24" s="202"/>
      <c r="HM24" s="203"/>
      <c r="HN24" s="204"/>
      <c r="HO24" s="204"/>
      <c r="HP24" s="204"/>
      <c r="HQ24" s="204"/>
      <c r="HR24" s="204"/>
      <c r="HS24" s="204"/>
      <c r="HT24" s="204"/>
      <c r="HU24" s="205"/>
      <c r="HV24" s="202"/>
      <c r="HW24" s="203"/>
      <c r="HX24" s="204"/>
      <c r="HY24" s="204"/>
      <c r="HZ24" s="204"/>
      <c r="IA24" s="204"/>
      <c r="IB24" s="204"/>
      <c r="IC24" s="204"/>
      <c r="ID24" s="204"/>
      <c r="IE24" s="205"/>
      <c r="IF24" s="262"/>
      <c r="IG24" s="25">
        <v>1</v>
      </c>
      <c r="IH24" s="26">
        <v>1.387</v>
      </c>
      <c r="II24" s="26">
        <v>3.2210000000000001</v>
      </c>
      <c r="IJ24" s="26">
        <v>4.0979999999999999</v>
      </c>
      <c r="IK24" s="26">
        <v>1</v>
      </c>
      <c r="IL24" s="26">
        <v>1</v>
      </c>
      <c r="IM24" s="26">
        <v>1.125</v>
      </c>
      <c r="IN24" s="8"/>
    </row>
    <row r="25" spans="2:248" ht="15.75" thickBot="1" x14ac:dyDescent="0.3">
      <c r="B25" s="103">
        <f t="shared" si="15"/>
        <v>48</v>
      </c>
      <c r="C25" s="102">
        <v>8</v>
      </c>
      <c r="D25" s="98">
        <f t="shared" si="1"/>
        <v>0.20706597222222223</v>
      </c>
      <c r="E25" s="96">
        <f t="shared" si="2"/>
        <v>0.22087037037037036</v>
      </c>
      <c r="F25" s="96">
        <f t="shared" si="3"/>
        <v>0.22777256944444446</v>
      </c>
      <c r="G25" s="96">
        <f t="shared" si="4"/>
        <v>0.23191388888888889</v>
      </c>
      <c r="H25" s="96">
        <f t="shared" si="5"/>
        <v>0.23467476851851851</v>
      </c>
      <c r="I25" s="96">
        <f t="shared" si="6"/>
        <v>0.23664682539682541</v>
      </c>
      <c r="J25" s="96">
        <f t="shared" si="7"/>
        <v>0.24374999999999999</v>
      </c>
      <c r="K25" s="96">
        <f t="shared" si="8"/>
        <v>0.23927623456790123</v>
      </c>
      <c r="L25" s="96">
        <f t="shared" si="9"/>
        <v>0.24019652777777778</v>
      </c>
      <c r="M25" s="96">
        <f t="shared" si="10"/>
        <v>0.24094949494949491</v>
      </c>
      <c r="N25" s="96">
        <f t="shared" si="11"/>
        <v>0.24157696759259259</v>
      </c>
      <c r="O25" s="259"/>
      <c r="P25" s="259"/>
      <c r="Q25" s="259"/>
      <c r="R25" s="259"/>
      <c r="S25" s="259"/>
      <c r="T25" s="259"/>
      <c r="U25" s="259"/>
      <c r="V25" s="259"/>
      <c r="W25" s="64"/>
      <c r="X25" s="65"/>
      <c r="Z25" s="83"/>
      <c r="AA25" s="83"/>
      <c r="AT25" s="4"/>
      <c r="AU25" s="27">
        <f t="shared" ref="AU25:AU40" si="94">AU24+6</f>
        <v>30</v>
      </c>
      <c r="AV25" s="28" t="str">
        <f t="shared" si="16"/>
        <v>(750)</v>
      </c>
      <c r="AW25" s="19">
        <f t="shared" si="80"/>
        <v>3</v>
      </c>
      <c r="AX25" s="373">
        <f t="shared" si="81"/>
        <v>0.38090277777777776</v>
      </c>
      <c r="AY25" s="374" t="str">
        <f t="shared" si="17"/>
        <v>(0.04)</v>
      </c>
      <c r="AZ25" s="375">
        <v>2</v>
      </c>
      <c r="BA25" s="375">
        <f t="shared" si="18"/>
        <v>2</v>
      </c>
      <c r="BB25" s="375">
        <v>0</v>
      </c>
      <c r="BC25" s="375">
        <f t="shared" si="19"/>
        <v>0</v>
      </c>
      <c r="BD25" s="375">
        <v>0</v>
      </c>
      <c r="BE25" s="375">
        <f t="shared" si="20"/>
        <v>0</v>
      </c>
      <c r="BF25" s="375">
        <f t="shared" si="21"/>
        <v>2</v>
      </c>
      <c r="BG25" s="376">
        <f t="shared" si="22"/>
        <v>10</v>
      </c>
      <c r="BH25" s="373">
        <f t="shared" si="82"/>
        <v>0.60944444444444434</v>
      </c>
      <c r="BI25" s="374" t="str">
        <f t="shared" si="23"/>
        <v>(0.06)</v>
      </c>
      <c r="BJ25" s="375">
        <v>2</v>
      </c>
      <c r="BK25" s="375">
        <f t="shared" si="24"/>
        <v>2</v>
      </c>
      <c r="BL25" s="375">
        <v>0</v>
      </c>
      <c r="BM25" s="375">
        <f t="shared" si="25"/>
        <v>0</v>
      </c>
      <c r="BN25" s="375">
        <v>0</v>
      </c>
      <c r="BO25" s="375">
        <f t="shared" si="26"/>
        <v>0</v>
      </c>
      <c r="BP25" s="375">
        <f t="shared" si="27"/>
        <v>2</v>
      </c>
      <c r="BQ25" s="376">
        <f t="shared" si="28"/>
        <v>16</v>
      </c>
      <c r="BR25" s="373">
        <f t="shared" si="83"/>
        <v>0.83798611111111099</v>
      </c>
      <c r="BS25" s="374" t="str">
        <f t="shared" si="29"/>
        <v>(0.08)</v>
      </c>
      <c r="BT25" s="375">
        <v>2</v>
      </c>
      <c r="BU25" s="375">
        <f t="shared" si="30"/>
        <v>2</v>
      </c>
      <c r="BV25" s="375">
        <v>0</v>
      </c>
      <c r="BW25" s="375">
        <f t="shared" si="31"/>
        <v>0</v>
      </c>
      <c r="BX25" s="375">
        <v>0</v>
      </c>
      <c r="BY25" s="375">
        <f t="shared" si="32"/>
        <v>0</v>
      </c>
      <c r="BZ25" s="375">
        <f t="shared" si="33"/>
        <v>2</v>
      </c>
      <c r="CA25" s="376">
        <f t="shared" si="34"/>
        <v>22</v>
      </c>
      <c r="CB25" s="373">
        <f t="shared" si="84"/>
        <v>1.0665277777777777</v>
      </c>
      <c r="CC25" s="374" t="str">
        <f t="shared" si="35"/>
        <v>(0.1)</v>
      </c>
      <c r="CD25" s="375">
        <v>2</v>
      </c>
      <c r="CE25" s="375">
        <f t="shared" si="36"/>
        <v>2</v>
      </c>
      <c r="CF25" s="375">
        <v>0</v>
      </c>
      <c r="CG25" s="375">
        <f t="shared" si="37"/>
        <v>0</v>
      </c>
      <c r="CH25" s="375">
        <v>0</v>
      </c>
      <c r="CI25" s="375">
        <f t="shared" si="38"/>
        <v>0</v>
      </c>
      <c r="CJ25" s="375">
        <f t="shared" si="39"/>
        <v>2</v>
      </c>
      <c r="CK25" s="376">
        <f t="shared" si="40"/>
        <v>28</v>
      </c>
      <c r="CL25" s="373">
        <f t="shared" si="85"/>
        <v>1.2950694444444444</v>
      </c>
      <c r="CM25" s="374" t="str">
        <f t="shared" si="41"/>
        <v>(0.12)</v>
      </c>
      <c r="CN25" s="375">
        <v>2</v>
      </c>
      <c r="CO25" s="375">
        <f t="shared" si="42"/>
        <v>2</v>
      </c>
      <c r="CP25" s="375">
        <v>0</v>
      </c>
      <c r="CQ25" s="375">
        <f t="shared" si="43"/>
        <v>0</v>
      </c>
      <c r="CR25" s="375">
        <v>0</v>
      </c>
      <c r="CS25" s="375">
        <f t="shared" si="44"/>
        <v>0</v>
      </c>
      <c r="CT25" s="375">
        <f t="shared" si="45"/>
        <v>2</v>
      </c>
      <c r="CU25" s="376">
        <f t="shared" si="46"/>
        <v>34</v>
      </c>
      <c r="CV25" s="373">
        <f t="shared" si="86"/>
        <v>1.523611111111111</v>
      </c>
      <c r="CW25" s="374" t="str">
        <f t="shared" si="47"/>
        <v>(0.14)</v>
      </c>
      <c r="CX25" s="375">
        <v>2</v>
      </c>
      <c r="CY25" s="375">
        <f t="shared" si="48"/>
        <v>2</v>
      </c>
      <c r="CZ25" s="375">
        <v>0</v>
      </c>
      <c r="DA25" s="375">
        <f t="shared" si="49"/>
        <v>0</v>
      </c>
      <c r="DB25" s="375">
        <v>0</v>
      </c>
      <c r="DC25" s="375">
        <f t="shared" si="50"/>
        <v>0</v>
      </c>
      <c r="DD25" s="375">
        <f t="shared" si="51"/>
        <v>2</v>
      </c>
      <c r="DE25" s="376">
        <f t="shared" si="52"/>
        <v>40</v>
      </c>
      <c r="DF25" s="373">
        <f>($IH25+(($IG25-1)*$II25)+$IJ25)*DO25/144</f>
        <v>1.7521527777777777</v>
      </c>
      <c r="DG25" s="374" t="str">
        <f t="shared" si="53"/>
        <v>(0.16)</v>
      </c>
      <c r="DH25" s="375">
        <v>2</v>
      </c>
      <c r="DI25" s="375">
        <f t="shared" si="54"/>
        <v>2</v>
      </c>
      <c r="DJ25" s="375">
        <v>0</v>
      </c>
      <c r="DK25" s="375">
        <f t="shared" si="55"/>
        <v>0</v>
      </c>
      <c r="DL25" s="375">
        <v>0</v>
      </c>
      <c r="DM25" s="375">
        <f t="shared" si="56"/>
        <v>0</v>
      </c>
      <c r="DN25" s="375">
        <f t="shared" si="57"/>
        <v>2</v>
      </c>
      <c r="DO25" s="376">
        <f t="shared" si="58"/>
        <v>46</v>
      </c>
      <c r="DP25" s="373">
        <f t="shared" si="87"/>
        <v>1.9806944444444443</v>
      </c>
      <c r="DQ25" s="374" t="str">
        <f t="shared" si="59"/>
        <v>(0.18)</v>
      </c>
      <c r="DR25" s="375">
        <v>2</v>
      </c>
      <c r="DS25" s="375">
        <f t="shared" si="60"/>
        <v>2</v>
      </c>
      <c r="DT25" s="375">
        <v>0</v>
      </c>
      <c r="DU25" s="375">
        <f t="shared" si="61"/>
        <v>0</v>
      </c>
      <c r="DV25" s="375">
        <f t="shared" si="61"/>
        <v>0</v>
      </c>
      <c r="DW25" s="375">
        <f t="shared" si="62"/>
        <v>0</v>
      </c>
      <c r="DX25" s="375">
        <f t="shared" si="63"/>
        <v>2</v>
      </c>
      <c r="DY25" s="376">
        <f t="shared" si="64"/>
        <v>52</v>
      </c>
      <c r="DZ25" s="373">
        <f t="shared" si="88"/>
        <v>2.2092361111111112</v>
      </c>
      <c r="EA25" s="374" t="str">
        <f t="shared" si="65"/>
        <v>(0.21)</v>
      </c>
      <c r="EB25" s="375">
        <v>2</v>
      </c>
      <c r="EC25" s="375">
        <f t="shared" si="66"/>
        <v>2</v>
      </c>
      <c r="ED25" s="375">
        <v>0</v>
      </c>
      <c r="EE25" s="375">
        <f t="shared" si="67"/>
        <v>0</v>
      </c>
      <c r="EF25" s="375">
        <f t="shared" si="67"/>
        <v>0</v>
      </c>
      <c r="EG25" s="375">
        <f t="shared" si="68"/>
        <v>0</v>
      </c>
      <c r="EH25" s="375">
        <f t="shared" si="69"/>
        <v>2</v>
      </c>
      <c r="EI25" s="376">
        <f t="shared" si="70"/>
        <v>58</v>
      </c>
      <c r="EJ25" s="373">
        <f t="shared" si="89"/>
        <v>2.4377777777777774</v>
      </c>
      <c r="EK25" s="374" t="str">
        <f t="shared" si="71"/>
        <v>(0.23)</v>
      </c>
      <c r="EL25" s="375">
        <v>2</v>
      </c>
      <c r="EM25" s="375">
        <f t="shared" si="90"/>
        <v>2</v>
      </c>
      <c r="EN25" s="375">
        <v>0</v>
      </c>
      <c r="EO25" s="375">
        <f t="shared" ref="EO25:EP25" si="95">$IM25*EN25</f>
        <v>0</v>
      </c>
      <c r="EP25" s="375">
        <f t="shared" si="95"/>
        <v>0</v>
      </c>
      <c r="EQ25" s="375">
        <f t="shared" si="72"/>
        <v>0</v>
      </c>
      <c r="ER25" s="375">
        <f>EM25+EO25+EQ25</f>
        <v>2</v>
      </c>
      <c r="ES25" s="376">
        <f t="shared" si="73"/>
        <v>64</v>
      </c>
      <c r="ET25" s="373">
        <f t="shared" si="93"/>
        <v>2.666319444444444</v>
      </c>
      <c r="EU25" s="374" t="str">
        <f t="shared" si="74"/>
        <v>(0.25)</v>
      </c>
      <c r="EV25" s="22">
        <v>2</v>
      </c>
      <c r="EW25" s="22">
        <f t="shared" si="75"/>
        <v>2</v>
      </c>
      <c r="EX25" s="22">
        <v>0</v>
      </c>
      <c r="EY25" s="22">
        <f t="shared" si="76"/>
        <v>0</v>
      </c>
      <c r="EZ25" s="30">
        <v>0</v>
      </c>
      <c r="FA25" s="22">
        <f t="shared" si="77"/>
        <v>0</v>
      </c>
      <c r="FB25" s="22">
        <f t="shared" si="78"/>
        <v>2</v>
      </c>
      <c r="FC25" s="23">
        <f t="shared" si="79"/>
        <v>70</v>
      </c>
      <c r="FD25" s="202"/>
      <c r="FE25" s="203"/>
      <c r="FF25" s="204"/>
      <c r="FG25" s="204"/>
      <c r="FH25" s="204"/>
      <c r="FI25" s="204"/>
      <c r="FJ25" s="204"/>
      <c r="FK25" s="204"/>
      <c r="FL25" s="204"/>
      <c r="FM25" s="205"/>
      <c r="FN25" s="202"/>
      <c r="FO25" s="203"/>
      <c r="FP25" s="204"/>
      <c r="FQ25" s="204"/>
      <c r="FR25" s="204"/>
      <c r="FS25" s="204"/>
      <c r="FT25" s="204"/>
      <c r="FU25" s="204"/>
      <c r="FV25" s="204"/>
      <c r="FW25" s="205"/>
      <c r="FX25" s="202"/>
      <c r="FY25" s="203"/>
      <c r="FZ25" s="204"/>
      <c r="GA25" s="204"/>
      <c r="GB25" s="204"/>
      <c r="GC25" s="204"/>
      <c r="GD25" s="204"/>
      <c r="GE25" s="204"/>
      <c r="GF25" s="204"/>
      <c r="GG25" s="205"/>
      <c r="GH25" s="202"/>
      <c r="GI25" s="203"/>
      <c r="GJ25" s="204"/>
      <c r="GK25" s="204"/>
      <c r="GL25" s="204"/>
      <c r="GM25" s="204"/>
      <c r="GN25" s="204"/>
      <c r="GO25" s="204"/>
      <c r="GP25" s="204"/>
      <c r="GQ25" s="205"/>
      <c r="GR25" s="202"/>
      <c r="GS25" s="203"/>
      <c r="GT25" s="204"/>
      <c r="GU25" s="204"/>
      <c r="GV25" s="204"/>
      <c r="GW25" s="204"/>
      <c r="GX25" s="204"/>
      <c r="GY25" s="204"/>
      <c r="GZ25" s="204"/>
      <c r="HA25" s="205"/>
      <c r="HB25" s="202"/>
      <c r="HC25" s="203"/>
      <c r="HD25" s="204"/>
      <c r="HE25" s="204"/>
      <c r="HF25" s="204"/>
      <c r="HG25" s="204"/>
      <c r="HH25" s="204"/>
      <c r="HI25" s="204"/>
      <c r="HJ25" s="204"/>
      <c r="HK25" s="205"/>
      <c r="HL25" s="202"/>
      <c r="HM25" s="203"/>
      <c r="HN25" s="204"/>
      <c r="HO25" s="204"/>
      <c r="HP25" s="204"/>
      <c r="HQ25" s="204"/>
      <c r="HR25" s="204"/>
      <c r="HS25" s="204"/>
      <c r="HT25" s="204"/>
      <c r="HU25" s="205"/>
      <c r="HV25" s="202"/>
      <c r="HW25" s="203"/>
      <c r="HX25" s="204"/>
      <c r="HY25" s="204"/>
      <c r="HZ25" s="204"/>
      <c r="IA25" s="204"/>
      <c r="IB25" s="204"/>
      <c r="IC25" s="204"/>
      <c r="ID25" s="204"/>
      <c r="IE25" s="205"/>
      <c r="IF25" s="262"/>
      <c r="IG25" s="25">
        <v>1</v>
      </c>
      <c r="IH25" s="26">
        <v>1.387</v>
      </c>
      <c r="II25" s="26">
        <v>3.2210000000000001</v>
      </c>
      <c r="IJ25" s="26">
        <v>4.0979999999999999</v>
      </c>
      <c r="IK25" s="26">
        <v>1</v>
      </c>
      <c r="IL25" s="26">
        <v>1</v>
      </c>
      <c r="IM25" s="26">
        <v>1.125</v>
      </c>
      <c r="IN25" s="8"/>
    </row>
    <row r="26" spans="2:248" ht="15.75" thickBot="1" x14ac:dyDescent="0.3">
      <c r="B26" s="103">
        <f t="shared" si="15"/>
        <v>54</v>
      </c>
      <c r="C26" s="102">
        <v>9</v>
      </c>
      <c r="D26" s="98">
        <f t="shared" si="1"/>
        <v>0.18405864197530863</v>
      </c>
      <c r="E26" s="96">
        <f t="shared" si="2"/>
        <v>0.19632921810699586</v>
      </c>
      <c r="F26" s="96">
        <f t="shared" si="3"/>
        <v>0.20246450617283951</v>
      </c>
      <c r="G26" s="96">
        <f t="shared" si="4"/>
        <v>0.20614567901234568</v>
      </c>
      <c r="H26" s="96">
        <f t="shared" si="5"/>
        <v>0.20859979423868311</v>
      </c>
      <c r="I26" s="96">
        <f t="shared" si="6"/>
        <v>0.21035273368606702</v>
      </c>
      <c r="J26" s="96">
        <f t="shared" si="7"/>
        <v>0.21666666666666667</v>
      </c>
      <c r="K26" s="96">
        <f t="shared" si="8"/>
        <v>0.21268998628257887</v>
      </c>
      <c r="L26" s="96">
        <f t="shared" si="9"/>
        <v>0.21350802469135802</v>
      </c>
      <c r="M26" s="96">
        <f t="shared" si="10"/>
        <v>0.21417732884399548</v>
      </c>
      <c r="N26" s="96">
        <f t="shared" si="11"/>
        <v>0.21473508230452673</v>
      </c>
      <c r="O26" s="259"/>
      <c r="P26" s="259"/>
      <c r="Q26" s="259"/>
      <c r="R26" s="259"/>
      <c r="S26" s="259"/>
      <c r="T26" s="259"/>
      <c r="U26" s="259"/>
      <c r="V26" s="259"/>
      <c r="W26" s="64"/>
      <c r="X26" s="65"/>
      <c r="Z26" s="83"/>
      <c r="AA26" s="83"/>
      <c r="AT26" s="4"/>
      <c r="AU26" s="14">
        <f t="shared" si="94"/>
        <v>36</v>
      </c>
      <c r="AV26" s="12" t="str">
        <f t="shared" si="16"/>
        <v>(900)</v>
      </c>
      <c r="AW26" s="19">
        <f t="shared" si="80"/>
        <v>4</v>
      </c>
      <c r="AX26" s="373">
        <f t="shared" si="81"/>
        <v>0.60458333333333336</v>
      </c>
      <c r="AY26" s="374" t="str">
        <f t="shared" si="17"/>
        <v>(0.06)</v>
      </c>
      <c r="AZ26" s="375">
        <v>2</v>
      </c>
      <c r="BA26" s="375">
        <f t="shared" si="18"/>
        <v>2</v>
      </c>
      <c r="BB26" s="375">
        <v>0</v>
      </c>
      <c r="BC26" s="375">
        <f t="shared" si="19"/>
        <v>0</v>
      </c>
      <c r="BD26" s="375">
        <v>0</v>
      </c>
      <c r="BE26" s="375">
        <f t="shared" si="20"/>
        <v>0</v>
      </c>
      <c r="BF26" s="375">
        <f t="shared" si="21"/>
        <v>2</v>
      </c>
      <c r="BG26" s="376">
        <f t="shared" si="22"/>
        <v>10</v>
      </c>
      <c r="BH26" s="373">
        <f t="shared" si="82"/>
        <v>0.96733333333333327</v>
      </c>
      <c r="BI26" s="374" t="str">
        <f t="shared" si="23"/>
        <v>(0.09)</v>
      </c>
      <c r="BJ26" s="375">
        <v>2</v>
      </c>
      <c r="BK26" s="375">
        <f t="shared" si="24"/>
        <v>2</v>
      </c>
      <c r="BL26" s="375">
        <v>0</v>
      </c>
      <c r="BM26" s="375">
        <f t="shared" si="25"/>
        <v>0</v>
      </c>
      <c r="BN26" s="375">
        <v>0</v>
      </c>
      <c r="BO26" s="375">
        <f t="shared" si="26"/>
        <v>0</v>
      </c>
      <c r="BP26" s="375">
        <f t="shared" si="27"/>
        <v>2</v>
      </c>
      <c r="BQ26" s="376">
        <f t="shared" si="28"/>
        <v>16</v>
      </c>
      <c r="BR26" s="373">
        <f t="shared" si="83"/>
        <v>1.3300833333333333</v>
      </c>
      <c r="BS26" s="374" t="str">
        <f t="shared" si="29"/>
        <v>(0.12)</v>
      </c>
      <c r="BT26" s="375">
        <v>2</v>
      </c>
      <c r="BU26" s="375">
        <f t="shared" si="30"/>
        <v>2</v>
      </c>
      <c r="BV26" s="375">
        <v>0</v>
      </c>
      <c r="BW26" s="375">
        <f t="shared" si="31"/>
        <v>0</v>
      </c>
      <c r="BX26" s="375">
        <v>0</v>
      </c>
      <c r="BY26" s="375">
        <f t="shared" si="32"/>
        <v>0</v>
      </c>
      <c r="BZ26" s="375">
        <f t="shared" si="33"/>
        <v>2</v>
      </c>
      <c r="CA26" s="376">
        <f t="shared" si="34"/>
        <v>22</v>
      </c>
      <c r="CB26" s="373">
        <f t="shared" si="84"/>
        <v>1.6928333333333332</v>
      </c>
      <c r="CC26" s="374" t="str">
        <f t="shared" si="35"/>
        <v>(0.16)</v>
      </c>
      <c r="CD26" s="375">
        <v>2</v>
      </c>
      <c r="CE26" s="375">
        <f t="shared" si="36"/>
        <v>2</v>
      </c>
      <c r="CF26" s="375">
        <v>0</v>
      </c>
      <c r="CG26" s="375">
        <f t="shared" si="37"/>
        <v>0</v>
      </c>
      <c r="CH26" s="375">
        <v>0</v>
      </c>
      <c r="CI26" s="375">
        <f t="shared" si="38"/>
        <v>0</v>
      </c>
      <c r="CJ26" s="375">
        <f t="shared" si="39"/>
        <v>2</v>
      </c>
      <c r="CK26" s="376">
        <f t="shared" si="40"/>
        <v>28</v>
      </c>
      <c r="CL26" s="373">
        <f t="shared" si="85"/>
        <v>2.0555833333333329</v>
      </c>
      <c r="CM26" s="374" t="str">
        <f t="shared" si="41"/>
        <v>(0.19)</v>
      </c>
      <c r="CN26" s="375">
        <v>2</v>
      </c>
      <c r="CO26" s="375">
        <f t="shared" si="42"/>
        <v>2</v>
      </c>
      <c r="CP26" s="375">
        <v>0</v>
      </c>
      <c r="CQ26" s="375">
        <f t="shared" si="43"/>
        <v>0</v>
      </c>
      <c r="CR26" s="375">
        <v>0</v>
      </c>
      <c r="CS26" s="375">
        <f t="shared" si="44"/>
        <v>0</v>
      </c>
      <c r="CT26" s="375">
        <f t="shared" si="45"/>
        <v>2</v>
      </c>
      <c r="CU26" s="376">
        <f t="shared" si="46"/>
        <v>34</v>
      </c>
      <c r="CV26" s="373">
        <f t="shared" si="86"/>
        <v>2.4183333333333334</v>
      </c>
      <c r="CW26" s="374" t="str">
        <f t="shared" si="47"/>
        <v>(0.22)</v>
      </c>
      <c r="CX26" s="375">
        <v>2</v>
      </c>
      <c r="CY26" s="375">
        <f t="shared" si="48"/>
        <v>2</v>
      </c>
      <c r="CZ26" s="375">
        <v>0</v>
      </c>
      <c r="DA26" s="375">
        <f t="shared" si="49"/>
        <v>0</v>
      </c>
      <c r="DB26" s="375">
        <v>0</v>
      </c>
      <c r="DC26" s="375">
        <f t="shared" si="50"/>
        <v>0</v>
      </c>
      <c r="DD26" s="375">
        <f t="shared" si="51"/>
        <v>2</v>
      </c>
      <c r="DE26" s="376">
        <f t="shared" si="52"/>
        <v>40</v>
      </c>
      <c r="DF26" s="373">
        <f>($IH26+(($IG26-1)*$II26)+$IJ26)*DO26/144</f>
        <v>2.7810833333333331</v>
      </c>
      <c r="DG26" s="374" t="str">
        <f t="shared" si="53"/>
        <v>(0.26)</v>
      </c>
      <c r="DH26" s="375">
        <v>2</v>
      </c>
      <c r="DI26" s="375">
        <f t="shared" si="54"/>
        <v>2</v>
      </c>
      <c r="DJ26" s="375">
        <v>0</v>
      </c>
      <c r="DK26" s="375">
        <f t="shared" si="55"/>
        <v>0</v>
      </c>
      <c r="DL26" s="375">
        <v>0</v>
      </c>
      <c r="DM26" s="375">
        <f t="shared" si="56"/>
        <v>0</v>
      </c>
      <c r="DN26" s="375">
        <f t="shared" si="57"/>
        <v>2</v>
      </c>
      <c r="DO26" s="376">
        <f t="shared" si="58"/>
        <v>46</v>
      </c>
      <c r="DP26" s="373">
        <f t="shared" si="87"/>
        <v>3.1438333333333333</v>
      </c>
      <c r="DQ26" s="374" t="str">
        <f t="shared" si="59"/>
        <v>(0.29)</v>
      </c>
      <c r="DR26" s="375">
        <v>2</v>
      </c>
      <c r="DS26" s="375">
        <f t="shared" si="60"/>
        <v>2</v>
      </c>
      <c r="DT26" s="375">
        <v>0</v>
      </c>
      <c r="DU26" s="375">
        <f t="shared" si="61"/>
        <v>0</v>
      </c>
      <c r="DV26" s="375">
        <f t="shared" si="61"/>
        <v>0</v>
      </c>
      <c r="DW26" s="375">
        <f t="shared" si="62"/>
        <v>0</v>
      </c>
      <c r="DX26" s="375">
        <f t="shared" si="63"/>
        <v>2</v>
      </c>
      <c r="DY26" s="376">
        <f t="shared" si="64"/>
        <v>52</v>
      </c>
      <c r="DZ26" s="373">
        <f t="shared" si="88"/>
        <v>3.5065833333333334</v>
      </c>
      <c r="EA26" s="374" t="str">
        <f t="shared" si="65"/>
        <v>(0.33)</v>
      </c>
      <c r="EB26" s="375">
        <v>2</v>
      </c>
      <c r="EC26" s="375">
        <f t="shared" si="66"/>
        <v>2</v>
      </c>
      <c r="ED26" s="375">
        <v>0</v>
      </c>
      <c r="EE26" s="375">
        <f t="shared" si="67"/>
        <v>0</v>
      </c>
      <c r="EF26" s="375">
        <f t="shared" si="67"/>
        <v>0</v>
      </c>
      <c r="EG26" s="375">
        <f t="shared" si="68"/>
        <v>0</v>
      </c>
      <c r="EH26" s="375">
        <f t="shared" si="69"/>
        <v>2</v>
      </c>
      <c r="EI26" s="376">
        <f t="shared" si="70"/>
        <v>58</v>
      </c>
      <c r="EJ26" s="373">
        <f t="shared" si="89"/>
        <v>3.8693333333333331</v>
      </c>
      <c r="EK26" s="374" t="str">
        <f t="shared" si="71"/>
        <v>(0.36)</v>
      </c>
      <c r="EL26" s="375">
        <v>2</v>
      </c>
      <c r="EM26" s="375">
        <f t="shared" si="90"/>
        <v>2</v>
      </c>
      <c r="EN26" s="375">
        <v>0</v>
      </c>
      <c r="EO26" s="375">
        <f t="shared" ref="EO26:EP26" si="96">$IM26*EN26</f>
        <v>0</v>
      </c>
      <c r="EP26" s="375">
        <f t="shared" si="96"/>
        <v>0</v>
      </c>
      <c r="EQ26" s="375">
        <f t="shared" si="72"/>
        <v>0</v>
      </c>
      <c r="ER26" s="375">
        <f t="shared" si="92"/>
        <v>2</v>
      </c>
      <c r="ES26" s="376">
        <f t="shared" si="73"/>
        <v>64</v>
      </c>
      <c r="ET26" s="373">
        <f t="shared" si="93"/>
        <v>4.2320833333333328</v>
      </c>
      <c r="EU26" s="374" t="str">
        <f t="shared" si="74"/>
        <v>(0.39)</v>
      </c>
      <c r="EV26" s="22">
        <v>2</v>
      </c>
      <c r="EW26" s="22">
        <f t="shared" si="75"/>
        <v>2</v>
      </c>
      <c r="EX26" s="22">
        <v>0</v>
      </c>
      <c r="EY26" s="22">
        <f t="shared" si="76"/>
        <v>0</v>
      </c>
      <c r="EZ26" s="22">
        <v>0</v>
      </c>
      <c r="FA26" s="22">
        <f t="shared" si="77"/>
        <v>0</v>
      </c>
      <c r="FB26" s="22">
        <f t="shared" si="78"/>
        <v>2</v>
      </c>
      <c r="FC26" s="23">
        <f t="shared" si="79"/>
        <v>70</v>
      </c>
      <c r="FD26" s="202"/>
      <c r="FE26" s="203"/>
      <c r="FF26" s="204"/>
      <c r="FG26" s="204"/>
      <c r="FH26" s="204"/>
      <c r="FI26" s="204"/>
      <c r="FJ26" s="204"/>
      <c r="FK26" s="204"/>
      <c r="FL26" s="204"/>
      <c r="FM26" s="205"/>
      <c r="FN26" s="202"/>
      <c r="FO26" s="203"/>
      <c r="FP26" s="204"/>
      <c r="FQ26" s="204"/>
      <c r="FR26" s="204"/>
      <c r="FS26" s="204"/>
      <c r="FT26" s="204"/>
      <c r="FU26" s="204"/>
      <c r="FV26" s="204"/>
      <c r="FW26" s="205"/>
      <c r="FX26" s="202"/>
      <c r="FY26" s="203"/>
      <c r="FZ26" s="204"/>
      <c r="GA26" s="204"/>
      <c r="GB26" s="204"/>
      <c r="GC26" s="204"/>
      <c r="GD26" s="204"/>
      <c r="GE26" s="204"/>
      <c r="GF26" s="204"/>
      <c r="GG26" s="205"/>
      <c r="GH26" s="202"/>
      <c r="GI26" s="203"/>
      <c r="GJ26" s="204"/>
      <c r="GK26" s="204"/>
      <c r="GL26" s="204"/>
      <c r="GM26" s="204"/>
      <c r="GN26" s="204"/>
      <c r="GO26" s="204"/>
      <c r="GP26" s="204"/>
      <c r="GQ26" s="205"/>
      <c r="GR26" s="202"/>
      <c r="GS26" s="203"/>
      <c r="GT26" s="204"/>
      <c r="GU26" s="204"/>
      <c r="GV26" s="204"/>
      <c r="GW26" s="204"/>
      <c r="GX26" s="204"/>
      <c r="GY26" s="204"/>
      <c r="GZ26" s="204"/>
      <c r="HA26" s="205"/>
      <c r="HB26" s="202"/>
      <c r="HC26" s="203"/>
      <c r="HD26" s="204"/>
      <c r="HE26" s="204"/>
      <c r="HF26" s="204"/>
      <c r="HG26" s="204"/>
      <c r="HH26" s="204"/>
      <c r="HI26" s="204"/>
      <c r="HJ26" s="204"/>
      <c r="HK26" s="205"/>
      <c r="HL26" s="202"/>
      <c r="HM26" s="203"/>
      <c r="HN26" s="204"/>
      <c r="HO26" s="204"/>
      <c r="HP26" s="204"/>
      <c r="HQ26" s="204"/>
      <c r="HR26" s="204"/>
      <c r="HS26" s="204"/>
      <c r="HT26" s="204"/>
      <c r="HU26" s="205"/>
      <c r="HV26" s="202"/>
      <c r="HW26" s="203"/>
      <c r="HX26" s="204"/>
      <c r="HY26" s="204"/>
      <c r="HZ26" s="204"/>
      <c r="IA26" s="204"/>
      <c r="IB26" s="204"/>
      <c r="IC26" s="204"/>
      <c r="ID26" s="204"/>
      <c r="IE26" s="205"/>
      <c r="IF26" s="262"/>
      <c r="IG26" s="25">
        <v>2</v>
      </c>
      <c r="IH26" s="26">
        <v>1.387</v>
      </c>
      <c r="II26" s="26">
        <v>3.2210000000000001</v>
      </c>
      <c r="IJ26" s="26">
        <v>4.0979999999999999</v>
      </c>
      <c r="IK26" s="26">
        <v>1</v>
      </c>
      <c r="IL26" s="26">
        <v>1</v>
      </c>
      <c r="IM26" s="26">
        <v>1.125</v>
      </c>
      <c r="IN26" s="8"/>
    </row>
    <row r="27" spans="2:248" ht="15.75" thickBot="1" x14ac:dyDescent="0.3">
      <c r="B27" s="103">
        <f t="shared" si="15"/>
        <v>60</v>
      </c>
      <c r="C27" s="102">
        <v>10</v>
      </c>
      <c r="D27" s="98">
        <f t="shared" si="1"/>
        <v>0.21038888888888888</v>
      </c>
      <c r="E27" s="96">
        <f t="shared" si="2"/>
        <v>0.22441481481481479</v>
      </c>
      <c r="F27" s="96">
        <f t="shared" si="3"/>
        <v>0.23142777777777773</v>
      </c>
      <c r="G27" s="96">
        <f t="shared" si="4"/>
        <v>0.23563555555555557</v>
      </c>
      <c r="H27" s="96">
        <f t="shared" si="5"/>
        <v>0.23844074074074076</v>
      </c>
      <c r="I27" s="96">
        <f t="shared" si="6"/>
        <v>0.24044444444444443</v>
      </c>
      <c r="J27" s="96">
        <f t="shared" si="7"/>
        <v>0.24194722222222223</v>
      </c>
      <c r="K27" s="96">
        <f t="shared" si="8"/>
        <v>0.24311604938271608</v>
      </c>
      <c r="L27" s="96">
        <f t="shared" si="9"/>
        <v>0.24405111111111111</v>
      </c>
      <c r="M27" s="96">
        <f t="shared" si="10"/>
        <v>0.2448161616161616</v>
      </c>
      <c r="N27" s="96">
        <f t="shared" si="11"/>
        <v>0.24545370370370367</v>
      </c>
      <c r="O27" s="259"/>
      <c r="P27" s="259"/>
      <c r="Q27" s="259"/>
      <c r="R27" s="259"/>
      <c r="S27" s="259"/>
      <c r="T27" s="259"/>
      <c r="U27" s="259"/>
      <c r="V27" s="259"/>
      <c r="W27" s="64"/>
      <c r="X27" s="65"/>
      <c r="Z27" s="83"/>
      <c r="AA27" s="83"/>
      <c r="AT27" s="4"/>
      <c r="AU27" s="14">
        <f t="shared" si="94"/>
        <v>42</v>
      </c>
      <c r="AV27" s="12" t="str">
        <f t="shared" si="16"/>
        <v>(1050)</v>
      </c>
      <c r="AW27" s="19">
        <f t="shared" si="80"/>
        <v>5</v>
      </c>
      <c r="AX27" s="373">
        <f t="shared" si="81"/>
        <v>0.60458333333333336</v>
      </c>
      <c r="AY27" s="374" t="str">
        <f t="shared" si="17"/>
        <v>(0.06)</v>
      </c>
      <c r="AZ27" s="375">
        <v>2</v>
      </c>
      <c r="BA27" s="375">
        <f t="shared" si="18"/>
        <v>2</v>
      </c>
      <c r="BB27" s="375">
        <v>0</v>
      </c>
      <c r="BC27" s="375">
        <f t="shared" si="19"/>
        <v>0</v>
      </c>
      <c r="BD27" s="375">
        <v>0</v>
      </c>
      <c r="BE27" s="375">
        <f t="shared" si="20"/>
        <v>0</v>
      </c>
      <c r="BF27" s="375">
        <f t="shared" si="21"/>
        <v>2</v>
      </c>
      <c r="BG27" s="376">
        <f t="shared" si="22"/>
        <v>10</v>
      </c>
      <c r="BH27" s="373">
        <f t="shared" si="82"/>
        <v>0.96733333333333327</v>
      </c>
      <c r="BI27" s="374" t="str">
        <f t="shared" si="23"/>
        <v>(0.09)</v>
      </c>
      <c r="BJ27" s="375">
        <v>2</v>
      </c>
      <c r="BK27" s="375">
        <f t="shared" si="24"/>
        <v>2</v>
      </c>
      <c r="BL27" s="375">
        <v>0</v>
      </c>
      <c r="BM27" s="375">
        <f t="shared" si="25"/>
        <v>0</v>
      </c>
      <c r="BN27" s="375">
        <v>0</v>
      </c>
      <c r="BO27" s="375">
        <f t="shared" si="26"/>
        <v>0</v>
      </c>
      <c r="BP27" s="375">
        <f t="shared" si="27"/>
        <v>2</v>
      </c>
      <c r="BQ27" s="376">
        <f t="shared" si="28"/>
        <v>16</v>
      </c>
      <c r="BR27" s="373">
        <f t="shared" si="83"/>
        <v>1.3300833333333333</v>
      </c>
      <c r="BS27" s="374" t="str">
        <f t="shared" si="29"/>
        <v>(0.12)</v>
      </c>
      <c r="BT27" s="375">
        <v>2</v>
      </c>
      <c r="BU27" s="375">
        <f t="shared" si="30"/>
        <v>2</v>
      </c>
      <c r="BV27" s="375">
        <v>0</v>
      </c>
      <c r="BW27" s="375">
        <f t="shared" si="31"/>
        <v>0</v>
      </c>
      <c r="BX27" s="375">
        <v>0</v>
      </c>
      <c r="BY27" s="375">
        <f t="shared" si="32"/>
        <v>0</v>
      </c>
      <c r="BZ27" s="375">
        <f t="shared" si="33"/>
        <v>2</v>
      </c>
      <c r="CA27" s="376">
        <f t="shared" si="34"/>
        <v>22</v>
      </c>
      <c r="CB27" s="373">
        <f t="shared" si="84"/>
        <v>1.6928333333333332</v>
      </c>
      <c r="CC27" s="374" t="str">
        <f t="shared" si="35"/>
        <v>(0.16)</v>
      </c>
      <c r="CD27" s="375">
        <v>2</v>
      </c>
      <c r="CE27" s="375">
        <f t="shared" si="36"/>
        <v>2</v>
      </c>
      <c r="CF27" s="375">
        <v>0</v>
      </c>
      <c r="CG27" s="375">
        <f t="shared" si="37"/>
        <v>0</v>
      </c>
      <c r="CH27" s="375">
        <v>0</v>
      </c>
      <c r="CI27" s="375">
        <f t="shared" si="38"/>
        <v>0</v>
      </c>
      <c r="CJ27" s="375">
        <f t="shared" si="39"/>
        <v>2</v>
      </c>
      <c r="CK27" s="376">
        <f t="shared" si="40"/>
        <v>28</v>
      </c>
      <c r="CL27" s="373">
        <f t="shared" si="85"/>
        <v>2.0555833333333329</v>
      </c>
      <c r="CM27" s="374" t="str">
        <f t="shared" si="41"/>
        <v>(0.19)</v>
      </c>
      <c r="CN27" s="375">
        <v>2</v>
      </c>
      <c r="CO27" s="375">
        <f t="shared" si="42"/>
        <v>2</v>
      </c>
      <c r="CP27" s="375">
        <v>0</v>
      </c>
      <c r="CQ27" s="375">
        <f t="shared" si="43"/>
        <v>0</v>
      </c>
      <c r="CR27" s="375">
        <v>0</v>
      </c>
      <c r="CS27" s="375">
        <f t="shared" si="44"/>
        <v>0</v>
      </c>
      <c r="CT27" s="375">
        <f t="shared" si="45"/>
        <v>2</v>
      </c>
      <c r="CU27" s="376">
        <f t="shared" si="46"/>
        <v>34</v>
      </c>
      <c r="CV27" s="373">
        <f t="shared" si="86"/>
        <v>2.4183333333333334</v>
      </c>
      <c r="CW27" s="374" t="str">
        <f t="shared" si="47"/>
        <v>(0.22)</v>
      </c>
      <c r="CX27" s="375">
        <v>2</v>
      </c>
      <c r="CY27" s="375">
        <f t="shared" si="48"/>
        <v>2</v>
      </c>
      <c r="CZ27" s="375">
        <v>0</v>
      </c>
      <c r="DA27" s="375">
        <f t="shared" si="49"/>
        <v>0</v>
      </c>
      <c r="DB27" s="375">
        <v>0</v>
      </c>
      <c r="DC27" s="375">
        <f t="shared" si="50"/>
        <v>0</v>
      </c>
      <c r="DD27" s="375">
        <f t="shared" si="51"/>
        <v>2</v>
      </c>
      <c r="DE27" s="376">
        <f t="shared" si="52"/>
        <v>40</v>
      </c>
      <c r="DF27" s="373">
        <f>($IH27+(($IG27-1)*$II27)+$IJ27)*DO27/144</f>
        <v>2.7810833333333331</v>
      </c>
      <c r="DG27" s="374" t="str">
        <f t="shared" si="53"/>
        <v>(0.26)</v>
      </c>
      <c r="DH27" s="375">
        <v>2</v>
      </c>
      <c r="DI27" s="375">
        <f t="shared" si="54"/>
        <v>2</v>
      </c>
      <c r="DJ27" s="375">
        <v>0</v>
      </c>
      <c r="DK27" s="375">
        <f t="shared" si="55"/>
        <v>0</v>
      </c>
      <c r="DL27" s="375">
        <v>0</v>
      </c>
      <c r="DM27" s="375">
        <f t="shared" si="56"/>
        <v>0</v>
      </c>
      <c r="DN27" s="375">
        <f t="shared" si="57"/>
        <v>2</v>
      </c>
      <c r="DO27" s="376">
        <f t="shared" si="58"/>
        <v>46</v>
      </c>
      <c r="DP27" s="373">
        <f t="shared" si="87"/>
        <v>3.1438333333333333</v>
      </c>
      <c r="DQ27" s="374" t="str">
        <f t="shared" si="59"/>
        <v>(0.29)</v>
      </c>
      <c r="DR27" s="375">
        <v>2</v>
      </c>
      <c r="DS27" s="375">
        <f t="shared" si="60"/>
        <v>2</v>
      </c>
      <c r="DT27" s="375">
        <v>0</v>
      </c>
      <c r="DU27" s="375">
        <f t="shared" si="61"/>
        <v>0</v>
      </c>
      <c r="DV27" s="375">
        <f t="shared" si="61"/>
        <v>0</v>
      </c>
      <c r="DW27" s="375">
        <f t="shared" si="62"/>
        <v>0</v>
      </c>
      <c r="DX27" s="375">
        <f t="shared" si="63"/>
        <v>2</v>
      </c>
      <c r="DY27" s="376">
        <f t="shared" si="64"/>
        <v>52</v>
      </c>
      <c r="DZ27" s="373">
        <f t="shared" si="88"/>
        <v>3.5065833333333334</v>
      </c>
      <c r="EA27" s="374" t="str">
        <f t="shared" si="65"/>
        <v>(0.33)</v>
      </c>
      <c r="EB27" s="375">
        <v>2</v>
      </c>
      <c r="EC27" s="375">
        <f t="shared" si="66"/>
        <v>2</v>
      </c>
      <c r="ED27" s="375">
        <v>0</v>
      </c>
      <c r="EE27" s="375">
        <f t="shared" si="67"/>
        <v>0</v>
      </c>
      <c r="EF27" s="375">
        <f t="shared" si="67"/>
        <v>0</v>
      </c>
      <c r="EG27" s="375">
        <f t="shared" si="68"/>
        <v>0</v>
      </c>
      <c r="EH27" s="375">
        <f t="shared" si="69"/>
        <v>2</v>
      </c>
      <c r="EI27" s="376">
        <f t="shared" si="70"/>
        <v>58</v>
      </c>
      <c r="EJ27" s="373">
        <f t="shared" si="89"/>
        <v>3.8693333333333331</v>
      </c>
      <c r="EK27" s="374" t="str">
        <f t="shared" si="71"/>
        <v>(0.36)</v>
      </c>
      <c r="EL27" s="375">
        <v>2</v>
      </c>
      <c r="EM27" s="375">
        <f t="shared" si="90"/>
        <v>2</v>
      </c>
      <c r="EN27" s="375">
        <v>0</v>
      </c>
      <c r="EO27" s="375">
        <f>$IM27*EN27</f>
        <v>0</v>
      </c>
      <c r="EP27" s="375">
        <f t="shared" ref="EP27" si="97">$IM27*EO27</f>
        <v>0</v>
      </c>
      <c r="EQ27" s="375">
        <f t="shared" si="72"/>
        <v>0</v>
      </c>
      <c r="ER27" s="375">
        <f t="shared" si="92"/>
        <v>2</v>
      </c>
      <c r="ES27" s="376">
        <f t="shared" si="73"/>
        <v>64</v>
      </c>
      <c r="ET27" s="373">
        <f t="shared" si="93"/>
        <v>4.2320833333333328</v>
      </c>
      <c r="EU27" s="374" t="str">
        <f t="shared" si="74"/>
        <v>(0.39)</v>
      </c>
      <c r="EV27" s="22">
        <v>2</v>
      </c>
      <c r="EW27" s="22">
        <f t="shared" si="75"/>
        <v>2</v>
      </c>
      <c r="EX27" s="22">
        <v>0</v>
      </c>
      <c r="EY27" s="22">
        <f t="shared" si="76"/>
        <v>0</v>
      </c>
      <c r="EZ27" s="22">
        <v>0</v>
      </c>
      <c r="FA27" s="22">
        <f t="shared" si="77"/>
        <v>0</v>
      </c>
      <c r="FB27" s="22">
        <f t="shared" si="78"/>
        <v>2</v>
      </c>
      <c r="FC27" s="23">
        <f t="shared" si="79"/>
        <v>70</v>
      </c>
      <c r="FD27" s="202"/>
      <c r="FE27" s="203"/>
      <c r="FF27" s="204"/>
      <c r="FG27" s="204"/>
      <c r="FH27" s="204"/>
      <c r="FI27" s="204"/>
      <c r="FJ27" s="204"/>
      <c r="FK27" s="204"/>
      <c r="FL27" s="204"/>
      <c r="FM27" s="205"/>
      <c r="FN27" s="202"/>
      <c r="FO27" s="203"/>
      <c r="FP27" s="204"/>
      <c r="FQ27" s="204"/>
      <c r="FR27" s="204"/>
      <c r="FS27" s="204"/>
      <c r="FT27" s="204"/>
      <c r="FU27" s="204"/>
      <c r="FV27" s="204"/>
      <c r="FW27" s="205"/>
      <c r="FX27" s="202"/>
      <c r="FY27" s="203"/>
      <c r="FZ27" s="204"/>
      <c r="GA27" s="204"/>
      <c r="GB27" s="204"/>
      <c r="GC27" s="204"/>
      <c r="GD27" s="204"/>
      <c r="GE27" s="204"/>
      <c r="GF27" s="204"/>
      <c r="GG27" s="205"/>
      <c r="GH27" s="202"/>
      <c r="GI27" s="203"/>
      <c r="GJ27" s="204"/>
      <c r="GK27" s="204"/>
      <c r="GL27" s="204"/>
      <c r="GM27" s="204"/>
      <c r="GN27" s="204"/>
      <c r="GO27" s="204"/>
      <c r="GP27" s="204"/>
      <c r="GQ27" s="205"/>
      <c r="GR27" s="202"/>
      <c r="GS27" s="203"/>
      <c r="GT27" s="204"/>
      <c r="GU27" s="204"/>
      <c r="GV27" s="204"/>
      <c r="GW27" s="204"/>
      <c r="GX27" s="204"/>
      <c r="GY27" s="204"/>
      <c r="GZ27" s="204"/>
      <c r="HA27" s="205"/>
      <c r="HB27" s="202"/>
      <c r="HC27" s="203"/>
      <c r="HD27" s="204"/>
      <c r="HE27" s="204"/>
      <c r="HF27" s="204"/>
      <c r="HG27" s="204"/>
      <c r="HH27" s="204"/>
      <c r="HI27" s="204"/>
      <c r="HJ27" s="204"/>
      <c r="HK27" s="205"/>
      <c r="HL27" s="202"/>
      <c r="HM27" s="203"/>
      <c r="HN27" s="204"/>
      <c r="HO27" s="204"/>
      <c r="HP27" s="204"/>
      <c r="HQ27" s="204"/>
      <c r="HR27" s="204"/>
      <c r="HS27" s="204"/>
      <c r="HT27" s="204"/>
      <c r="HU27" s="205"/>
      <c r="HV27" s="202"/>
      <c r="HW27" s="203"/>
      <c r="HX27" s="204"/>
      <c r="HY27" s="204"/>
      <c r="HZ27" s="204"/>
      <c r="IA27" s="204"/>
      <c r="IB27" s="204"/>
      <c r="IC27" s="204"/>
      <c r="ID27" s="204"/>
      <c r="IE27" s="205"/>
      <c r="IF27" s="262"/>
      <c r="IG27" s="25">
        <v>2</v>
      </c>
      <c r="IH27" s="26">
        <v>1.387</v>
      </c>
      <c r="II27" s="26">
        <v>3.2210000000000001</v>
      </c>
      <c r="IJ27" s="26">
        <v>4.0979999999999999</v>
      </c>
      <c r="IK27" s="26">
        <v>1</v>
      </c>
      <c r="IL27" s="26">
        <v>1</v>
      </c>
      <c r="IM27" s="26">
        <v>1.125</v>
      </c>
      <c r="IN27" s="8"/>
    </row>
    <row r="28" spans="2:248" ht="15.75" thickBot="1" x14ac:dyDescent="0.3">
      <c r="B28" s="103">
        <f t="shared" si="15"/>
        <v>66</v>
      </c>
      <c r="C28" s="102">
        <v>11</v>
      </c>
      <c r="D28" s="98">
        <f t="shared" si="1"/>
        <v>0.19126262626262625</v>
      </c>
      <c r="E28" s="96">
        <f t="shared" si="2"/>
        <v>0.20401346801346801</v>
      </c>
      <c r="F28" s="96">
        <f t="shared" si="3"/>
        <v>0.21038888888888885</v>
      </c>
      <c r="G28" s="96">
        <f t="shared" si="4"/>
        <v>0.21421414141414141</v>
      </c>
      <c r="H28" s="96">
        <f t="shared" si="5"/>
        <v>0.21676430976430977</v>
      </c>
      <c r="I28" s="96">
        <f t="shared" si="6"/>
        <v>0.21858585858585858</v>
      </c>
      <c r="J28" s="96">
        <f t="shared" si="7"/>
        <v>0.2199520202020202</v>
      </c>
      <c r="K28" s="96">
        <f t="shared" si="8"/>
        <v>0.2210145903479237</v>
      </c>
      <c r="L28" s="96">
        <f t="shared" si="9"/>
        <v>0.22186464646464646</v>
      </c>
      <c r="M28" s="96">
        <f t="shared" si="10"/>
        <v>0.22256014692378329</v>
      </c>
      <c r="N28" s="96">
        <f t="shared" si="11"/>
        <v>0.22313973063973061</v>
      </c>
      <c r="O28" s="259"/>
      <c r="P28" s="259"/>
      <c r="Q28" s="259"/>
      <c r="R28" s="259"/>
      <c r="S28" s="259"/>
      <c r="T28" s="259"/>
      <c r="U28" s="259"/>
      <c r="V28" s="259"/>
      <c r="W28" s="64"/>
      <c r="X28" s="65"/>
      <c r="Z28" s="83"/>
      <c r="AA28" s="83"/>
      <c r="AT28" s="4"/>
      <c r="AU28" s="14">
        <f t="shared" si="94"/>
        <v>48</v>
      </c>
      <c r="AV28" s="12" t="str">
        <f t="shared" si="16"/>
        <v>(1200)</v>
      </c>
      <c r="AW28" s="19">
        <f t="shared" si="80"/>
        <v>6</v>
      </c>
      <c r="AX28" s="373">
        <f t="shared" si="81"/>
        <v>0.82826388888888891</v>
      </c>
      <c r="AY28" s="374" t="str">
        <f t="shared" si="17"/>
        <v>(0.08)</v>
      </c>
      <c r="AZ28" s="375">
        <v>2</v>
      </c>
      <c r="BA28" s="375">
        <f t="shared" si="18"/>
        <v>2</v>
      </c>
      <c r="BB28" s="375">
        <v>0</v>
      </c>
      <c r="BC28" s="375">
        <f t="shared" si="19"/>
        <v>0</v>
      </c>
      <c r="BD28" s="375">
        <v>0</v>
      </c>
      <c r="BE28" s="375">
        <f t="shared" si="20"/>
        <v>0</v>
      </c>
      <c r="BF28" s="375">
        <f t="shared" si="21"/>
        <v>2</v>
      </c>
      <c r="BG28" s="376">
        <f t="shared" si="22"/>
        <v>10</v>
      </c>
      <c r="BH28" s="373">
        <f t="shared" si="82"/>
        <v>1.3252222222222221</v>
      </c>
      <c r="BI28" s="374" t="str">
        <f t="shared" si="23"/>
        <v>(0.12)</v>
      </c>
      <c r="BJ28" s="375">
        <v>2</v>
      </c>
      <c r="BK28" s="375">
        <f t="shared" si="24"/>
        <v>2</v>
      </c>
      <c r="BL28" s="375">
        <v>0</v>
      </c>
      <c r="BM28" s="375">
        <f t="shared" si="25"/>
        <v>0</v>
      </c>
      <c r="BN28" s="375">
        <v>0</v>
      </c>
      <c r="BO28" s="375">
        <f t="shared" si="26"/>
        <v>0</v>
      </c>
      <c r="BP28" s="375">
        <f t="shared" si="27"/>
        <v>2</v>
      </c>
      <c r="BQ28" s="376">
        <f t="shared" si="28"/>
        <v>16</v>
      </c>
      <c r="BR28" s="373">
        <f t="shared" si="83"/>
        <v>1.8221805555555557</v>
      </c>
      <c r="BS28" s="374" t="str">
        <f t="shared" si="29"/>
        <v>(0.17)</v>
      </c>
      <c r="BT28" s="375">
        <v>2</v>
      </c>
      <c r="BU28" s="375">
        <f t="shared" si="30"/>
        <v>2</v>
      </c>
      <c r="BV28" s="375">
        <v>0</v>
      </c>
      <c r="BW28" s="375">
        <f t="shared" si="31"/>
        <v>0</v>
      </c>
      <c r="BX28" s="375">
        <v>0</v>
      </c>
      <c r="BY28" s="375">
        <f t="shared" si="32"/>
        <v>0</v>
      </c>
      <c r="BZ28" s="375">
        <f t="shared" si="33"/>
        <v>2</v>
      </c>
      <c r="CA28" s="376">
        <f t="shared" si="34"/>
        <v>22</v>
      </c>
      <c r="CB28" s="373">
        <f t="shared" si="84"/>
        <v>2.3191388888888889</v>
      </c>
      <c r="CC28" s="374" t="str">
        <f t="shared" si="35"/>
        <v>(0.22)</v>
      </c>
      <c r="CD28" s="375">
        <v>2</v>
      </c>
      <c r="CE28" s="375">
        <f t="shared" si="36"/>
        <v>2</v>
      </c>
      <c r="CF28" s="375">
        <v>0</v>
      </c>
      <c r="CG28" s="375">
        <f t="shared" si="37"/>
        <v>0</v>
      </c>
      <c r="CH28" s="375">
        <v>0</v>
      </c>
      <c r="CI28" s="375">
        <f t="shared" si="38"/>
        <v>0</v>
      </c>
      <c r="CJ28" s="375">
        <f t="shared" si="39"/>
        <v>2</v>
      </c>
      <c r="CK28" s="376">
        <f t="shared" si="40"/>
        <v>28</v>
      </c>
      <c r="CL28" s="373">
        <f t="shared" si="85"/>
        <v>2.816097222222222</v>
      </c>
      <c r="CM28" s="374" t="str">
        <f t="shared" si="41"/>
        <v>(0.26)</v>
      </c>
      <c r="CN28" s="375">
        <v>2</v>
      </c>
      <c r="CO28" s="375">
        <f t="shared" si="42"/>
        <v>2</v>
      </c>
      <c r="CP28" s="375">
        <v>0</v>
      </c>
      <c r="CQ28" s="375">
        <f t="shared" si="43"/>
        <v>0</v>
      </c>
      <c r="CR28" s="375">
        <v>0</v>
      </c>
      <c r="CS28" s="375">
        <f t="shared" si="44"/>
        <v>0</v>
      </c>
      <c r="CT28" s="375">
        <f t="shared" si="45"/>
        <v>2</v>
      </c>
      <c r="CU28" s="376">
        <f t="shared" si="46"/>
        <v>34</v>
      </c>
      <c r="CV28" s="373">
        <f t="shared" si="86"/>
        <v>3.3130555555555556</v>
      </c>
      <c r="CW28" s="374" t="str">
        <f t="shared" si="47"/>
        <v>(0.31)</v>
      </c>
      <c r="CX28" s="375">
        <v>2</v>
      </c>
      <c r="CY28" s="375">
        <f t="shared" si="48"/>
        <v>2</v>
      </c>
      <c r="CZ28" s="375">
        <v>0</v>
      </c>
      <c r="DA28" s="375">
        <f t="shared" si="49"/>
        <v>0</v>
      </c>
      <c r="DB28" s="375">
        <v>0</v>
      </c>
      <c r="DC28" s="375">
        <f t="shared" si="50"/>
        <v>0</v>
      </c>
      <c r="DD28" s="375">
        <f t="shared" si="51"/>
        <v>2</v>
      </c>
      <c r="DE28" s="376">
        <f t="shared" si="52"/>
        <v>40</v>
      </c>
      <c r="DF28" s="377">
        <v>3.9</v>
      </c>
      <c r="DG28" s="378" t="str">
        <f t="shared" si="53"/>
        <v>(0.36)</v>
      </c>
      <c r="DH28" s="375">
        <v>2</v>
      </c>
      <c r="DI28" s="375">
        <f t="shared" si="54"/>
        <v>2</v>
      </c>
      <c r="DJ28" s="375">
        <v>0</v>
      </c>
      <c r="DK28" s="375">
        <f t="shared" si="55"/>
        <v>0</v>
      </c>
      <c r="DL28" s="375">
        <v>0</v>
      </c>
      <c r="DM28" s="375">
        <f t="shared" si="56"/>
        <v>0</v>
      </c>
      <c r="DN28" s="375">
        <f t="shared" si="57"/>
        <v>2</v>
      </c>
      <c r="DO28" s="376">
        <f t="shared" si="58"/>
        <v>46</v>
      </c>
      <c r="DP28" s="373">
        <f t="shared" si="87"/>
        <v>4.306972222222222</v>
      </c>
      <c r="DQ28" s="374" t="str">
        <f t="shared" si="59"/>
        <v>(0.40)</v>
      </c>
      <c r="DR28" s="375">
        <v>2</v>
      </c>
      <c r="DS28" s="375">
        <f t="shared" si="60"/>
        <v>2</v>
      </c>
      <c r="DT28" s="375">
        <v>0</v>
      </c>
      <c r="DU28" s="375">
        <f t="shared" si="61"/>
        <v>0</v>
      </c>
      <c r="DV28" s="375">
        <f t="shared" si="61"/>
        <v>0</v>
      </c>
      <c r="DW28" s="375">
        <f t="shared" si="62"/>
        <v>0</v>
      </c>
      <c r="DX28" s="375">
        <f t="shared" si="63"/>
        <v>2</v>
      </c>
      <c r="DY28" s="376">
        <f t="shared" si="64"/>
        <v>52</v>
      </c>
      <c r="DZ28" s="373">
        <f t="shared" si="88"/>
        <v>4.8039305555555556</v>
      </c>
      <c r="EA28" s="374" t="str">
        <f t="shared" si="65"/>
        <v>(0.45)</v>
      </c>
      <c r="EB28" s="375">
        <v>2</v>
      </c>
      <c r="EC28" s="375">
        <f t="shared" si="66"/>
        <v>2</v>
      </c>
      <c r="ED28" s="375">
        <v>0</v>
      </c>
      <c r="EE28" s="375">
        <f t="shared" si="67"/>
        <v>0</v>
      </c>
      <c r="EF28" s="375">
        <f t="shared" si="67"/>
        <v>0</v>
      </c>
      <c r="EG28" s="375">
        <f t="shared" si="68"/>
        <v>0</v>
      </c>
      <c r="EH28" s="375">
        <f t="shared" si="69"/>
        <v>2</v>
      </c>
      <c r="EI28" s="376">
        <f t="shared" si="70"/>
        <v>58</v>
      </c>
      <c r="EJ28" s="373">
        <f t="shared" si="89"/>
        <v>5.3008888888888883</v>
      </c>
      <c r="EK28" s="374" t="str">
        <f t="shared" si="71"/>
        <v>(0.49)</v>
      </c>
      <c r="EL28" s="375">
        <v>2</v>
      </c>
      <c r="EM28" s="375">
        <f t="shared" si="90"/>
        <v>2</v>
      </c>
      <c r="EN28" s="375">
        <v>0</v>
      </c>
      <c r="EO28" s="375">
        <f t="shared" ref="EO28:EP28" si="98">$IM28*EN28</f>
        <v>0</v>
      </c>
      <c r="EP28" s="375">
        <f t="shared" si="98"/>
        <v>0</v>
      </c>
      <c r="EQ28" s="375">
        <f t="shared" si="72"/>
        <v>0</v>
      </c>
      <c r="ER28" s="375">
        <f t="shared" si="92"/>
        <v>2</v>
      </c>
      <c r="ES28" s="376">
        <f t="shared" si="73"/>
        <v>64</v>
      </c>
      <c r="ET28" s="373">
        <f t="shared" si="93"/>
        <v>5.7978472222222219</v>
      </c>
      <c r="EU28" s="374" t="str">
        <f t="shared" si="74"/>
        <v>(0.54)</v>
      </c>
      <c r="EV28" s="22">
        <v>2</v>
      </c>
      <c r="EW28" s="22">
        <f t="shared" si="75"/>
        <v>2</v>
      </c>
      <c r="EX28" s="22">
        <v>0</v>
      </c>
      <c r="EY28" s="22">
        <f t="shared" si="76"/>
        <v>0</v>
      </c>
      <c r="EZ28" s="22">
        <v>0</v>
      </c>
      <c r="FA28" s="22">
        <f t="shared" si="77"/>
        <v>0</v>
      </c>
      <c r="FB28" s="22">
        <f t="shared" si="78"/>
        <v>2</v>
      </c>
      <c r="FC28" s="23">
        <f t="shared" si="79"/>
        <v>70</v>
      </c>
      <c r="FD28" s="202"/>
      <c r="FE28" s="203"/>
      <c r="FF28" s="204"/>
      <c r="FG28" s="204"/>
      <c r="FH28" s="204"/>
      <c r="FI28" s="204"/>
      <c r="FJ28" s="204"/>
      <c r="FK28" s="204"/>
      <c r="FL28" s="204"/>
      <c r="FM28" s="205"/>
      <c r="FN28" s="202"/>
      <c r="FO28" s="203"/>
      <c r="FP28" s="204"/>
      <c r="FQ28" s="204"/>
      <c r="FR28" s="204"/>
      <c r="FS28" s="204"/>
      <c r="FT28" s="204"/>
      <c r="FU28" s="204"/>
      <c r="FV28" s="204"/>
      <c r="FW28" s="205"/>
      <c r="FX28" s="202"/>
      <c r="FY28" s="203"/>
      <c r="FZ28" s="204"/>
      <c r="GA28" s="204"/>
      <c r="GB28" s="204"/>
      <c r="GC28" s="204"/>
      <c r="GD28" s="204"/>
      <c r="GE28" s="204"/>
      <c r="GF28" s="204"/>
      <c r="GG28" s="205"/>
      <c r="GH28" s="202"/>
      <c r="GI28" s="203"/>
      <c r="GJ28" s="204"/>
      <c r="GK28" s="204"/>
      <c r="GL28" s="204"/>
      <c r="GM28" s="204"/>
      <c r="GN28" s="204"/>
      <c r="GO28" s="204"/>
      <c r="GP28" s="204"/>
      <c r="GQ28" s="205"/>
      <c r="GR28" s="202"/>
      <c r="GS28" s="203"/>
      <c r="GT28" s="204"/>
      <c r="GU28" s="204"/>
      <c r="GV28" s="204"/>
      <c r="GW28" s="204"/>
      <c r="GX28" s="204"/>
      <c r="GY28" s="204"/>
      <c r="GZ28" s="204"/>
      <c r="HA28" s="205"/>
      <c r="HB28" s="202"/>
      <c r="HC28" s="203"/>
      <c r="HD28" s="204"/>
      <c r="HE28" s="204"/>
      <c r="HF28" s="204"/>
      <c r="HG28" s="204"/>
      <c r="HH28" s="204"/>
      <c r="HI28" s="204"/>
      <c r="HJ28" s="204"/>
      <c r="HK28" s="205"/>
      <c r="HL28" s="202"/>
      <c r="HM28" s="203"/>
      <c r="HN28" s="204"/>
      <c r="HO28" s="204"/>
      <c r="HP28" s="204"/>
      <c r="HQ28" s="204"/>
      <c r="HR28" s="204"/>
      <c r="HS28" s="204"/>
      <c r="HT28" s="204"/>
      <c r="HU28" s="205"/>
      <c r="HV28" s="202"/>
      <c r="HW28" s="203"/>
      <c r="HX28" s="204"/>
      <c r="HY28" s="204"/>
      <c r="HZ28" s="204"/>
      <c r="IA28" s="204"/>
      <c r="IB28" s="204"/>
      <c r="IC28" s="204"/>
      <c r="ID28" s="204"/>
      <c r="IE28" s="205"/>
      <c r="IF28" s="262"/>
      <c r="IG28" s="25">
        <v>3</v>
      </c>
      <c r="IH28" s="26">
        <v>1.387</v>
      </c>
      <c r="II28" s="26">
        <v>3.2210000000000001</v>
      </c>
      <c r="IJ28" s="26">
        <v>4.0979999999999999</v>
      </c>
      <c r="IK28" s="26">
        <v>1</v>
      </c>
      <c r="IL28" s="26">
        <v>1</v>
      </c>
      <c r="IM28" s="26">
        <v>1.125</v>
      </c>
      <c r="IN28" s="8"/>
    </row>
    <row r="29" spans="2:248" ht="15.75" thickBot="1" x14ac:dyDescent="0.3">
      <c r="B29" s="103">
        <f t="shared" si="15"/>
        <v>72</v>
      </c>
      <c r="C29" s="102">
        <v>12</v>
      </c>
      <c r="D29" s="98">
        <f t="shared" si="1"/>
        <v>0.21260416666666668</v>
      </c>
      <c r="E29" s="96">
        <f t="shared" si="2"/>
        <v>0.22677777777777777</v>
      </c>
      <c r="F29" s="96">
        <f t="shared" si="3"/>
        <v>0.23386458333333335</v>
      </c>
      <c r="G29" s="96">
        <f t="shared" si="4"/>
        <v>0.23811666666666664</v>
      </c>
      <c r="H29" s="96">
        <f t="shared" si="5"/>
        <v>0.2409513888888889</v>
      </c>
      <c r="I29" s="96">
        <f t="shared" si="6"/>
        <v>0.24297619047619048</v>
      </c>
      <c r="J29" s="96">
        <f t="shared" si="7"/>
        <v>0.24449479166666666</v>
      </c>
      <c r="K29" s="96">
        <f t="shared" si="8"/>
        <v>0.24567592592592594</v>
      </c>
      <c r="L29" s="96">
        <f t="shared" si="9"/>
        <v>0.24662083333333334</v>
      </c>
      <c r="M29" s="96">
        <f t="shared" si="10"/>
        <v>0.24739393939393939</v>
      </c>
      <c r="N29" s="96">
        <f t="shared" si="11"/>
        <v>0.24803819444444444</v>
      </c>
      <c r="O29" s="259"/>
      <c r="P29" s="259"/>
      <c r="Q29" s="259"/>
      <c r="R29" s="259"/>
      <c r="S29" s="259"/>
      <c r="T29" s="259"/>
      <c r="U29" s="259"/>
      <c r="V29" s="259"/>
      <c r="W29" s="64"/>
      <c r="X29" s="65"/>
      <c r="Z29" s="83"/>
      <c r="AA29" s="83"/>
      <c r="AT29" s="4"/>
      <c r="AU29" s="14">
        <f t="shared" si="94"/>
        <v>54</v>
      </c>
      <c r="AV29" s="12" t="str">
        <f t="shared" si="16"/>
        <v>(1350)</v>
      </c>
      <c r="AW29" s="19">
        <f t="shared" si="80"/>
        <v>7</v>
      </c>
      <c r="AX29" s="373">
        <f t="shared" si="81"/>
        <v>0.82826388888888891</v>
      </c>
      <c r="AY29" s="374" t="str">
        <f t="shared" si="17"/>
        <v>(0.08)</v>
      </c>
      <c r="AZ29" s="375">
        <v>2</v>
      </c>
      <c r="BA29" s="375">
        <f t="shared" si="18"/>
        <v>2</v>
      </c>
      <c r="BB29" s="375">
        <v>0</v>
      </c>
      <c r="BC29" s="375">
        <f t="shared" si="19"/>
        <v>0</v>
      </c>
      <c r="BD29" s="375">
        <v>0</v>
      </c>
      <c r="BE29" s="375">
        <f t="shared" si="20"/>
        <v>0</v>
      </c>
      <c r="BF29" s="375">
        <f t="shared" si="21"/>
        <v>2</v>
      </c>
      <c r="BG29" s="376">
        <f t="shared" si="22"/>
        <v>10</v>
      </c>
      <c r="BH29" s="373">
        <f t="shared" si="82"/>
        <v>1.3252222222222221</v>
      </c>
      <c r="BI29" s="374" t="str">
        <f t="shared" si="23"/>
        <v>(0.12)</v>
      </c>
      <c r="BJ29" s="375">
        <v>2</v>
      </c>
      <c r="BK29" s="375">
        <f t="shared" si="24"/>
        <v>2</v>
      </c>
      <c r="BL29" s="375">
        <v>0</v>
      </c>
      <c r="BM29" s="375">
        <f t="shared" si="25"/>
        <v>0</v>
      </c>
      <c r="BN29" s="375">
        <v>0</v>
      </c>
      <c r="BO29" s="375">
        <f t="shared" si="26"/>
        <v>0</v>
      </c>
      <c r="BP29" s="375">
        <f t="shared" si="27"/>
        <v>2</v>
      </c>
      <c r="BQ29" s="376">
        <f t="shared" si="28"/>
        <v>16</v>
      </c>
      <c r="BR29" s="373">
        <f t="shared" si="83"/>
        <v>1.8221805555555557</v>
      </c>
      <c r="BS29" s="374" t="str">
        <f t="shared" si="29"/>
        <v>(0.17)</v>
      </c>
      <c r="BT29" s="375">
        <v>2</v>
      </c>
      <c r="BU29" s="375">
        <f t="shared" si="30"/>
        <v>2</v>
      </c>
      <c r="BV29" s="375">
        <v>0</v>
      </c>
      <c r="BW29" s="375">
        <f t="shared" si="31"/>
        <v>0</v>
      </c>
      <c r="BX29" s="375">
        <v>0</v>
      </c>
      <c r="BY29" s="375">
        <f t="shared" si="32"/>
        <v>0</v>
      </c>
      <c r="BZ29" s="375">
        <f t="shared" si="33"/>
        <v>2</v>
      </c>
      <c r="CA29" s="376">
        <f t="shared" si="34"/>
        <v>22</v>
      </c>
      <c r="CB29" s="373">
        <f t="shared" si="84"/>
        <v>2.3191388888888889</v>
      </c>
      <c r="CC29" s="374" t="str">
        <f t="shared" si="35"/>
        <v>(0.22)</v>
      </c>
      <c r="CD29" s="375">
        <v>2</v>
      </c>
      <c r="CE29" s="375">
        <f t="shared" si="36"/>
        <v>2</v>
      </c>
      <c r="CF29" s="375">
        <v>0</v>
      </c>
      <c r="CG29" s="375">
        <f t="shared" si="37"/>
        <v>0</v>
      </c>
      <c r="CH29" s="375">
        <v>0</v>
      </c>
      <c r="CI29" s="375">
        <f t="shared" si="38"/>
        <v>0</v>
      </c>
      <c r="CJ29" s="375">
        <f t="shared" si="39"/>
        <v>2</v>
      </c>
      <c r="CK29" s="376">
        <f t="shared" si="40"/>
        <v>28</v>
      </c>
      <c r="CL29" s="373">
        <f t="shared" si="85"/>
        <v>2.816097222222222</v>
      </c>
      <c r="CM29" s="374" t="str">
        <f t="shared" si="41"/>
        <v>(0.26)</v>
      </c>
      <c r="CN29" s="375">
        <v>2</v>
      </c>
      <c r="CO29" s="375">
        <f t="shared" si="42"/>
        <v>2</v>
      </c>
      <c r="CP29" s="375">
        <v>0</v>
      </c>
      <c r="CQ29" s="375">
        <f t="shared" si="43"/>
        <v>0</v>
      </c>
      <c r="CR29" s="375">
        <v>0</v>
      </c>
      <c r="CS29" s="375">
        <f t="shared" si="44"/>
        <v>0</v>
      </c>
      <c r="CT29" s="375">
        <f t="shared" si="45"/>
        <v>2</v>
      </c>
      <c r="CU29" s="376">
        <f t="shared" si="46"/>
        <v>34</v>
      </c>
      <c r="CV29" s="373">
        <f t="shared" si="86"/>
        <v>3.3130555555555556</v>
      </c>
      <c r="CW29" s="374" t="str">
        <f t="shared" si="47"/>
        <v>(0.31)</v>
      </c>
      <c r="CX29" s="375">
        <v>2</v>
      </c>
      <c r="CY29" s="375">
        <f t="shared" si="48"/>
        <v>2</v>
      </c>
      <c r="CZ29" s="375">
        <v>0</v>
      </c>
      <c r="DA29" s="375">
        <f t="shared" si="49"/>
        <v>0</v>
      </c>
      <c r="DB29" s="375">
        <v>0</v>
      </c>
      <c r="DC29" s="375">
        <f t="shared" si="50"/>
        <v>0</v>
      </c>
      <c r="DD29" s="375">
        <f t="shared" si="51"/>
        <v>2</v>
      </c>
      <c r="DE29" s="376">
        <f t="shared" si="52"/>
        <v>40</v>
      </c>
      <c r="DF29" s="373">
        <v>3.9</v>
      </c>
      <c r="DG29" s="374" t="str">
        <f t="shared" si="53"/>
        <v>(0.36)</v>
      </c>
      <c r="DH29" s="375">
        <v>2</v>
      </c>
      <c r="DI29" s="375">
        <f t="shared" si="54"/>
        <v>2</v>
      </c>
      <c r="DJ29" s="375">
        <v>0</v>
      </c>
      <c r="DK29" s="375">
        <f t="shared" si="55"/>
        <v>0</v>
      </c>
      <c r="DL29" s="375">
        <v>0</v>
      </c>
      <c r="DM29" s="375">
        <f t="shared" si="56"/>
        <v>0</v>
      </c>
      <c r="DN29" s="375">
        <f t="shared" si="57"/>
        <v>2</v>
      </c>
      <c r="DO29" s="376">
        <f t="shared" si="58"/>
        <v>46</v>
      </c>
      <c r="DP29" s="373">
        <f t="shared" si="87"/>
        <v>4.306972222222222</v>
      </c>
      <c r="DQ29" s="374" t="str">
        <f t="shared" si="59"/>
        <v>(0.40)</v>
      </c>
      <c r="DR29" s="375">
        <v>2</v>
      </c>
      <c r="DS29" s="375">
        <f t="shared" si="60"/>
        <v>2</v>
      </c>
      <c r="DT29" s="375">
        <v>0</v>
      </c>
      <c r="DU29" s="375">
        <f t="shared" si="61"/>
        <v>0</v>
      </c>
      <c r="DV29" s="375">
        <f t="shared" si="61"/>
        <v>0</v>
      </c>
      <c r="DW29" s="375">
        <f t="shared" si="62"/>
        <v>0</v>
      </c>
      <c r="DX29" s="375">
        <f t="shared" si="63"/>
        <v>2</v>
      </c>
      <c r="DY29" s="376">
        <f t="shared" si="64"/>
        <v>52</v>
      </c>
      <c r="DZ29" s="373">
        <f t="shared" si="88"/>
        <v>4.8039305555555556</v>
      </c>
      <c r="EA29" s="374" t="str">
        <f t="shared" si="65"/>
        <v>(0.45)</v>
      </c>
      <c r="EB29" s="375">
        <v>2</v>
      </c>
      <c r="EC29" s="375">
        <f t="shared" si="66"/>
        <v>2</v>
      </c>
      <c r="ED29" s="375">
        <v>0</v>
      </c>
      <c r="EE29" s="375">
        <f t="shared" si="67"/>
        <v>0</v>
      </c>
      <c r="EF29" s="375">
        <f t="shared" si="67"/>
        <v>0</v>
      </c>
      <c r="EG29" s="375">
        <f t="shared" si="68"/>
        <v>0</v>
      </c>
      <c r="EH29" s="375">
        <f t="shared" si="69"/>
        <v>2</v>
      </c>
      <c r="EI29" s="376">
        <f t="shared" si="70"/>
        <v>58</v>
      </c>
      <c r="EJ29" s="373">
        <f t="shared" si="89"/>
        <v>5.3008888888888883</v>
      </c>
      <c r="EK29" s="374" t="str">
        <f t="shared" si="71"/>
        <v>(0.49)</v>
      </c>
      <c r="EL29" s="375">
        <v>2</v>
      </c>
      <c r="EM29" s="375">
        <f t="shared" si="90"/>
        <v>2</v>
      </c>
      <c r="EN29" s="375">
        <v>0</v>
      </c>
      <c r="EO29" s="375">
        <f t="shared" ref="EO29:EP29" si="99">$IM29*EN29</f>
        <v>0</v>
      </c>
      <c r="EP29" s="375">
        <f t="shared" si="99"/>
        <v>0</v>
      </c>
      <c r="EQ29" s="375">
        <f t="shared" si="72"/>
        <v>0</v>
      </c>
      <c r="ER29" s="375">
        <f t="shared" si="92"/>
        <v>2</v>
      </c>
      <c r="ES29" s="376">
        <f t="shared" si="73"/>
        <v>64</v>
      </c>
      <c r="ET29" s="373">
        <f t="shared" si="93"/>
        <v>5.7978472222222219</v>
      </c>
      <c r="EU29" s="374" t="str">
        <f t="shared" si="74"/>
        <v>(0.54)</v>
      </c>
      <c r="EV29" s="22">
        <v>2</v>
      </c>
      <c r="EW29" s="22">
        <f t="shared" si="75"/>
        <v>2</v>
      </c>
      <c r="EX29" s="22">
        <v>0</v>
      </c>
      <c r="EY29" s="22">
        <f t="shared" si="76"/>
        <v>0</v>
      </c>
      <c r="EZ29" s="22">
        <v>0</v>
      </c>
      <c r="FA29" s="22">
        <f t="shared" si="77"/>
        <v>0</v>
      </c>
      <c r="FB29" s="22">
        <f t="shared" si="78"/>
        <v>2</v>
      </c>
      <c r="FC29" s="23">
        <f t="shared" si="79"/>
        <v>70</v>
      </c>
      <c r="FD29" s="202"/>
      <c r="FE29" s="203"/>
      <c r="FF29" s="204"/>
      <c r="FG29" s="204"/>
      <c r="FH29" s="204"/>
      <c r="FI29" s="204"/>
      <c r="FJ29" s="204"/>
      <c r="FK29" s="204"/>
      <c r="FL29" s="204"/>
      <c r="FM29" s="205"/>
      <c r="FN29" s="202"/>
      <c r="FO29" s="203"/>
      <c r="FP29" s="204"/>
      <c r="FQ29" s="204"/>
      <c r="FR29" s="204"/>
      <c r="FS29" s="204"/>
      <c r="FT29" s="204"/>
      <c r="FU29" s="204"/>
      <c r="FV29" s="204"/>
      <c r="FW29" s="205"/>
      <c r="FX29" s="202"/>
      <c r="FY29" s="203"/>
      <c r="FZ29" s="204"/>
      <c r="GA29" s="204"/>
      <c r="GB29" s="204"/>
      <c r="GC29" s="204"/>
      <c r="GD29" s="204"/>
      <c r="GE29" s="204"/>
      <c r="GF29" s="204"/>
      <c r="GG29" s="205"/>
      <c r="GH29" s="202"/>
      <c r="GI29" s="203"/>
      <c r="GJ29" s="204"/>
      <c r="GK29" s="204"/>
      <c r="GL29" s="204"/>
      <c r="GM29" s="204"/>
      <c r="GN29" s="204"/>
      <c r="GO29" s="204"/>
      <c r="GP29" s="204"/>
      <c r="GQ29" s="205"/>
      <c r="GR29" s="202"/>
      <c r="GS29" s="203"/>
      <c r="GT29" s="204"/>
      <c r="GU29" s="204"/>
      <c r="GV29" s="204"/>
      <c r="GW29" s="204"/>
      <c r="GX29" s="204"/>
      <c r="GY29" s="204"/>
      <c r="GZ29" s="204"/>
      <c r="HA29" s="205"/>
      <c r="HB29" s="202"/>
      <c r="HC29" s="203"/>
      <c r="HD29" s="204"/>
      <c r="HE29" s="204"/>
      <c r="HF29" s="204"/>
      <c r="HG29" s="204"/>
      <c r="HH29" s="204"/>
      <c r="HI29" s="204"/>
      <c r="HJ29" s="204"/>
      <c r="HK29" s="205"/>
      <c r="HL29" s="202"/>
      <c r="HM29" s="203"/>
      <c r="HN29" s="204"/>
      <c r="HO29" s="204"/>
      <c r="HP29" s="204"/>
      <c r="HQ29" s="204"/>
      <c r="HR29" s="204"/>
      <c r="HS29" s="204"/>
      <c r="HT29" s="204"/>
      <c r="HU29" s="205"/>
      <c r="HV29" s="202"/>
      <c r="HW29" s="203"/>
      <c r="HX29" s="204"/>
      <c r="HY29" s="204"/>
      <c r="HZ29" s="204"/>
      <c r="IA29" s="204"/>
      <c r="IB29" s="204"/>
      <c r="IC29" s="204"/>
      <c r="ID29" s="204"/>
      <c r="IE29" s="205"/>
      <c r="IF29" s="262"/>
      <c r="IG29" s="25">
        <v>3</v>
      </c>
      <c r="IH29" s="26">
        <v>1.387</v>
      </c>
      <c r="II29" s="26">
        <v>3.2210000000000001</v>
      </c>
      <c r="IJ29" s="26">
        <v>4.0979999999999999</v>
      </c>
      <c r="IK29" s="26">
        <v>1</v>
      </c>
      <c r="IL29" s="26">
        <v>1</v>
      </c>
      <c r="IM29" s="26">
        <v>1.125</v>
      </c>
      <c r="IN29" s="8"/>
    </row>
    <row r="30" spans="2:248" ht="15.75" thickBot="1" x14ac:dyDescent="0.3">
      <c r="B30" s="103">
        <f t="shared" si="15"/>
        <v>78</v>
      </c>
      <c r="C30" s="102">
        <v>13</v>
      </c>
      <c r="D30" s="98">
        <f t="shared" si="1"/>
        <v>0.19625000000000001</v>
      </c>
      <c r="E30" s="96">
        <f t="shared" si="2"/>
        <v>0.20933333333333332</v>
      </c>
      <c r="F30" s="96">
        <f t="shared" si="3"/>
        <v>0.21587500000000001</v>
      </c>
      <c r="G30" s="96">
        <f t="shared" si="4"/>
        <v>0.2198</v>
      </c>
      <c r="H30" s="96">
        <f t="shared" si="5"/>
        <v>0.22241666666666668</v>
      </c>
      <c r="I30" s="96">
        <f t="shared" si="6"/>
        <v>0.22428571428571428</v>
      </c>
      <c r="J30" s="96">
        <f t="shared" si="7"/>
        <v>0.22568749999999999</v>
      </c>
      <c r="K30" s="96">
        <f t="shared" si="8"/>
        <v>0.2267777777777778</v>
      </c>
      <c r="L30" s="96">
        <f t="shared" si="9"/>
        <v>0.22764999999999999</v>
      </c>
      <c r="M30" s="96">
        <f t="shared" si="10"/>
        <v>0.22836363636363635</v>
      </c>
      <c r="N30" s="96">
        <f t="shared" si="11"/>
        <v>0.22895833333333335</v>
      </c>
      <c r="O30" s="259"/>
      <c r="P30" s="259"/>
      <c r="Q30" s="259"/>
      <c r="R30" s="259"/>
      <c r="S30" s="259"/>
      <c r="T30" s="259"/>
      <c r="U30" s="259"/>
      <c r="V30" s="260"/>
      <c r="W30" s="64"/>
      <c r="X30" s="65"/>
      <c r="Z30" s="83"/>
      <c r="AA30" s="83"/>
      <c r="AT30" s="4"/>
      <c r="AU30" s="27">
        <f t="shared" si="94"/>
        <v>60</v>
      </c>
      <c r="AV30" s="28" t="str">
        <f t="shared" si="16"/>
        <v>(1500)</v>
      </c>
      <c r="AW30" s="19">
        <f t="shared" si="80"/>
        <v>8</v>
      </c>
      <c r="AX30" s="373">
        <f t="shared" si="81"/>
        <v>1.0519444444444443</v>
      </c>
      <c r="AY30" s="374" t="str">
        <f>"("&amp;FIXED(AX30*0.092903,2)&amp;")"</f>
        <v>(0.10)</v>
      </c>
      <c r="AZ30" s="375">
        <v>2</v>
      </c>
      <c r="BA30" s="375">
        <f t="shared" si="18"/>
        <v>2</v>
      </c>
      <c r="BB30" s="375">
        <v>0</v>
      </c>
      <c r="BC30" s="375">
        <f t="shared" si="19"/>
        <v>0</v>
      </c>
      <c r="BD30" s="375">
        <v>0</v>
      </c>
      <c r="BE30" s="375">
        <f t="shared" si="20"/>
        <v>0</v>
      </c>
      <c r="BF30" s="375">
        <f t="shared" si="21"/>
        <v>2</v>
      </c>
      <c r="BG30" s="376">
        <f t="shared" si="22"/>
        <v>10</v>
      </c>
      <c r="BH30" s="373">
        <f t="shared" si="82"/>
        <v>1.683111111111111</v>
      </c>
      <c r="BI30" s="374" t="str">
        <f t="shared" si="23"/>
        <v>(0.16)</v>
      </c>
      <c r="BJ30" s="375">
        <v>2</v>
      </c>
      <c r="BK30" s="375">
        <f t="shared" si="24"/>
        <v>2</v>
      </c>
      <c r="BL30" s="375">
        <v>0</v>
      </c>
      <c r="BM30" s="375">
        <f t="shared" si="25"/>
        <v>0</v>
      </c>
      <c r="BN30" s="375">
        <v>0</v>
      </c>
      <c r="BO30" s="375">
        <f t="shared" si="26"/>
        <v>0</v>
      </c>
      <c r="BP30" s="375">
        <f t="shared" si="27"/>
        <v>2</v>
      </c>
      <c r="BQ30" s="376">
        <f t="shared" si="28"/>
        <v>16</v>
      </c>
      <c r="BR30" s="373">
        <f t="shared" si="83"/>
        <v>2.3142777777777774</v>
      </c>
      <c r="BS30" s="374" t="str">
        <f t="shared" si="29"/>
        <v>(0.22)</v>
      </c>
      <c r="BT30" s="375">
        <v>2</v>
      </c>
      <c r="BU30" s="375">
        <f t="shared" si="30"/>
        <v>2</v>
      </c>
      <c r="BV30" s="375">
        <v>0</v>
      </c>
      <c r="BW30" s="375">
        <f t="shared" si="31"/>
        <v>0</v>
      </c>
      <c r="BX30" s="375">
        <v>0</v>
      </c>
      <c r="BY30" s="375">
        <f t="shared" si="32"/>
        <v>0</v>
      </c>
      <c r="BZ30" s="375">
        <f t="shared" si="33"/>
        <v>2</v>
      </c>
      <c r="CA30" s="376">
        <f t="shared" si="34"/>
        <v>22</v>
      </c>
      <c r="CB30" s="373">
        <f t="shared" si="84"/>
        <v>2.9454444444444445</v>
      </c>
      <c r="CC30" s="374" t="str">
        <f t="shared" si="35"/>
        <v>(0.27)</v>
      </c>
      <c r="CD30" s="375">
        <v>2</v>
      </c>
      <c r="CE30" s="375">
        <f t="shared" si="36"/>
        <v>2</v>
      </c>
      <c r="CF30" s="375">
        <v>0</v>
      </c>
      <c r="CG30" s="375">
        <f t="shared" si="37"/>
        <v>0</v>
      </c>
      <c r="CH30" s="375">
        <v>0</v>
      </c>
      <c r="CI30" s="375">
        <f t="shared" si="38"/>
        <v>0</v>
      </c>
      <c r="CJ30" s="375">
        <f t="shared" si="39"/>
        <v>2</v>
      </c>
      <c r="CK30" s="376">
        <f t="shared" si="40"/>
        <v>28</v>
      </c>
      <c r="CL30" s="373">
        <f t="shared" si="85"/>
        <v>3.5766111111111112</v>
      </c>
      <c r="CM30" s="374" t="str">
        <f t="shared" si="41"/>
        <v>(0.33)</v>
      </c>
      <c r="CN30" s="375">
        <v>2</v>
      </c>
      <c r="CO30" s="375">
        <f t="shared" si="42"/>
        <v>2</v>
      </c>
      <c r="CP30" s="375">
        <v>0</v>
      </c>
      <c r="CQ30" s="375">
        <f t="shared" si="43"/>
        <v>0</v>
      </c>
      <c r="CR30" s="375">
        <v>0</v>
      </c>
      <c r="CS30" s="375">
        <f t="shared" si="44"/>
        <v>0</v>
      </c>
      <c r="CT30" s="375">
        <f t="shared" si="45"/>
        <v>2</v>
      </c>
      <c r="CU30" s="376">
        <f t="shared" si="46"/>
        <v>34</v>
      </c>
      <c r="CV30" s="373">
        <f t="shared" si="86"/>
        <v>4.2077777777777774</v>
      </c>
      <c r="CW30" s="374" t="str">
        <f t="shared" si="47"/>
        <v>(0.39)</v>
      </c>
      <c r="CX30" s="375">
        <v>2</v>
      </c>
      <c r="CY30" s="375">
        <f t="shared" si="48"/>
        <v>2</v>
      </c>
      <c r="CZ30" s="375">
        <v>0</v>
      </c>
      <c r="DA30" s="375">
        <f t="shared" si="49"/>
        <v>0</v>
      </c>
      <c r="DB30" s="375">
        <v>0</v>
      </c>
      <c r="DC30" s="375">
        <f t="shared" si="50"/>
        <v>0</v>
      </c>
      <c r="DD30" s="375">
        <f t="shared" si="51"/>
        <v>2</v>
      </c>
      <c r="DE30" s="376">
        <f t="shared" si="52"/>
        <v>40</v>
      </c>
      <c r="DF30" s="373">
        <f t="shared" ref="DF30:DF36" si="100">($IH30+(($IG30-1)*$II30)+$IJ30)*DO30/144</f>
        <v>4.8389444444444445</v>
      </c>
      <c r="DG30" s="374" t="str">
        <f t="shared" si="53"/>
        <v>(0.45)</v>
      </c>
      <c r="DH30" s="375">
        <v>2</v>
      </c>
      <c r="DI30" s="375">
        <f t="shared" si="54"/>
        <v>2</v>
      </c>
      <c r="DJ30" s="375">
        <v>0</v>
      </c>
      <c r="DK30" s="375">
        <f t="shared" si="55"/>
        <v>0</v>
      </c>
      <c r="DL30" s="375">
        <v>0</v>
      </c>
      <c r="DM30" s="375">
        <f t="shared" si="56"/>
        <v>0</v>
      </c>
      <c r="DN30" s="375">
        <f t="shared" si="57"/>
        <v>2</v>
      </c>
      <c r="DO30" s="376">
        <f t="shared" si="58"/>
        <v>46</v>
      </c>
      <c r="DP30" s="373">
        <f t="shared" si="87"/>
        <v>5.4701111111111116</v>
      </c>
      <c r="DQ30" s="374" t="str">
        <f>"("&amp;FIXED(DP30*0.092903,2)&amp;")"</f>
        <v>(0.51)</v>
      </c>
      <c r="DR30" s="375">
        <v>2</v>
      </c>
      <c r="DS30" s="375">
        <f t="shared" si="60"/>
        <v>2</v>
      </c>
      <c r="DT30" s="375">
        <v>0</v>
      </c>
      <c r="DU30" s="375">
        <f t="shared" si="61"/>
        <v>0</v>
      </c>
      <c r="DV30" s="375">
        <f t="shared" si="61"/>
        <v>0</v>
      </c>
      <c r="DW30" s="375">
        <f t="shared" si="62"/>
        <v>0</v>
      </c>
      <c r="DX30" s="375">
        <f t="shared" si="63"/>
        <v>2</v>
      </c>
      <c r="DY30" s="376">
        <f t="shared" si="64"/>
        <v>52</v>
      </c>
      <c r="DZ30" s="373">
        <f t="shared" si="88"/>
        <v>6.1012777777777778</v>
      </c>
      <c r="EA30" s="374" t="str">
        <f>"("&amp;FIXED(DZ30*0.092903,2)&amp;")"</f>
        <v>(0.57)</v>
      </c>
      <c r="EB30" s="375">
        <v>2</v>
      </c>
      <c r="EC30" s="375">
        <f t="shared" si="66"/>
        <v>2</v>
      </c>
      <c r="ED30" s="375">
        <v>0</v>
      </c>
      <c r="EE30" s="375">
        <f t="shared" si="67"/>
        <v>0</v>
      </c>
      <c r="EF30" s="375">
        <f t="shared" si="67"/>
        <v>0</v>
      </c>
      <c r="EG30" s="375">
        <f t="shared" si="68"/>
        <v>0</v>
      </c>
      <c r="EH30" s="375">
        <f t="shared" si="69"/>
        <v>2</v>
      </c>
      <c r="EI30" s="376">
        <f t="shared" si="70"/>
        <v>58</v>
      </c>
      <c r="EJ30" s="373">
        <f t="shared" si="89"/>
        <v>6.732444444444444</v>
      </c>
      <c r="EK30" s="374" t="str">
        <f>"("&amp;FIXED(EJ30*0.092903,2)&amp;")"</f>
        <v>(0.63)</v>
      </c>
      <c r="EL30" s="375">
        <v>2</v>
      </c>
      <c r="EM30" s="375">
        <f t="shared" si="90"/>
        <v>2</v>
      </c>
      <c r="EN30" s="375">
        <v>0</v>
      </c>
      <c r="EO30" s="375">
        <f t="shared" ref="EO30:EP30" si="101">$IM30*EN30</f>
        <v>0</v>
      </c>
      <c r="EP30" s="375">
        <f t="shared" si="101"/>
        <v>0</v>
      </c>
      <c r="EQ30" s="375">
        <f t="shared" si="72"/>
        <v>0</v>
      </c>
      <c r="ER30" s="375">
        <f t="shared" si="92"/>
        <v>2</v>
      </c>
      <c r="ES30" s="376">
        <f t="shared" si="73"/>
        <v>64</v>
      </c>
      <c r="ET30" s="373">
        <f t="shared" si="93"/>
        <v>7.3636111111111102</v>
      </c>
      <c r="EU30" s="374" t="str">
        <f>"("&amp;FIXED(ET30*0.092903,2)&amp;")"</f>
        <v>(0.68)</v>
      </c>
      <c r="EV30" s="22">
        <v>2</v>
      </c>
      <c r="EW30" s="22">
        <f t="shared" si="75"/>
        <v>2</v>
      </c>
      <c r="EX30" s="22">
        <v>0</v>
      </c>
      <c r="EY30" s="22">
        <f t="shared" si="76"/>
        <v>0</v>
      </c>
      <c r="EZ30" s="30">
        <v>0</v>
      </c>
      <c r="FA30" s="22">
        <f t="shared" si="77"/>
        <v>0</v>
      </c>
      <c r="FB30" s="22">
        <f t="shared" si="78"/>
        <v>2</v>
      </c>
      <c r="FC30" s="23">
        <f t="shared" si="79"/>
        <v>70</v>
      </c>
      <c r="FD30" s="202"/>
      <c r="FE30" s="203"/>
      <c r="FF30" s="204"/>
      <c r="FG30" s="204"/>
      <c r="FH30" s="204"/>
      <c r="FI30" s="204"/>
      <c r="FJ30" s="204"/>
      <c r="FK30" s="204"/>
      <c r="FL30" s="204"/>
      <c r="FM30" s="205"/>
      <c r="FN30" s="202"/>
      <c r="FO30" s="203"/>
      <c r="FP30" s="204"/>
      <c r="FQ30" s="204"/>
      <c r="FR30" s="204"/>
      <c r="FS30" s="204"/>
      <c r="FT30" s="204"/>
      <c r="FU30" s="204"/>
      <c r="FV30" s="204"/>
      <c r="FW30" s="205"/>
      <c r="FX30" s="202"/>
      <c r="FY30" s="203"/>
      <c r="FZ30" s="204"/>
      <c r="GA30" s="204"/>
      <c r="GB30" s="204"/>
      <c r="GC30" s="204"/>
      <c r="GD30" s="204"/>
      <c r="GE30" s="204"/>
      <c r="GF30" s="204"/>
      <c r="GG30" s="205"/>
      <c r="GH30" s="202"/>
      <c r="GI30" s="203"/>
      <c r="GJ30" s="204"/>
      <c r="GK30" s="204"/>
      <c r="GL30" s="204"/>
      <c r="GM30" s="204"/>
      <c r="GN30" s="204"/>
      <c r="GO30" s="204"/>
      <c r="GP30" s="204"/>
      <c r="GQ30" s="205"/>
      <c r="GR30" s="202"/>
      <c r="GS30" s="203"/>
      <c r="GT30" s="204"/>
      <c r="GU30" s="204"/>
      <c r="GV30" s="204"/>
      <c r="GW30" s="204"/>
      <c r="GX30" s="204"/>
      <c r="GY30" s="204"/>
      <c r="GZ30" s="204"/>
      <c r="HA30" s="205"/>
      <c r="HB30" s="202"/>
      <c r="HC30" s="203"/>
      <c r="HD30" s="204"/>
      <c r="HE30" s="204"/>
      <c r="HF30" s="204"/>
      <c r="HG30" s="204"/>
      <c r="HH30" s="204"/>
      <c r="HI30" s="204"/>
      <c r="HJ30" s="204"/>
      <c r="HK30" s="205"/>
      <c r="HL30" s="202"/>
      <c r="HM30" s="203"/>
      <c r="HN30" s="204"/>
      <c r="HO30" s="204"/>
      <c r="HP30" s="204"/>
      <c r="HQ30" s="204"/>
      <c r="HR30" s="204"/>
      <c r="HS30" s="204"/>
      <c r="HT30" s="204"/>
      <c r="HU30" s="205"/>
      <c r="HV30" s="202"/>
      <c r="HW30" s="203"/>
      <c r="HX30" s="204"/>
      <c r="HY30" s="204"/>
      <c r="HZ30" s="204"/>
      <c r="IA30" s="204"/>
      <c r="IB30" s="204"/>
      <c r="IC30" s="204"/>
      <c r="ID30" s="204"/>
      <c r="IE30" s="205"/>
      <c r="IF30" s="262"/>
      <c r="IG30" s="25">
        <v>4</v>
      </c>
      <c r="IH30" s="26">
        <v>1.387</v>
      </c>
      <c r="II30" s="26">
        <v>3.2210000000000001</v>
      </c>
      <c r="IJ30" s="26">
        <v>4.0979999999999999</v>
      </c>
      <c r="IK30" s="26">
        <v>1</v>
      </c>
      <c r="IL30" s="26">
        <v>1</v>
      </c>
      <c r="IM30" s="26">
        <v>1.125</v>
      </c>
      <c r="IN30" s="8"/>
    </row>
    <row r="31" spans="2:248" ht="15.75" thickBot="1" x14ac:dyDescent="0.3">
      <c r="B31" s="103">
        <f t="shared" si="15"/>
        <v>84</v>
      </c>
      <c r="C31" s="102">
        <v>14</v>
      </c>
      <c r="D31" s="98">
        <f t="shared" si="1"/>
        <v>0.21418650793650795</v>
      </c>
      <c r="E31" s="96">
        <f t="shared" si="2"/>
        <v>0.22846560846560848</v>
      </c>
      <c r="F31" s="96">
        <f t="shared" si="3"/>
        <v>0.23560515873015872</v>
      </c>
      <c r="G31" s="96">
        <f t="shared" si="4"/>
        <v>0.23988888888888887</v>
      </c>
      <c r="H31" s="96">
        <f t="shared" si="5"/>
        <v>0.24274470899470899</v>
      </c>
      <c r="I31" s="96">
        <f t="shared" si="6"/>
        <v>0.24478458049886623</v>
      </c>
      <c r="J31" s="96">
        <f t="shared" si="7"/>
        <v>0.24631448412698415</v>
      </c>
      <c r="K31" s="96">
        <f t="shared" si="8"/>
        <v>0.24750440917107583</v>
      </c>
      <c r="L31" s="96">
        <f t="shared" si="9"/>
        <v>0.24845634920634921</v>
      </c>
      <c r="M31" s="96">
        <f t="shared" si="10"/>
        <v>0.24923520923520925</v>
      </c>
      <c r="N31" s="96">
        <f t="shared" si="11"/>
        <v>0.24988425925925925</v>
      </c>
      <c r="O31" s="259"/>
      <c r="P31" s="260"/>
      <c r="Q31" s="260"/>
      <c r="R31" s="260"/>
      <c r="S31" s="260"/>
      <c r="T31" s="260"/>
      <c r="U31" s="260"/>
      <c r="V31" s="260"/>
      <c r="W31" s="64"/>
      <c r="X31" s="65"/>
      <c r="AT31" s="4"/>
      <c r="AU31" s="14">
        <f t="shared" si="94"/>
        <v>66</v>
      </c>
      <c r="AV31" s="12" t="str">
        <f t="shared" si="16"/>
        <v>(1700)</v>
      </c>
      <c r="AW31" s="19">
        <f t="shared" si="80"/>
        <v>9</v>
      </c>
      <c r="AX31" s="373">
        <f t="shared" si="81"/>
        <v>1.0519444444444443</v>
      </c>
      <c r="AY31" s="374" t="str">
        <f t="shared" si="17"/>
        <v>(0.10)</v>
      </c>
      <c r="AZ31" s="375">
        <v>2</v>
      </c>
      <c r="BA31" s="375">
        <f t="shared" si="18"/>
        <v>2</v>
      </c>
      <c r="BB31" s="375">
        <v>0</v>
      </c>
      <c r="BC31" s="375">
        <f t="shared" si="19"/>
        <v>0</v>
      </c>
      <c r="BD31" s="375">
        <v>0</v>
      </c>
      <c r="BE31" s="375">
        <f t="shared" si="20"/>
        <v>0</v>
      </c>
      <c r="BF31" s="375">
        <f t="shared" si="21"/>
        <v>2</v>
      </c>
      <c r="BG31" s="376">
        <f t="shared" si="22"/>
        <v>10</v>
      </c>
      <c r="BH31" s="373">
        <f t="shared" si="82"/>
        <v>1.683111111111111</v>
      </c>
      <c r="BI31" s="374" t="str">
        <f t="shared" si="23"/>
        <v>(0.16)</v>
      </c>
      <c r="BJ31" s="375">
        <v>2</v>
      </c>
      <c r="BK31" s="375">
        <f t="shared" si="24"/>
        <v>2</v>
      </c>
      <c r="BL31" s="375">
        <v>0</v>
      </c>
      <c r="BM31" s="375">
        <f t="shared" si="25"/>
        <v>0</v>
      </c>
      <c r="BN31" s="375">
        <v>0</v>
      </c>
      <c r="BO31" s="375">
        <f t="shared" si="26"/>
        <v>0</v>
      </c>
      <c r="BP31" s="375">
        <f t="shared" si="27"/>
        <v>2</v>
      </c>
      <c r="BQ31" s="376">
        <f t="shared" si="28"/>
        <v>16</v>
      </c>
      <c r="BR31" s="373">
        <f t="shared" si="83"/>
        <v>2.3142777777777774</v>
      </c>
      <c r="BS31" s="374" t="str">
        <f t="shared" si="29"/>
        <v>(0.22)</v>
      </c>
      <c r="BT31" s="375">
        <v>2</v>
      </c>
      <c r="BU31" s="375">
        <f t="shared" si="30"/>
        <v>2</v>
      </c>
      <c r="BV31" s="375">
        <v>0</v>
      </c>
      <c r="BW31" s="375">
        <f t="shared" si="31"/>
        <v>0</v>
      </c>
      <c r="BX31" s="375">
        <v>0</v>
      </c>
      <c r="BY31" s="375">
        <f t="shared" si="32"/>
        <v>0</v>
      </c>
      <c r="BZ31" s="375">
        <f t="shared" si="33"/>
        <v>2</v>
      </c>
      <c r="CA31" s="376">
        <f t="shared" si="34"/>
        <v>22</v>
      </c>
      <c r="CB31" s="373">
        <f t="shared" si="84"/>
        <v>2.9454444444444445</v>
      </c>
      <c r="CC31" s="374" t="str">
        <f t="shared" si="35"/>
        <v>(0.27)</v>
      </c>
      <c r="CD31" s="375">
        <v>2</v>
      </c>
      <c r="CE31" s="375">
        <f t="shared" si="36"/>
        <v>2</v>
      </c>
      <c r="CF31" s="375">
        <v>0</v>
      </c>
      <c r="CG31" s="375">
        <f t="shared" si="37"/>
        <v>0</v>
      </c>
      <c r="CH31" s="375">
        <v>0</v>
      </c>
      <c r="CI31" s="375">
        <f t="shared" si="38"/>
        <v>0</v>
      </c>
      <c r="CJ31" s="375">
        <f t="shared" si="39"/>
        <v>2</v>
      </c>
      <c r="CK31" s="376">
        <f t="shared" si="40"/>
        <v>28</v>
      </c>
      <c r="CL31" s="373">
        <f t="shared" si="85"/>
        <v>3.5766111111111112</v>
      </c>
      <c r="CM31" s="374" t="str">
        <f t="shared" si="41"/>
        <v>(0.33)</v>
      </c>
      <c r="CN31" s="375">
        <v>2</v>
      </c>
      <c r="CO31" s="375">
        <f t="shared" si="42"/>
        <v>2</v>
      </c>
      <c r="CP31" s="375">
        <v>0</v>
      </c>
      <c r="CQ31" s="375">
        <f t="shared" si="43"/>
        <v>0</v>
      </c>
      <c r="CR31" s="375">
        <v>0</v>
      </c>
      <c r="CS31" s="375">
        <f t="shared" si="44"/>
        <v>0</v>
      </c>
      <c r="CT31" s="375">
        <f t="shared" si="45"/>
        <v>2</v>
      </c>
      <c r="CU31" s="376">
        <f t="shared" si="46"/>
        <v>34</v>
      </c>
      <c r="CV31" s="373">
        <f t="shared" si="86"/>
        <v>4.2077777777777774</v>
      </c>
      <c r="CW31" s="374" t="str">
        <f t="shared" si="47"/>
        <v>(0.39)</v>
      </c>
      <c r="CX31" s="375">
        <v>2</v>
      </c>
      <c r="CY31" s="375">
        <f t="shared" si="48"/>
        <v>2</v>
      </c>
      <c r="CZ31" s="375">
        <v>0</v>
      </c>
      <c r="DA31" s="375">
        <f t="shared" si="49"/>
        <v>0</v>
      </c>
      <c r="DB31" s="375">
        <v>0</v>
      </c>
      <c r="DC31" s="375">
        <f t="shared" si="50"/>
        <v>0</v>
      </c>
      <c r="DD31" s="375">
        <f t="shared" si="51"/>
        <v>2</v>
      </c>
      <c r="DE31" s="376">
        <f t="shared" si="52"/>
        <v>40</v>
      </c>
      <c r="DF31" s="373">
        <f t="shared" si="100"/>
        <v>4.8389444444444445</v>
      </c>
      <c r="DG31" s="374" t="str">
        <f t="shared" si="53"/>
        <v>(0.45)</v>
      </c>
      <c r="DH31" s="375">
        <v>2</v>
      </c>
      <c r="DI31" s="375">
        <f t="shared" si="54"/>
        <v>2</v>
      </c>
      <c r="DJ31" s="375">
        <v>0</v>
      </c>
      <c r="DK31" s="375">
        <f t="shared" si="55"/>
        <v>0</v>
      </c>
      <c r="DL31" s="375">
        <v>0</v>
      </c>
      <c r="DM31" s="375">
        <f t="shared" si="56"/>
        <v>0</v>
      </c>
      <c r="DN31" s="375">
        <f t="shared" si="57"/>
        <v>2</v>
      </c>
      <c r="DO31" s="376">
        <f t="shared" si="58"/>
        <v>46</v>
      </c>
      <c r="DP31" s="373">
        <f t="shared" si="87"/>
        <v>5.4701111111111116</v>
      </c>
      <c r="DQ31" s="374" t="str">
        <f t="shared" si="59"/>
        <v>(0.51)</v>
      </c>
      <c r="DR31" s="375">
        <v>2</v>
      </c>
      <c r="DS31" s="375">
        <f t="shared" si="60"/>
        <v>2</v>
      </c>
      <c r="DT31" s="375">
        <v>0</v>
      </c>
      <c r="DU31" s="375">
        <f t="shared" si="61"/>
        <v>0</v>
      </c>
      <c r="DV31" s="375">
        <f t="shared" si="61"/>
        <v>0</v>
      </c>
      <c r="DW31" s="375">
        <f t="shared" si="62"/>
        <v>0</v>
      </c>
      <c r="DX31" s="375">
        <f t="shared" si="63"/>
        <v>2</v>
      </c>
      <c r="DY31" s="376">
        <f t="shared" si="64"/>
        <v>52</v>
      </c>
      <c r="DZ31" s="373">
        <f t="shared" si="88"/>
        <v>6.1012777777777778</v>
      </c>
      <c r="EA31" s="374" t="str">
        <f t="shared" ref="EA31:EA36" si="102">"("&amp;FIXED(DZ31*0.092903,2)&amp;")"</f>
        <v>(0.57)</v>
      </c>
      <c r="EB31" s="375">
        <v>2</v>
      </c>
      <c r="EC31" s="375">
        <f t="shared" si="66"/>
        <v>2</v>
      </c>
      <c r="ED31" s="375">
        <v>0</v>
      </c>
      <c r="EE31" s="375">
        <f t="shared" si="67"/>
        <v>0</v>
      </c>
      <c r="EF31" s="375">
        <f t="shared" si="67"/>
        <v>0</v>
      </c>
      <c r="EG31" s="375">
        <f t="shared" si="68"/>
        <v>0</v>
      </c>
      <c r="EH31" s="375">
        <f t="shared" si="69"/>
        <v>2</v>
      </c>
      <c r="EI31" s="376">
        <f t="shared" si="70"/>
        <v>58</v>
      </c>
      <c r="EJ31" s="373">
        <f t="shared" si="89"/>
        <v>6.732444444444444</v>
      </c>
      <c r="EK31" s="374" t="str">
        <f t="shared" ref="EK31:EK36" si="103">"("&amp;FIXED(EJ31*0.092903,2)&amp;")"</f>
        <v>(0.63)</v>
      </c>
      <c r="EL31" s="375">
        <v>2</v>
      </c>
      <c r="EM31" s="375">
        <f t="shared" si="90"/>
        <v>2</v>
      </c>
      <c r="EN31" s="375">
        <v>0</v>
      </c>
      <c r="EO31" s="375">
        <f t="shared" ref="EO31:EP31" si="104">$IM31*EN31</f>
        <v>0</v>
      </c>
      <c r="EP31" s="375">
        <f t="shared" si="104"/>
        <v>0</v>
      </c>
      <c r="EQ31" s="375">
        <f t="shared" si="72"/>
        <v>0</v>
      </c>
      <c r="ER31" s="375">
        <f t="shared" si="92"/>
        <v>2</v>
      </c>
      <c r="ES31" s="376">
        <f t="shared" si="73"/>
        <v>64</v>
      </c>
      <c r="ET31" s="373">
        <f t="shared" si="93"/>
        <v>7.3636111111111102</v>
      </c>
      <c r="EU31" s="374" t="str">
        <f t="shared" si="74"/>
        <v>(0.68)</v>
      </c>
      <c r="EV31" s="22">
        <v>2</v>
      </c>
      <c r="EW31" s="22">
        <f t="shared" si="75"/>
        <v>2</v>
      </c>
      <c r="EX31" s="22">
        <v>0</v>
      </c>
      <c r="EY31" s="22">
        <f t="shared" si="76"/>
        <v>0</v>
      </c>
      <c r="EZ31" s="22">
        <v>0</v>
      </c>
      <c r="FA31" s="22">
        <f t="shared" si="77"/>
        <v>0</v>
      </c>
      <c r="FB31" s="22">
        <f t="shared" si="78"/>
        <v>2</v>
      </c>
      <c r="FC31" s="23">
        <f t="shared" si="79"/>
        <v>70</v>
      </c>
      <c r="FD31" s="202"/>
      <c r="FE31" s="203"/>
      <c r="FF31" s="204"/>
      <c r="FG31" s="204"/>
      <c r="FH31" s="204"/>
      <c r="FI31" s="204"/>
      <c r="FJ31" s="204"/>
      <c r="FK31" s="204"/>
      <c r="FL31" s="204"/>
      <c r="FM31" s="205"/>
      <c r="FN31" s="202"/>
      <c r="FO31" s="203"/>
      <c r="FP31" s="204"/>
      <c r="FQ31" s="204"/>
      <c r="FR31" s="204"/>
      <c r="FS31" s="204"/>
      <c r="FT31" s="204"/>
      <c r="FU31" s="204"/>
      <c r="FV31" s="204"/>
      <c r="FW31" s="205"/>
      <c r="FX31" s="202"/>
      <c r="FY31" s="203"/>
      <c r="FZ31" s="204"/>
      <c r="GA31" s="204"/>
      <c r="GB31" s="204"/>
      <c r="GC31" s="204"/>
      <c r="GD31" s="204"/>
      <c r="GE31" s="204"/>
      <c r="GF31" s="204"/>
      <c r="GG31" s="205"/>
      <c r="GH31" s="202"/>
      <c r="GI31" s="203"/>
      <c r="GJ31" s="204"/>
      <c r="GK31" s="204"/>
      <c r="GL31" s="204"/>
      <c r="GM31" s="204"/>
      <c r="GN31" s="204"/>
      <c r="GO31" s="204"/>
      <c r="GP31" s="204"/>
      <c r="GQ31" s="205"/>
      <c r="GR31" s="202"/>
      <c r="GS31" s="203"/>
      <c r="GT31" s="204"/>
      <c r="GU31" s="204"/>
      <c r="GV31" s="204"/>
      <c r="GW31" s="204"/>
      <c r="GX31" s="204"/>
      <c r="GY31" s="204"/>
      <c r="GZ31" s="204"/>
      <c r="HA31" s="205"/>
      <c r="HB31" s="202"/>
      <c r="HC31" s="203"/>
      <c r="HD31" s="204"/>
      <c r="HE31" s="204"/>
      <c r="HF31" s="204"/>
      <c r="HG31" s="204"/>
      <c r="HH31" s="204"/>
      <c r="HI31" s="204"/>
      <c r="HJ31" s="204"/>
      <c r="HK31" s="205"/>
      <c r="HL31" s="202"/>
      <c r="HM31" s="203"/>
      <c r="HN31" s="204"/>
      <c r="HO31" s="204"/>
      <c r="HP31" s="204"/>
      <c r="HQ31" s="204"/>
      <c r="HR31" s="204"/>
      <c r="HS31" s="204"/>
      <c r="HT31" s="204"/>
      <c r="HU31" s="205"/>
      <c r="HV31" s="202"/>
      <c r="HW31" s="203"/>
      <c r="HX31" s="204"/>
      <c r="HY31" s="204"/>
      <c r="HZ31" s="204"/>
      <c r="IA31" s="204"/>
      <c r="IB31" s="204"/>
      <c r="IC31" s="204"/>
      <c r="ID31" s="204"/>
      <c r="IE31" s="205"/>
      <c r="IF31" s="262"/>
      <c r="IG31" s="25">
        <v>4</v>
      </c>
      <c r="IH31" s="26">
        <v>1.387</v>
      </c>
      <c r="II31" s="26">
        <v>3.2210000000000001</v>
      </c>
      <c r="IJ31" s="26">
        <v>4.0979999999999999</v>
      </c>
      <c r="IK31" s="26">
        <v>1</v>
      </c>
      <c r="IL31" s="26">
        <v>1</v>
      </c>
      <c r="IM31" s="26">
        <v>1.125</v>
      </c>
      <c r="IN31" s="8"/>
    </row>
    <row r="32" spans="2:248" ht="15.75" thickBot="1" x14ac:dyDescent="0.3">
      <c r="B32" s="103">
        <f t="shared" si="15"/>
        <v>90</v>
      </c>
      <c r="C32" s="102">
        <v>15</v>
      </c>
      <c r="D32" s="98">
        <f t="shared" si="1"/>
        <v>0.19990740740740742</v>
      </c>
      <c r="E32" s="96">
        <f t="shared" si="2"/>
        <v>0.21323456790123457</v>
      </c>
      <c r="F32" s="96">
        <f t="shared" si="3"/>
        <v>0.21989814814814815</v>
      </c>
      <c r="G32" s="96">
        <f t="shared" si="4"/>
        <v>0.22389629629629629</v>
      </c>
      <c r="H32" s="96">
        <f t="shared" si="5"/>
        <v>0.22656172839506172</v>
      </c>
      <c r="I32" s="96">
        <f t="shared" si="6"/>
        <v>0.22846560846560848</v>
      </c>
      <c r="J32" s="96">
        <f t="shared" si="7"/>
        <v>0.22989351851851852</v>
      </c>
      <c r="K32" s="96">
        <f t="shared" si="8"/>
        <v>0.23100411522633746</v>
      </c>
      <c r="L32" s="96">
        <f t="shared" si="9"/>
        <v>0.23189259259259259</v>
      </c>
      <c r="M32" s="96">
        <f t="shared" si="10"/>
        <v>0.23261952861952864</v>
      </c>
      <c r="N32" s="96">
        <f t="shared" si="11"/>
        <v>0.2332253086419753</v>
      </c>
      <c r="O32" s="259"/>
      <c r="P32" s="260"/>
      <c r="Q32" s="260"/>
      <c r="R32" s="260"/>
      <c r="S32" s="260"/>
      <c r="T32" s="260"/>
      <c r="U32" s="260"/>
      <c r="V32" s="260"/>
      <c r="W32" s="64"/>
      <c r="X32" s="65"/>
      <c r="AT32" s="4"/>
      <c r="AU32" s="14">
        <f t="shared" si="94"/>
        <v>72</v>
      </c>
      <c r="AV32" s="12" t="str">
        <f t="shared" si="16"/>
        <v>(1850)</v>
      </c>
      <c r="AW32" s="19">
        <f t="shared" si="80"/>
        <v>10</v>
      </c>
      <c r="AX32" s="373">
        <f t="shared" si="81"/>
        <v>1.275625</v>
      </c>
      <c r="AY32" s="374" t="str">
        <f t="shared" si="17"/>
        <v>(0.12)</v>
      </c>
      <c r="AZ32" s="375">
        <v>2</v>
      </c>
      <c r="BA32" s="375">
        <f t="shared" si="18"/>
        <v>2</v>
      </c>
      <c r="BB32" s="375">
        <v>0</v>
      </c>
      <c r="BC32" s="375">
        <f t="shared" si="19"/>
        <v>0</v>
      </c>
      <c r="BD32" s="375">
        <v>0</v>
      </c>
      <c r="BE32" s="375">
        <f t="shared" si="20"/>
        <v>0</v>
      </c>
      <c r="BF32" s="375">
        <f t="shared" si="21"/>
        <v>2</v>
      </c>
      <c r="BG32" s="376">
        <f t="shared" si="22"/>
        <v>10</v>
      </c>
      <c r="BH32" s="373">
        <f t="shared" si="82"/>
        <v>2.0409999999999999</v>
      </c>
      <c r="BI32" s="374" t="str">
        <f t="shared" si="23"/>
        <v>(0.19)</v>
      </c>
      <c r="BJ32" s="375">
        <v>2</v>
      </c>
      <c r="BK32" s="375">
        <f t="shared" si="24"/>
        <v>2</v>
      </c>
      <c r="BL32" s="375">
        <v>0</v>
      </c>
      <c r="BM32" s="375">
        <f t="shared" si="25"/>
        <v>0</v>
      </c>
      <c r="BN32" s="375">
        <v>0</v>
      </c>
      <c r="BO32" s="375">
        <f t="shared" si="26"/>
        <v>0</v>
      </c>
      <c r="BP32" s="375">
        <f t="shared" si="27"/>
        <v>2</v>
      </c>
      <c r="BQ32" s="376">
        <f t="shared" si="28"/>
        <v>16</v>
      </c>
      <c r="BR32" s="373">
        <f t="shared" si="83"/>
        <v>2.8063750000000001</v>
      </c>
      <c r="BS32" s="374" t="str">
        <f t="shared" si="29"/>
        <v>(0.26)</v>
      </c>
      <c r="BT32" s="375">
        <v>2</v>
      </c>
      <c r="BU32" s="375">
        <f t="shared" si="30"/>
        <v>2</v>
      </c>
      <c r="BV32" s="375">
        <v>0</v>
      </c>
      <c r="BW32" s="375">
        <f t="shared" si="31"/>
        <v>0</v>
      </c>
      <c r="BX32" s="375">
        <v>0</v>
      </c>
      <c r="BY32" s="375">
        <f t="shared" si="32"/>
        <v>0</v>
      </c>
      <c r="BZ32" s="375">
        <f t="shared" si="33"/>
        <v>2</v>
      </c>
      <c r="CA32" s="376">
        <f t="shared" si="34"/>
        <v>22</v>
      </c>
      <c r="CB32" s="373">
        <f t="shared" si="84"/>
        <v>3.5717499999999998</v>
      </c>
      <c r="CC32" s="374" t="str">
        <f t="shared" si="35"/>
        <v>(0.33)</v>
      </c>
      <c r="CD32" s="375">
        <v>2</v>
      </c>
      <c r="CE32" s="375">
        <f t="shared" si="36"/>
        <v>2</v>
      </c>
      <c r="CF32" s="375">
        <v>0</v>
      </c>
      <c r="CG32" s="375">
        <f t="shared" si="37"/>
        <v>0</v>
      </c>
      <c r="CH32" s="375">
        <v>0</v>
      </c>
      <c r="CI32" s="375">
        <f t="shared" si="38"/>
        <v>0</v>
      </c>
      <c r="CJ32" s="375">
        <f t="shared" si="39"/>
        <v>2</v>
      </c>
      <c r="CK32" s="376">
        <f t="shared" si="40"/>
        <v>28</v>
      </c>
      <c r="CL32" s="373">
        <f t="shared" si="85"/>
        <v>4.3371250000000003</v>
      </c>
      <c r="CM32" s="374" t="str">
        <f t="shared" si="41"/>
        <v>(0.4)</v>
      </c>
      <c r="CN32" s="375">
        <v>2</v>
      </c>
      <c r="CO32" s="375">
        <f t="shared" si="42"/>
        <v>2</v>
      </c>
      <c r="CP32" s="375">
        <v>0</v>
      </c>
      <c r="CQ32" s="375">
        <f t="shared" si="43"/>
        <v>0</v>
      </c>
      <c r="CR32" s="375">
        <v>0</v>
      </c>
      <c r="CS32" s="375">
        <f t="shared" si="44"/>
        <v>0</v>
      </c>
      <c r="CT32" s="375">
        <f t="shared" si="45"/>
        <v>2</v>
      </c>
      <c r="CU32" s="376">
        <f t="shared" si="46"/>
        <v>34</v>
      </c>
      <c r="CV32" s="373">
        <f t="shared" si="86"/>
        <v>5.1025</v>
      </c>
      <c r="CW32" s="374" t="str">
        <f t="shared" si="47"/>
        <v>(0.47)</v>
      </c>
      <c r="CX32" s="375">
        <v>2</v>
      </c>
      <c r="CY32" s="375">
        <f t="shared" si="48"/>
        <v>2</v>
      </c>
      <c r="CZ32" s="375">
        <v>0</v>
      </c>
      <c r="DA32" s="375">
        <f t="shared" si="49"/>
        <v>0</v>
      </c>
      <c r="DB32" s="375">
        <v>0</v>
      </c>
      <c r="DC32" s="375">
        <f t="shared" si="50"/>
        <v>0</v>
      </c>
      <c r="DD32" s="375">
        <f t="shared" si="51"/>
        <v>2</v>
      </c>
      <c r="DE32" s="376">
        <f t="shared" si="52"/>
        <v>40</v>
      </c>
      <c r="DF32" s="373">
        <f t="shared" si="100"/>
        <v>5.8678749999999997</v>
      </c>
      <c r="DG32" s="374" t="str">
        <f t="shared" si="53"/>
        <v>(0.55)</v>
      </c>
      <c r="DH32" s="375">
        <v>2</v>
      </c>
      <c r="DI32" s="375">
        <f t="shared" si="54"/>
        <v>2</v>
      </c>
      <c r="DJ32" s="375">
        <v>0</v>
      </c>
      <c r="DK32" s="375">
        <f t="shared" si="55"/>
        <v>0</v>
      </c>
      <c r="DL32" s="375">
        <v>0</v>
      </c>
      <c r="DM32" s="375">
        <f t="shared" si="56"/>
        <v>0</v>
      </c>
      <c r="DN32" s="375">
        <f t="shared" si="57"/>
        <v>2</v>
      </c>
      <c r="DO32" s="376">
        <f t="shared" si="58"/>
        <v>46</v>
      </c>
      <c r="DP32" s="373">
        <f t="shared" si="87"/>
        <v>6.6332500000000003</v>
      </c>
      <c r="DQ32" s="374" t="str">
        <f t="shared" si="59"/>
        <v>(0.62)</v>
      </c>
      <c r="DR32" s="375">
        <v>2</v>
      </c>
      <c r="DS32" s="375">
        <f t="shared" si="60"/>
        <v>2</v>
      </c>
      <c r="DT32" s="375">
        <v>0</v>
      </c>
      <c r="DU32" s="375">
        <f t="shared" si="61"/>
        <v>0</v>
      </c>
      <c r="DV32" s="375">
        <f t="shared" si="61"/>
        <v>0</v>
      </c>
      <c r="DW32" s="375">
        <f t="shared" si="62"/>
        <v>0</v>
      </c>
      <c r="DX32" s="375">
        <f t="shared" si="63"/>
        <v>2</v>
      </c>
      <c r="DY32" s="376">
        <f t="shared" si="64"/>
        <v>52</v>
      </c>
      <c r="DZ32" s="373">
        <f t="shared" si="88"/>
        <v>7.398625</v>
      </c>
      <c r="EA32" s="374" t="str">
        <f t="shared" si="102"/>
        <v>(0.69)</v>
      </c>
      <c r="EB32" s="375">
        <v>2</v>
      </c>
      <c r="EC32" s="375">
        <f t="shared" si="66"/>
        <v>2</v>
      </c>
      <c r="ED32" s="375">
        <v>0</v>
      </c>
      <c r="EE32" s="375">
        <f t="shared" si="67"/>
        <v>0</v>
      </c>
      <c r="EF32" s="375">
        <f t="shared" si="67"/>
        <v>0</v>
      </c>
      <c r="EG32" s="375">
        <f t="shared" si="68"/>
        <v>0</v>
      </c>
      <c r="EH32" s="375">
        <f t="shared" si="69"/>
        <v>2</v>
      </c>
      <c r="EI32" s="376">
        <f t="shared" si="70"/>
        <v>58</v>
      </c>
      <c r="EJ32" s="373">
        <f t="shared" si="89"/>
        <v>8.1639999999999997</v>
      </c>
      <c r="EK32" s="374" t="str">
        <f t="shared" si="103"/>
        <v>(0.76)</v>
      </c>
      <c r="EL32" s="375">
        <v>2</v>
      </c>
      <c r="EM32" s="375">
        <f t="shared" si="90"/>
        <v>2</v>
      </c>
      <c r="EN32" s="375">
        <v>0</v>
      </c>
      <c r="EO32" s="375">
        <f t="shared" ref="EO32:EP32" si="105">$IM32*EN32</f>
        <v>0</v>
      </c>
      <c r="EP32" s="375">
        <f t="shared" si="105"/>
        <v>0</v>
      </c>
      <c r="EQ32" s="375">
        <f t="shared" si="72"/>
        <v>0</v>
      </c>
      <c r="ER32" s="375">
        <f t="shared" si="92"/>
        <v>2</v>
      </c>
      <c r="ES32" s="376">
        <f t="shared" si="73"/>
        <v>64</v>
      </c>
      <c r="ET32" s="373">
        <f t="shared" si="93"/>
        <v>8.9293750000000003</v>
      </c>
      <c r="EU32" s="374" t="str">
        <f t="shared" si="74"/>
        <v>(0.83)</v>
      </c>
      <c r="EV32" s="22">
        <v>2</v>
      </c>
      <c r="EW32" s="22">
        <f t="shared" si="75"/>
        <v>2</v>
      </c>
      <c r="EX32" s="22">
        <v>0</v>
      </c>
      <c r="EY32" s="22">
        <f t="shared" si="76"/>
        <v>0</v>
      </c>
      <c r="EZ32" s="22">
        <v>0</v>
      </c>
      <c r="FA32" s="22">
        <f t="shared" si="77"/>
        <v>0</v>
      </c>
      <c r="FB32" s="22">
        <f t="shared" si="78"/>
        <v>2</v>
      </c>
      <c r="FC32" s="23">
        <f t="shared" si="79"/>
        <v>70</v>
      </c>
      <c r="FD32" s="202"/>
      <c r="FE32" s="203"/>
      <c r="FF32" s="204"/>
      <c r="FG32" s="204"/>
      <c r="FH32" s="204"/>
      <c r="FI32" s="204"/>
      <c r="FJ32" s="204"/>
      <c r="FK32" s="204"/>
      <c r="FL32" s="204"/>
      <c r="FM32" s="205"/>
      <c r="FN32" s="202"/>
      <c r="FO32" s="203"/>
      <c r="FP32" s="204"/>
      <c r="FQ32" s="204"/>
      <c r="FR32" s="204"/>
      <c r="FS32" s="204"/>
      <c r="FT32" s="204"/>
      <c r="FU32" s="204"/>
      <c r="FV32" s="204"/>
      <c r="FW32" s="205"/>
      <c r="FX32" s="202"/>
      <c r="FY32" s="203"/>
      <c r="FZ32" s="204"/>
      <c r="GA32" s="204"/>
      <c r="GB32" s="204"/>
      <c r="GC32" s="204"/>
      <c r="GD32" s="204"/>
      <c r="GE32" s="204"/>
      <c r="GF32" s="204"/>
      <c r="GG32" s="205"/>
      <c r="GH32" s="202"/>
      <c r="GI32" s="203"/>
      <c r="GJ32" s="204"/>
      <c r="GK32" s="204"/>
      <c r="GL32" s="204"/>
      <c r="GM32" s="204"/>
      <c r="GN32" s="204"/>
      <c r="GO32" s="204"/>
      <c r="GP32" s="204"/>
      <c r="GQ32" s="205"/>
      <c r="GR32" s="202"/>
      <c r="GS32" s="203"/>
      <c r="GT32" s="204"/>
      <c r="GU32" s="204"/>
      <c r="GV32" s="204"/>
      <c r="GW32" s="204"/>
      <c r="GX32" s="204"/>
      <c r="GY32" s="204"/>
      <c r="GZ32" s="204"/>
      <c r="HA32" s="205"/>
      <c r="HB32" s="202"/>
      <c r="HC32" s="203"/>
      <c r="HD32" s="204"/>
      <c r="HE32" s="204"/>
      <c r="HF32" s="204"/>
      <c r="HG32" s="204"/>
      <c r="HH32" s="204"/>
      <c r="HI32" s="204"/>
      <c r="HJ32" s="204"/>
      <c r="HK32" s="205"/>
      <c r="HL32" s="202"/>
      <c r="HM32" s="203"/>
      <c r="HN32" s="204"/>
      <c r="HO32" s="204"/>
      <c r="HP32" s="204"/>
      <c r="HQ32" s="204"/>
      <c r="HR32" s="204"/>
      <c r="HS32" s="204"/>
      <c r="HT32" s="204"/>
      <c r="HU32" s="205"/>
      <c r="HV32" s="202"/>
      <c r="HW32" s="203"/>
      <c r="HX32" s="204"/>
      <c r="HY32" s="204"/>
      <c r="HZ32" s="204"/>
      <c r="IA32" s="204"/>
      <c r="IB32" s="204"/>
      <c r="IC32" s="204"/>
      <c r="ID32" s="204"/>
      <c r="IE32" s="205"/>
      <c r="IF32" s="262"/>
      <c r="IG32" s="25">
        <v>5</v>
      </c>
      <c r="IH32" s="26">
        <v>1.387</v>
      </c>
      <c r="II32" s="26">
        <v>3.2210000000000001</v>
      </c>
      <c r="IJ32" s="26">
        <v>4.0979999999999999</v>
      </c>
      <c r="IK32" s="26">
        <v>1</v>
      </c>
      <c r="IL32" s="26">
        <v>1</v>
      </c>
      <c r="IM32" s="26">
        <v>1.125</v>
      </c>
      <c r="IN32" s="8"/>
    </row>
    <row r="33" spans="1:248" ht="15.75" thickBot="1" x14ac:dyDescent="0.3">
      <c r="B33" s="103">
        <f t="shared" si="15"/>
        <v>96</v>
      </c>
      <c r="C33" s="102">
        <v>16</v>
      </c>
      <c r="D33" s="98">
        <f t="shared" si="1"/>
        <v>0.21537326388888889</v>
      </c>
      <c r="E33" s="96">
        <f t="shared" si="2"/>
        <v>0.22973148148148148</v>
      </c>
      <c r="F33" s="96">
        <f t="shared" si="3"/>
        <v>0.23691059027777778</v>
      </c>
      <c r="G33" s="96">
        <f t="shared" si="4"/>
        <v>0.24121805555555556</v>
      </c>
      <c r="H33" s="96">
        <f t="shared" si="5"/>
        <v>0.24408969907407407</v>
      </c>
      <c r="I33" s="96">
        <f t="shared" si="6"/>
        <v>0.24614087301587301</v>
      </c>
      <c r="J33" s="96">
        <f t="shared" si="7"/>
        <v>0.24767925347222222</v>
      </c>
      <c r="K33" s="96">
        <f t="shared" si="8"/>
        <v>0.24887577160493826</v>
      </c>
      <c r="L33" s="96">
        <f t="shared" si="9"/>
        <v>0.24983298611111113</v>
      </c>
      <c r="M33" s="96">
        <f t="shared" si="10"/>
        <v>0.25061616161616163</v>
      </c>
      <c r="N33" s="96">
        <f t="shared" si="11"/>
        <v>0.25126880787037037</v>
      </c>
      <c r="O33" s="259"/>
      <c r="P33" s="260"/>
      <c r="Q33" s="260"/>
      <c r="R33" s="259"/>
      <c r="S33" s="259"/>
      <c r="T33" s="260"/>
      <c r="U33" s="260"/>
      <c r="V33" s="260"/>
      <c r="W33" s="64"/>
      <c r="X33" s="65"/>
      <c r="AT33" s="4"/>
      <c r="AU33" s="14">
        <f t="shared" si="94"/>
        <v>78</v>
      </c>
      <c r="AV33" s="12" t="str">
        <f t="shared" si="16"/>
        <v>(2000)</v>
      </c>
      <c r="AW33" s="19">
        <f t="shared" si="80"/>
        <v>11</v>
      </c>
      <c r="AX33" s="373">
        <f t="shared" si="81"/>
        <v>1.275625</v>
      </c>
      <c r="AY33" s="374" t="str">
        <f t="shared" si="17"/>
        <v>(0.12)</v>
      </c>
      <c r="AZ33" s="375">
        <v>2</v>
      </c>
      <c r="BA33" s="375">
        <f t="shared" si="18"/>
        <v>2</v>
      </c>
      <c r="BB33" s="375">
        <v>0</v>
      </c>
      <c r="BC33" s="375">
        <f t="shared" si="19"/>
        <v>0</v>
      </c>
      <c r="BD33" s="375">
        <v>0</v>
      </c>
      <c r="BE33" s="375">
        <f t="shared" si="20"/>
        <v>0</v>
      </c>
      <c r="BF33" s="375">
        <f t="shared" si="21"/>
        <v>2</v>
      </c>
      <c r="BG33" s="376">
        <f t="shared" si="22"/>
        <v>10</v>
      </c>
      <c r="BH33" s="373">
        <f t="shared" si="82"/>
        <v>2.0409999999999999</v>
      </c>
      <c r="BI33" s="374" t="str">
        <f t="shared" si="23"/>
        <v>(0.19)</v>
      </c>
      <c r="BJ33" s="375">
        <v>2</v>
      </c>
      <c r="BK33" s="375">
        <f t="shared" si="24"/>
        <v>2</v>
      </c>
      <c r="BL33" s="375">
        <v>0</v>
      </c>
      <c r="BM33" s="375">
        <f t="shared" si="25"/>
        <v>0</v>
      </c>
      <c r="BN33" s="375">
        <v>0</v>
      </c>
      <c r="BO33" s="375">
        <f t="shared" si="26"/>
        <v>0</v>
      </c>
      <c r="BP33" s="375">
        <f t="shared" si="27"/>
        <v>2</v>
      </c>
      <c r="BQ33" s="376">
        <f t="shared" si="28"/>
        <v>16</v>
      </c>
      <c r="BR33" s="373">
        <f t="shared" si="83"/>
        <v>2.8063750000000001</v>
      </c>
      <c r="BS33" s="374" t="str">
        <f t="shared" si="29"/>
        <v>(0.26)</v>
      </c>
      <c r="BT33" s="375">
        <v>2</v>
      </c>
      <c r="BU33" s="375">
        <f t="shared" si="30"/>
        <v>2</v>
      </c>
      <c r="BV33" s="375">
        <v>0</v>
      </c>
      <c r="BW33" s="375">
        <f t="shared" si="31"/>
        <v>0</v>
      </c>
      <c r="BX33" s="375">
        <v>0</v>
      </c>
      <c r="BY33" s="375">
        <f t="shared" si="32"/>
        <v>0</v>
      </c>
      <c r="BZ33" s="375">
        <f t="shared" si="33"/>
        <v>2</v>
      </c>
      <c r="CA33" s="376">
        <f t="shared" si="34"/>
        <v>22</v>
      </c>
      <c r="CB33" s="373">
        <f t="shared" si="84"/>
        <v>3.5717499999999998</v>
      </c>
      <c r="CC33" s="374" t="str">
        <f t="shared" si="35"/>
        <v>(0.33)</v>
      </c>
      <c r="CD33" s="375">
        <v>2</v>
      </c>
      <c r="CE33" s="375">
        <f t="shared" si="36"/>
        <v>2</v>
      </c>
      <c r="CF33" s="375">
        <v>0</v>
      </c>
      <c r="CG33" s="375">
        <f t="shared" si="37"/>
        <v>0</v>
      </c>
      <c r="CH33" s="375">
        <v>0</v>
      </c>
      <c r="CI33" s="375">
        <f t="shared" si="38"/>
        <v>0</v>
      </c>
      <c r="CJ33" s="375">
        <f t="shared" si="39"/>
        <v>2</v>
      </c>
      <c r="CK33" s="376">
        <f t="shared" si="40"/>
        <v>28</v>
      </c>
      <c r="CL33" s="373">
        <f t="shared" si="85"/>
        <v>4.3371250000000003</v>
      </c>
      <c r="CM33" s="374" t="str">
        <f t="shared" si="41"/>
        <v>(0.4)</v>
      </c>
      <c r="CN33" s="375">
        <v>2</v>
      </c>
      <c r="CO33" s="375">
        <f t="shared" si="42"/>
        <v>2</v>
      </c>
      <c r="CP33" s="375">
        <v>0</v>
      </c>
      <c r="CQ33" s="375">
        <f t="shared" si="43"/>
        <v>0</v>
      </c>
      <c r="CR33" s="375">
        <v>0</v>
      </c>
      <c r="CS33" s="375">
        <f t="shared" si="44"/>
        <v>0</v>
      </c>
      <c r="CT33" s="375">
        <f t="shared" si="45"/>
        <v>2</v>
      </c>
      <c r="CU33" s="376">
        <f t="shared" si="46"/>
        <v>34</v>
      </c>
      <c r="CV33" s="373">
        <f t="shared" si="86"/>
        <v>5.1025</v>
      </c>
      <c r="CW33" s="374" t="str">
        <f t="shared" si="47"/>
        <v>(0.47)</v>
      </c>
      <c r="CX33" s="375">
        <v>2</v>
      </c>
      <c r="CY33" s="375">
        <f t="shared" si="48"/>
        <v>2</v>
      </c>
      <c r="CZ33" s="375">
        <v>0</v>
      </c>
      <c r="DA33" s="375">
        <f t="shared" si="49"/>
        <v>0</v>
      </c>
      <c r="DB33" s="375">
        <v>0</v>
      </c>
      <c r="DC33" s="375">
        <f t="shared" si="50"/>
        <v>0</v>
      </c>
      <c r="DD33" s="375">
        <f t="shared" si="51"/>
        <v>2</v>
      </c>
      <c r="DE33" s="376">
        <f t="shared" si="52"/>
        <v>40</v>
      </c>
      <c r="DF33" s="373">
        <f t="shared" si="100"/>
        <v>5.8678749999999997</v>
      </c>
      <c r="DG33" s="374" t="str">
        <f t="shared" si="53"/>
        <v>(0.55)</v>
      </c>
      <c r="DH33" s="375">
        <v>2</v>
      </c>
      <c r="DI33" s="375">
        <f t="shared" si="54"/>
        <v>2</v>
      </c>
      <c r="DJ33" s="375">
        <v>0</v>
      </c>
      <c r="DK33" s="375">
        <f t="shared" si="55"/>
        <v>0</v>
      </c>
      <c r="DL33" s="375">
        <v>0</v>
      </c>
      <c r="DM33" s="375">
        <f t="shared" si="56"/>
        <v>0</v>
      </c>
      <c r="DN33" s="375">
        <f t="shared" si="57"/>
        <v>2</v>
      </c>
      <c r="DO33" s="376">
        <f t="shared" si="58"/>
        <v>46</v>
      </c>
      <c r="DP33" s="373">
        <f t="shared" si="87"/>
        <v>6.6332500000000003</v>
      </c>
      <c r="DQ33" s="374" t="str">
        <f t="shared" si="59"/>
        <v>(0.62)</v>
      </c>
      <c r="DR33" s="375">
        <v>2</v>
      </c>
      <c r="DS33" s="375">
        <f t="shared" si="60"/>
        <v>2</v>
      </c>
      <c r="DT33" s="375">
        <v>0</v>
      </c>
      <c r="DU33" s="375">
        <f t="shared" si="61"/>
        <v>0</v>
      </c>
      <c r="DV33" s="375">
        <f t="shared" si="61"/>
        <v>0</v>
      </c>
      <c r="DW33" s="375">
        <f t="shared" si="62"/>
        <v>0</v>
      </c>
      <c r="DX33" s="375">
        <f t="shared" si="63"/>
        <v>2</v>
      </c>
      <c r="DY33" s="376">
        <f t="shared" si="64"/>
        <v>52</v>
      </c>
      <c r="DZ33" s="373">
        <f t="shared" si="88"/>
        <v>7.398625</v>
      </c>
      <c r="EA33" s="374" t="str">
        <f t="shared" si="102"/>
        <v>(0.69)</v>
      </c>
      <c r="EB33" s="375">
        <v>2</v>
      </c>
      <c r="EC33" s="375">
        <f t="shared" si="66"/>
        <v>2</v>
      </c>
      <c r="ED33" s="375">
        <v>0</v>
      </c>
      <c r="EE33" s="375">
        <f t="shared" si="67"/>
        <v>0</v>
      </c>
      <c r="EF33" s="375">
        <f t="shared" si="67"/>
        <v>0</v>
      </c>
      <c r="EG33" s="375">
        <f t="shared" si="68"/>
        <v>0</v>
      </c>
      <c r="EH33" s="375">
        <f t="shared" si="69"/>
        <v>2</v>
      </c>
      <c r="EI33" s="376">
        <f t="shared" si="70"/>
        <v>58</v>
      </c>
      <c r="EJ33" s="373">
        <f t="shared" si="89"/>
        <v>8.1639999999999997</v>
      </c>
      <c r="EK33" s="374" t="str">
        <f t="shared" si="103"/>
        <v>(0.76)</v>
      </c>
      <c r="EL33" s="375">
        <v>2</v>
      </c>
      <c r="EM33" s="375">
        <f t="shared" si="90"/>
        <v>2</v>
      </c>
      <c r="EN33" s="375">
        <v>0</v>
      </c>
      <c r="EO33" s="375">
        <f t="shared" ref="EO33:EP33" si="106">$IM33*EN33</f>
        <v>0</v>
      </c>
      <c r="EP33" s="375">
        <f t="shared" si="106"/>
        <v>0</v>
      </c>
      <c r="EQ33" s="375">
        <f t="shared" si="72"/>
        <v>0</v>
      </c>
      <c r="ER33" s="375">
        <f t="shared" si="92"/>
        <v>2</v>
      </c>
      <c r="ES33" s="376">
        <f t="shared" si="73"/>
        <v>64</v>
      </c>
      <c r="ET33" s="373">
        <f t="shared" si="93"/>
        <v>8.9293750000000003</v>
      </c>
      <c r="EU33" s="374" t="str">
        <f t="shared" si="74"/>
        <v>(0.83)</v>
      </c>
      <c r="EV33" s="22">
        <v>2</v>
      </c>
      <c r="EW33" s="22">
        <f t="shared" si="75"/>
        <v>2</v>
      </c>
      <c r="EX33" s="22">
        <v>0</v>
      </c>
      <c r="EY33" s="22">
        <f t="shared" si="76"/>
        <v>0</v>
      </c>
      <c r="EZ33" s="22">
        <v>0</v>
      </c>
      <c r="FA33" s="22">
        <f t="shared" si="77"/>
        <v>0</v>
      </c>
      <c r="FB33" s="22">
        <f t="shared" si="78"/>
        <v>2</v>
      </c>
      <c r="FC33" s="23">
        <f t="shared" si="79"/>
        <v>70</v>
      </c>
      <c r="FD33" s="31"/>
      <c r="FE33" s="31"/>
      <c r="FF33" s="32"/>
      <c r="FG33" s="32"/>
      <c r="FH33" s="32"/>
      <c r="FI33" s="32"/>
      <c r="FJ33" s="32"/>
      <c r="FK33" s="32"/>
      <c r="FL33" s="32"/>
      <c r="FM33" s="32"/>
      <c r="FN33" s="31"/>
      <c r="FO33" s="31"/>
      <c r="FP33" s="32"/>
      <c r="FQ33" s="32"/>
      <c r="FR33" s="32"/>
      <c r="FS33" s="32"/>
      <c r="FT33" s="32"/>
      <c r="FU33" s="32"/>
      <c r="FV33" s="32"/>
      <c r="FW33" s="32"/>
      <c r="FX33" s="31"/>
      <c r="FY33" s="31"/>
      <c r="FZ33" s="32"/>
      <c r="GA33" s="32"/>
      <c r="GB33" s="32"/>
      <c r="GC33" s="32"/>
      <c r="GD33" s="32"/>
      <c r="GE33" s="32"/>
      <c r="GF33" s="32"/>
      <c r="GG33" s="32"/>
      <c r="GH33" s="31"/>
      <c r="GI33" s="31"/>
      <c r="GJ33" s="32"/>
      <c r="GK33" s="32"/>
      <c r="GL33" s="32"/>
      <c r="GM33" s="32"/>
      <c r="GN33" s="32"/>
      <c r="GO33" s="32"/>
      <c r="GP33" s="32"/>
      <c r="GQ33" s="32"/>
      <c r="GR33" s="31"/>
      <c r="GS33" s="31"/>
      <c r="GT33" s="32"/>
      <c r="GU33" s="32"/>
      <c r="GV33" s="32"/>
      <c r="GW33" s="32"/>
      <c r="GX33" s="32"/>
      <c r="GY33" s="32"/>
      <c r="GZ33" s="32"/>
      <c r="HA33" s="32"/>
      <c r="HB33" s="31"/>
      <c r="HC33" s="31"/>
      <c r="HD33" s="32"/>
      <c r="HE33" s="32"/>
      <c r="HF33" s="32"/>
      <c r="HG33" s="32"/>
      <c r="HH33" s="32"/>
      <c r="HI33" s="32"/>
      <c r="HJ33" s="32"/>
      <c r="HK33" s="32"/>
      <c r="HL33" s="31"/>
      <c r="HM33" s="31"/>
      <c r="HN33" s="32"/>
      <c r="HO33" s="32"/>
      <c r="HP33" s="32"/>
      <c r="HQ33" s="32"/>
      <c r="HR33" s="32"/>
      <c r="HS33" s="32"/>
      <c r="HT33" s="32"/>
      <c r="HU33" s="32"/>
      <c r="HV33" s="31"/>
      <c r="HW33" s="31"/>
      <c r="HX33" s="32"/>
      <c r="HY33" s="32"/>
      <c r="HZ33" s="32"/>
      <c r="IA33" s="32"/>
      <c r="IB33" s="32"/>
      <c r="IC33" s="32"/>
      <c r="ID33" s="33"/>
      <c r="IE33" s="33"/>
      <c r="IF33" s="263"/>
      <c r="IG33" s="25">
        <v>5</v>
      </c>
      <c r="IH33" s="26">
        <v>1.387</v>
      </c>
      <c r="II33" s="26">
        <v>3.2210000000000001</v>
      </c>
      <c r="IJ33" s="26">
        <v>4.0979999999999999</v>
      </c>
      <c r="IK33" s="26">
        <v>1</v>
      </c>
      <c r="IL33" s="26">
        <v>1</v>
      </c>
      <c r="IM33" s="26">
        <v>1.125</v>
      </c>
      <c r="IN33" s="8"/>
    </row>
    <row r="34" spans="1:248" ht="15.75" thickBot="1" x14ac:dyDescent="0.3">
      <c r="B34" s="103">
        <f t="shared" si="15"/>
        <v>102</v>
      </c>
      <c r="C34" s="102">
        <v>17</v>
      </c>
      <c r="D34" s="363"/>
      <c r="E34" s="259"/>
      <c r="F34" s="259"/>
      <c r="G34" s="259"/>
      <c r="H34" s="259"/>
      <c r="I34" s="259"/>
      <c r="J34" s="259"/>
      <c r="K34" s="259"/>
      <c r="L34" s="259"/>
      <c r="M34" s="259"/>
      <c r="N34" s="259"/>
      <c r="O34" s="259"/>
      <c r="P34" s="260"/>
      <c r="Q34" s="260"/>
      <c r="R34" s="259"/>
      <c r="S34" s="259"/>
      <c r="T34" s="260"/>
      <c r="U34" s="260"/>
      <c r="V34" s="260"/>
      <c r="W34" s="64"/>
      <c r="X34" s="65"/>
      <c r="AT34" s="4"/>
      <c r="AU34" s="14">
        <f t="shared" si="94"/>
        <v>84</v>
      </c>
      <c r="AV34" s="12" t="str">
        <f t="shared" si="16"/>
        <v>(2150)</v>
      </c>
      <c r="AW34" s="19">
        <f t="shared" si="80"/>
        <v>12</v>
      </c>
      <c r="AX34" s="373">
        <f t="shared" si="81"/>
        <v>1.4993055555555557</v>
      </c>
      <c r="AY34" s="374" t="str">
        <f t="shared" si="17"/>
        <v>(0.14)</v>
      </c>
      <c r="AZ34" s="375">
        <v>2</v>
      </c>
      <c r="BA34" s="375">
        <f t="shared" si="18"/>
        <v>2</v>
      </c>
      <c r="BB34" s="375">
        <v>0</v>
      </c>
      <c r="BC34" s="375">
        <f t="shared" si="19"/>
        <v>0</v>
      </c>
      <c r="BD34" s="375">
        <v>0</v>
      </c>
      <c r="BE34" s="375">
        <f t="shared" si="20"/>
        <v>0</v>
      </c>
      <c r="BF34" s="375">
        <f t="shared" si="21"/>
        <v>2</v>
      </c>
      <c r="BG34" s="376">
        <f t="shared" si="22"/>
        <v>10</v>
      </c>
      <c r="BH34" s="373">
        <f t="shared" si="82"/>
        <v>2.3988888888888891</v>
      </c>
      <c r="BI34" s="374" t="str">
        <f t="shared" si="23"/>
        <v>(0.22)</v>
      </c>
      <c r="BJ34" s="375">
        <v>2</v>
      </c>
      <c r="BK34" s="375">
        <f t="shared" si="24"/>
        <v>2</v>
      </c>
      <c r="BL34" s="375">
        <v>0</v>
      </c>
      <c r="BM34" s="375">
        <f t="shared" si="25"/>
        <v>0</v>
      </c>
      <c r="BN34" s="375">
        <v>0</v>
      </c>
      <c r="BO34" s="375">
        <f t="shared" si="26"/>
        <v>0</v>
      </c>
      <c r="BP34" s="375">
        <f t="shared" si="27"/>
        <v>2</v>
      </c>
      <c r="BQ34" s="376">
        <f t="shared" si="28"/>
        <v>16</v>
      </c>
      <c r="BR34" s="373">
        <f t="shared" si="83"/>
        <v>3.2984722222222222</v>
      </c>
      <c r="BS34" s="374" t="str">
        <f t="shared" si="29"/>
        <v>(0.31)</v>
      </c>
      <c r="BT34" s="375">
        <v>2</v>
      </c>
      <c r="BU34" s="375">
        <f t="shared" si="30"/>
        <v>2</v>
      </c>
      <c r="BV34" s="375">
        <v>0</v>
      </c>
      <c r="BW34" s="375">
        <f t="shared" si="31"/>
        <v>0</v>
      </c>
      <c r="BX34" s="375">
        <v>0</v>
      </c>
      <c r="BY34" s="375">
        <f t="shared" si="32"/>
        <v>0</v>
      </c>
      <c r="BZ34" s="375">
        <f t="shared" si="33"/>
        <v>2</v>
      </c>
      <c r="CA34" s="376">
        <f t="shared" si="34"/>
        <v>22</v>
      </c>
      <c r="CB34" s="373">
        <f t="shared" si="84"/>
        <v>4.1980555555555554</v>
      </c>
      <c r="CC34" s="374" t="str">
        <f t="shared" si="35"/>
        <v>(0.39)</v>
      </c>
      <c r="CD34" s="375">
        <v>2</v>
      </c>
      <c r="CE34" s="375">
        <f t="shared" si="36"/>
        <v>2</v>
      </c>
      <c r="CF34" s="375">
        <v>0</v>
      </c>
      <c r="CG34" s="375">
        <f t="shared" si="37"/>
        <v>0</v>
      </c>
      <c r="CH34" s="375">
        <v>0</v>
      </c>
      <c r="CI34" s="375">
        <f t="shared" si="38"/>
        <v>0</v>
      </c>
      <c r="CJ34" s="375">
        <f t="shared" si="39"/>
        <v>2</v>
      </c>
      <c r="CK34" s="376">
        <f t="shared" si="40"/>
        <v>28</v>
      </c>
      <c r="CL34" s="373">
        <f t="shared" si="85"/>
        <v>5.0976388888888886</v>
      </c>
      <c r="CM34" s="374" t="str">
        <f t="shared" si="41"/>
        <v>(0.47)</v>
      </c>
      <c r="CN34" s="375">
        <v>2</v>
      </c>
      <c r="CO34" s="375">
        <f t="shared" si="42"/>
        <v>2</v>
      </c>
      <c r="CP34" s="375">
        <v>0</v>
      </c>
      <c r="CQ34" s="375">
        <f t="shared" si="43"/>
        <v>0</v>
      </c>
      <c r="CR34" s="375">
        <v>0</v>
      </c>
      <c r="CS34" s="375">
        <f t="shared" si="44"/>
        <v>0</v>
      </c>
      <c r="CT34" s="375">
        <f t="shared" si="45"/>
        <v>2</v>
      </c>
      <c r="CU34" s="376">
        <f t="shared" si="46"/>
        <v>34</v>
      </c>
      <c r="CV34" s="373">
        <f t="shared" si="86"/>
        <v>5.9972222222222227</v>
      </c>
      <c r="CW34" s="374" t="str">
        <f t="shared" si="47"/>
        <v>(0.56)</v>
      </c>
      <c r="CX34" s="375">
        <v>2</v>
      </c>
      <c r="CY34" s="375">
        <f t="shared" si="48"/>
        <v>2</v>
      </c>
      <c r="CZ34" s="375">
        <v>0</v>
      </c>
      <c r="DA34" s="375">
        <f t="shared" si="49"/>
        <v>0</v>
      </c>
      <c r="DB34" s="375">
        <v>0</v>
      </c>
      <c r="DC34" s="375">
        <f t="shared" si="50"/>
        <v>0</v>
      </c>
      <c r="DD34" s="375">
        <f t="shared" si="51"/>
        <v>2</v>
      </c>
      <c r="DE34" s="376">
        <f t="shared" si="52"/>
        <v>40</v>
      </c>
      <c r="DF34" s="373">
        <f t="shared" si="100"/>
        <v>6.8968055555555559</v>
      </c>
      <c r="DG34" s="374" t="str">
        <f t="shared" si="53"/>
        <v>(0.64)</v>
      </c>
      <c r="DH34" s="375">
        <v>2</v>
      </c>
      <c r="DI34" s="375">
        <f t="shared" si="54"/>
        <v>2</v>
      </c>
      <c r="DJ34" s="375">
        <v>0</v>
      </c>
      <c r="DK34" s="375">
        <f t="shared" si="55"/>
        <v>0</v>
      </c>
      <c r="DL34" s="375">
        <v>0</v>
      </c>
      <c r="DM34" s="375">
        <f t="shared" si="56"/>
        <v>0</v>
      </c>
      <c r="DN34" s="375">
        <f t="shared" si="57"/>
        <v>2</v>
      </c>
      <c r="DO34" s="376">
        <f t="shared" si="58"/>
        <v>46</v>
      </c>
      <c r="DP34" s="373">
        <f t="shared" si="87"/>
        <v>7.796388888888889</v>
      </c>
      <c r="DQ34" s="374" t="str">
        <f t="shared" si="59"/>
        <v>(0.72)</v>
      </c>
      <c r="DR34" s="375">
        <v>2</v>
      </c>
      <c r="DS34" s="375">
        <f t="shared" si="60"/>
        <v>2</v>
      </c>
      <c r="DT34" s="375">
        <v>0</v>
      </c>
      <c r="DU34" s="375">
        <f t="shared" si="61"/>
        <v>0</v>
      </c>
      <c r="DV34" s="375">
        <f t="shared" si="61"/>
        <v>0</v>
      </c>
      <c r="DW34" s="375">
        <f t="shared" si="62"/>
        <v>0</v>
      </c>
      <c r="DX34" s="375">
        <f t="shared" si="63"/>
        <v>2</v>
      </c>
      <c r="DY34" s="376">
        <f t="shared" si="64"/>
        <v>52</v>
      </c>
      <c r="DZ34" s="373">
        <f t="shared" si="88"/>
        <v>8.6959722222222222</v>
      </c>
      <c r="EA34" s="374" t="str">
        <f t="shared" si="102"/>
        <v>(0.81)</v>
      </c>
      <c r="EB34" s="375">
        <v>2</v>
      </c>
      <c r="EC34" s="375">
        <f t="shared" si="66"/>
        <v>2</v>
      </c>
      <c r="ED34" s="375">
        <v>0</v>
      </c>
      <c r="EE34" s="375">
        <f t="shared" si="67"/>
        <v>0</v>
      </c>
      <c r="EF34" s="375">
        <f t="shared" si="67"/>
        <v>0</v>
      </c>
      <c r="EG34" s="375">
        <f t="shared" si="68"/>
        <v>0</v>
      </c>
      <c r="EH34" s="375">
        <f t="shared" si="69"/>
        <v>2</v>
      </c>
      <c r="EI34" s="376">
        <f t="shared" si="70"/>
        <v>58</v>
      </c>
      <c r="EJ34" s="373">
        <f t="shared" si="89"/>
        <v>9.5955555555555563</v>
      </c>
      <c r="EK34" s="374" t="str">
        <f t="shared" si="103"/>
        <v>(0.89)</v>
      </c>
      <c r="EL34" s="375">
        <v>2</v>
      </c>
      <c r="EM34" s="375">
        <f t="shared" si="90"/>
        <v>2</v>
      </c>
      <c r="EN34" s="375">
        <v>0</v>
      </c>
      <c r="EO34" s="375">
        <f t="shared" ref="EO34:EP34" si="107">$IM34*EN34</f>
        <v>0</v>
      </c>
      <c r="EP34" s="375">
        <f t="shared" si="107"/>
        <v>0</v>
      </c>
      <c r="EQ34" s="375">
        <f t="shared" si="72"/>
        <v>0</v>
      </c>
      <c r="ER34" s="375">
        <f t="shared" si="92"/>
        <v>2</v>
      </c>
      <c r="ES34" s="376">
        <f t="shared" si="73"/>
        <v>64</v>
      </c>
      <c r="ET34" s="373">
        <f t="shared" si="93"/>
        <v>10.495138888888889</v>
      </c>
      <c r="EU34" s="374" t="str">
        <f t="shared" si="74"/>
        <v>(0.98)</v>
      </c>
      <c r="EV34" s="22">
        <v>2</v>
      </c>
      <c r="EW34" s="22">
        <f t="shared" si="75"/>
        <v>2</v>
      </c>
      <c r="EX34" s="22">
        <v>0</v>
      </c>
      <c r="EY34" s="22">
        <f t="shared" si="76"/>
        <v>0</v>
      </c>
      <c r="EZ34" s="22">
        <v>0</v>
      </c>
      <c r="FA34" s="22">
        <f t="shared" si="77"/>
        <v>0</v>
      </c>
      <c r="FB34" s="22">
        <f t="shared" si="78"/>
        <v>2</v>
      </c>
      <c r="FC34" s="23">
        <f t="shared" si="79"/>
        <v>70</v>
      </c>
      <c r="FD34" s="31"/>
      <c r="FE34" s="31"/>
      <c r="FF34" s="32"/>
      <c r="FG34" s="32"/>
      <c r="FH34" s="32"/>
      <c r="FI34" s="32"/>
      <c r="FJ34" s="32"/>
      <c r="FK34" s="32"/>
      <c r="FL34" s="32"/>
      <c r="FM34" s="32"/>
      <c r="FN34" s="31"/>
      <c r="FO34" s="31"/>
      <c r="FP34" s="32"/>
      <c r="FQ34" s="32"/>
      <c r="FR34" s="32"/>
      <c r="FS34" s="32"/>
      <c r="FT34" s="32"/>
      <c r="FU34" s="32"/>
      <c r="FV34" s="32"/>
      <c r="FW34" s="32"/>
      <c r="FX34" s="31"/>
      <c r="FY34" s="31"/>
      <c r="FZ34" s="32"/>
      <c r="GA34" s="32"/>
      <c r="GB34" s="32"/>
      <c r="GC34" s="32"/>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2"/>
      <c r="HE34" s="32"/>
      <c r="HF34" s="32"/>
      <c r="HG34" s="32"/>
      <c r="HH34" s="32"/>
      <c r="HI34" s="32"/>
      <c r="HJ34" s="32"/>
      <c r="HK34" s="32"/>
      <c r="HL34" s="32"/>
      <c r="HM34" s="32"/>
      <c r="HN34" s="32"/>
      <c r="HO34" s="32"/>
      <c r="HP34" s="32"/>
      <c r="HQ34" s="32"/>
      <c r="HR34" s="32"/>
      <c r="HS34" s="32"/>
      <c r="HT34" s="32"/>
      <c r="HU34" s="32"/>
      <c r="HV34" s="31"/>
      <c r="HW34" s="31"/>
      <c r="HX34" s="32"/>
      <c r="HY34" s="32"/>
      <c r="HZ34" s="32"/>
      <c r="IA34" s="32"/>
      <c r="IB34" s="32"/>
      <c r="IC34" s="32"/>
      <c r="ID34" s="33"/>
      <c r="IE34" s="33"/>
      <c r="IF34" s="263"/>
      <c r="IG34" s="25">
        <v>6</v>
      </c>
      <c r="IH34" s="26">
        <v>1.387</v>
      </c>
      <c r="II34" s="26">
        <v>3.2210000000000001</v>
      </c>
      <c r="IJ34" s="26">
        <v>4.0979999999999999</v>
      </c>
      <c r="IK34" s="26">
        <v>1</v>
      </c>
      <c r="IL34" s="26">
        <v>1</v>
      </c>
      <c r="IM34" s="26">
        <v>1.125</v>
      </c>
      <c r="IN34" s="8"/>
    </row>
    <row r="35" spans="1:248" ht="15.75" thickBot="1" x14ac:dyDescent="0.3">
      <c r="B35" s="103">
        <f t="shared" si="15"/>
        <v>108</v>
      </c>
      <c r="C35" s="102">
        <v>18</v>
      </c>
      <c r="D35" s="261"/>
      <c r="E35" s="259"/>
      <c r="F35" s="259"/>
      <c r="G35" s="259"/>
      <c r="H35" s="259"/>
      <c r="I35" s="259"/>
      <c r="J35" s="259"/>
      <c r="K35" s="259"/>
      <c r="L35" s="259"/>
      <c r="M35" s="259"/>
      <c r="N35" s="259"/>
      <c r="O35" s="259"/>
      <c r="P35" s="260"/>
      <c r="Q35" s="260"/>
      <c r="R35" s="259"/>
      <c r="S35" s="259"/>
      <c r="T35" s="259"/>
      <c r="U35" s="259"/>
      <c r="V35" s="259"/>
      <c r="W35" s="64"/>
      <c r="X35" s="65"/>
      <c r="AT35" s="4"/>
      <c r="AU35" s="27">
        <f t="shared" si="94"/>
        <v>90</v>
      </c>
      <c r="AV35" s="28" t="str">
        <f t="shared" si="16"/>
        <v>(2300)</v>
      </c>
      <c r="AW35" s="19">
        <f t="shared" si="80"/>
        <v>13</v>
      </c>
      <c r="AX35" s="373">
        <f t="shared" si="81"/>
        <v>1.4993055555555557</v>
      </c>
      <c r="AY35" s="374" t="str">
        <f t="shared" si="17"/>
        <v>(0.14)</v>
      </c>
      <c r="AZ35" s="375">
        <v>2</v>
      </c>
      <c r="BA35" s="375">
        <f t="shared" si="18"/>
        <v>2</v>
      </c>
      <c r="BB35" s="375">
        <v>0</v>
      </c>
      <c r="BC35" s="375">
        <f t="shared" si="19"/>
        <v>0</v>
      </c>
      <c r="BD35" s="375">
        <v>0</v>
      </c>
      <c r="BE35" s="375">
        <f t="shared" si="20"/>
        <v>0</v>
      </c>
      <c r="BF35" s="375">
        <f t="shared" si="21"/>
        <v>2</v>
      </c>
      <c r="BG35" s="376">
        <f t="shared" si="22"/>
        <v>10</v>
      </c>
      <c r="BH35" s="373">
        <f t="shared" si="82"/>
        <v>2.3988888888888891</v>
      </c>
      <c r="BI35" s="374" t="str">
        <f t="shared" si="23"/>
        <v>(0.22)</v>
      </c>
      <c r="BJ35" s="375">
        <v>2</v>
      </c>
      <c r="BK35" s="375">
        <f t="shared" si="24"/>
        <v>2</v>
      </c>
      <c r="BL35" s="375">
        <v>0</v>
      </c>
      <c r="BM35" s="375">
        <f t="shared" si="25"/>
        <v>0</v>
      </c>
      <c r="BN35" s="375">
        <v>0</v>
      </c>
      <c r="BO35" s="375">
        <f t="shared" si="26"/>
        <v>0</v>
      </c>
      <c r="BP35" s="375">
        <f t="shared" si="27"/>
        <v>2</v>
      </c>
      <c r="BQ35" s="376">
        <f t="shared" si="28"/>
        <v>16</v>
      </c>
      <c r="BR35" s="373">
        <f t="shared" si="83"/>
        <v>3.2984722222222222</v>
      </c>
      <c r="BS35" s="374" t="str">
        <f t="shared" si="29"/>
        <v>(0.31)</v>
      </c>
      <c r="BT35" s="375">
        <v>2</v>
      </c>
      <c r="BU35" s="375">
        <f t="shared" si="30"/>
        <v>2</v>
      </c>
      <c r="BV35" s="375">
        <v>0</v>
      </c>
      <c r="BW35" s="375">
        <f t="shared" si="31"/>
        <v>0</v>
      </c>
      <c r="BX35" s="375">
        <v>0</v>
      </c>
      <c r="BY35" s="375">
        <f t="shared" si="32"/>
        <v>0</v>
      </c>
      <c r="BZ35" s="375">
        <f t="shared" si="33"/>
        <v>2</v>
      </c>
      <c r="CA35" s="376">
        <f t="shared" si="34"/>
        <v>22</v>
      </c>
      <c r="CB35" s="373">
        <f t="shared" si="84"/>
        <v>4.1980555555555554</v>
      </c>
      <c r="CC35" s="374" t="str">
        <f t="shared" si="35"/>
        <v>(0.39)</v>
      </c>
      <c r="CD35" s="375">
        <v>2</v>
      </c>
      <c r="CE35" s="375">
        <f t="shared" si="36"/>
        <v>2</v>
      </c>
      <c r="CF35" s="375">
        <v>0</v>
      </c>
      <c r="CG35" s="375">
        <f t="shared" si="37"/>
        <v>0</v>
      </c>
      <c r="CH35" s="375">
        <v>0</v>
      </c>
      <c r="CI35" s="375">
        <f t="shared" si="38"/>
        <v>0</v>
      </c>
      <c r="CJ35" s="375">
        <f t="shared" si="39"/>
        <v>2</v>
      </c>
      <c r="CK35" s="376">
        <f t="shared" si="40"/>
        <v>28</v>
      </c>
      <c r="CL35" s="373">
        <f t="shared" si="85"/>
        <v>5.0976388888888886</v>
      </c>
      <c r="CM35" s="374" t="str">
        <f t="shared" si="41"/>
        <v>(0.47)</v>
      </c>
      <c r="CN35" s="375">
        <v>2</v>
      </c>
      <c r="CO35" s="375">
        <f t="shared" si="42"/>
        <v>2</v>
      </c>
      <c r="CP35" s="375">
        <v>0</v>
      </c>
      <c r="CQ35" s="375">
        <f t="shared" si="43"/>
        <v>0</v>
      </c>
      <c r="CR35" s="375">
        <v>0</v>
      </c>
      <c r="CS35" s="375">
        <f t="shared" si="44"/>
        <v>0</v>
      </c>
      <c r="CT35" s="375">
        <f t="shared" si="45"/>
        <v>2</v>
      </c>
      <c r="CU35" s="376">
        <f t="shared" si="46"/>
        <v>34</v>
      </c>
      <c r="CV35" s="373">
        <f t="shared" si="86"/>
        <v>5.9972222222222227</v>
      </c>
      <c r="CW35" s="374" t="str">
        <f t="shared" si="47"/>
        <v>(0.56)</v>
      </c>
      <c r="CX35" s="375">
        <v>2</v>
      </c>
      <c r="CY35" s="375">
        <f t="shared" si="48"/>
        <v>2</v>
      </c>
      <c r="CZ35" s="375">
        <v>0</v>
      </c>
      <c r="DA35" s="375">
        <f t="shared" si="49"/>
        <v>0</v>
      </c>
      <c r="DB35" s="375">
        <v>0</v>
      </c>
      <c r="DC35" s="375">
        <f t="shared" si="50"/>
        <v>0</v>
      </c>
      <c r="DD35" s="375">
        <f t="shared" si="51"/>
        <v>2</v>
      </c>
      <c r="DE35" s="376">
        <f t="shared" si="52"/>
        <v>40</v>
      </c>
      <c r="DF35" s="373">
        <f t="shared" si="100"/>
        <v>6.8968055555555559</v>
      </c>
      <c r="DG35" s="374" t="str">
        <f t="shared" si="53"/>
        <v>(0.64)</v>
      </c>
      <c r="DH35" s="375">
        <v>2</v>
      </c>
      <c r="DI35" s="375">
        <f t="shared" si="54"/>
        <v>2</v>
      </c>
      <c r="DJ35" s="375">
        <v>0</v>
      </c>
      <c r="DK35" s="375">
        <f t="shared" si="55"/>
        <v>0</v>
      </c>
      <c r="DL35" s="375">
        <v>0</v>
      </c>
      <c r="DM35" s="375">
        <f t="shared" si="56"/>
        <v>0</v>
      </c>
      <c r="DN35" s="375">
        <f t="shared" si="57"/>
        <v>2</v>
      </c>
      <c r="DO35" s="376">
        <f t="shared" si="58"/>
        <v>46</v>
      </c>
      <c r="DP35" s="373">
        <f t="shared" si="87"/>
        <v>7.796388888888889</v>
      </c>
      <c r="DQ35" s="374" t="str">
        <f t="shared" si="59"/>
        <v>(0.72)</v>
      </c>
      <c r="DR35" s="375">
        <v>2</v>
      </c>
      <c r="DS35" s="375">
        <f t="shared" si="60"/>
        <v>2</v>
      </c>
      <c r="DT35" s="375">
        <v>0</v>
      </c>
      <c r="DU35" s="375">
        <f t="shared" si="61"/>
        <v>0</v>
      </c>
      <c r="DV35" s="375">
        <f t="shared" si="61"/>
        <v>0</v>
      </c>
      <c r="DW35" s="375">
        <f t="shared" si="62"/>
        <v>0</v>
      </c>
      <c r="DX35" s="375">
        <f t="shared" si="63"/>
        <v>2</v>
      </c>
      <c r="DY35" s="376">
        <f t="shared" si="64"/>
        <v>52</v>
      </c>
      <c r="DZ35" s="373">
        <f t="shared" si="88"/>
        <v>8.6959722222222222</v>
      </c>
      <c r="EA35" s="374" t="str">
        <f t="shared" si="102"/>
        <v>(0.81)</v>
      </c>
      <c r="EB35" s="375">
        <v>2</v>
      </c>
      <c r="EC35" s="375">
        <f t="shared" si="66"/>
        <v>2</v>
      </c>
      <c r="ED35" s="375">
        <v>0</v>
      </c>
      <c r="EE35" s="375">
        <f t="shared" si="67"/>
        <v>0</v>
      </c>
      <c r="EF35" s="375">
        <f t="shared" si="67"/>
        <v>0</v>
      </c>
      <c r="EG35" s="375">
        <f t="shared" si="68"/>
        <v>0</v>
      </c>
      <c r="EH35" s="375">
        <f t="shared" si="69"/>
        <v>2</v>
      </c>
      <c r="EI35" s="376">
        <f t="shared" si="70"/>
        <v>58</v>
      </c>
      <c r="EJ35" s="373">
        <f t="shared" si="89"/>
        <v>9.5955555555555563</v>
      </c>
      <c r="EK35" s="374" t="str">
        <f t="shared" si="103"/>
        <v>(0.89)</v>
      </c>
      <c r="EL35" s="375">
        <v>2</v>
      </c>
      <c r="EM35" s="375">
        <f t="shared" si="90"/>
        <v>2</v>
      </c>
      <c r="EN35" s="375">
        <v>0</v>
      </c>
      <c r="EO35" s="375">
        <f t="shared" ref="EO35:EP35" si="108">$IM35*EN35</f>
        <v>0</v>
      </c>
      <c r="EP35" s="375">
        <f t="shared" si="108"/>
        <v>0</v>
      </c>
      <c r="EQ35" s="375">
        <f t="shared" si="72"/>
        <v>0</v>
      </c>
      <c r="ER35" s="375">
        <f t="shared" si="92"/>
        <v>2</v>
      </c>
      <c r="ES35" s="376">
        <f t="shared" si="73"/>
        <v>64</v>
      </c>
      <c r="ET35" s="373">
        <f t="shared" si="93"/>
        <v>10.495138888888889</v>
      </c>
      <c r="EU35" s="374" t="str">
        <f t="shared" si="74"/>
        <v>(0.98)</v>
      </c>
      <c r="EV35" s="22">
        <v>2</v>
      </c>
      <c r="EW35" s="22">
        <f t="shared" si="75"/>
        <v>2</v>
      </c>
      <c r="EX35" s="22">
        <v>0</v>
      </c>
      <c r="EY35" s="22">
        <f t="shared" si="76"/>
        <v>0</v>
      </c>
      <c r="EZ35" s="30">
        <v>0</v>
      </c>
      <c r="FA35" s="22">
        <f t="shared" si="77"/>
        <v>0</v>
      </c>
      <c r="FB35" s="22">
        <f t="shared" si="78"/>
        <v>2</v>
      </c>
      <c r="FC35" s="23">
        <f t="shared" si="79"/>
        <v>70</v>
      </c>
      <c r="FD35" s="31"/>
      <c r="FE35" s="31"/>
      <c r="FF35" s="32"/>
      <c r="FG35" s="32"/>
      <c r="FH35" s="34"/>
      <c r="FI35" s="32"/>
      <c r="FJ35" s="34"/>
      <c r="FK35" s="32"/>
      <c r="FL35" s="31"/>
      <c r="FM35" s="31"/>
      <c r="FN35" s="31"/>
      <c r="FO35" s="31"/>
      <c r="FP35" s="31"/>
      <c r="FQ35" s="31"/>
      <c r="FR35" s="31"/>
      <c r="FS35" s="31"/>
      <c r="FT35" s="31"/>
      <c r="FU35" s="31"/>
      <c r="FV35" s="31"/>
      <c r="FW35" s="31"/>
      <c r="FX35" s="31"/>
      <c r="FY35" s="31"/>
      <c r="FZ35" s="32"/>
      <c r="GA35" s="32"/>
      <c r="GB35" s="34"/>
      <c r="GC35" s="32"/>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2"/>
      <c r="HE35" s="32"/>
      <c r="HF35" s="34"/>
      <c r="HG35" s="32"/>
      <c r="HH35" s="32"/>
      <c r="HI35" s="32"/>
      <c r="HJ35" s="32"/>
      <c r="HK35" s="32"/>
      <c r="HL35" s="32"/>
      <c r="HM35" s="32"/>
      <c r="HN35" s="32"/>
      <c r="HO35" s="32"/>
      <c r="HP35" s="32"/>
      <c r="HQ35" s="32"/>
      <c r="HR35" s="32"/>
      <c r="HS35" s="32"/>
      <c r="HT35" s="32"/>
      <c r="HU35" s="32"/>
      <c r="HV35" s="31"/>
      <c r="HW35" s="31"/>
      <c r="HX35" s="32"/>
      <c r="HY35" s="32"/>
      <c r="HZ35" s="34"/>
      <c r="IA35" s="32"/>
      <c r="IB35" s="32"/>
      <c r="IC35" s="32"/>
      <c r="ID35" s="33"/>
      <c r="IE35" s="33"/>
      <c r="IF35" s="263"/>
      <c r="IG35" s="25">
        <v>6</v>
      </c>
      <c r="IH35" s="26">
        <v>1.387</v>
      </c>
      <c r="II35" s="26">
        <v>3.2210000000000001</v>
      </c>
      <c r="IJ35" s="26">
        <v>4.0979999999999999</v>
      </c>
      <c r="IK35" s="26">
        <v>1</v>
      </c>
      <c r="IL35" s="26">
        <v>1</v>
      </c>
      <c r="IM35" s="26">
        <v>1.125</v>
      </c>
      <c r="IN35" s="8"/>
    </row>
    <row r="36" spans="1:248" ht="15.75" thickBot="1" x14ac:dyDescent="0.3">
      <c r="B36" s="103">
        <f>B35+6</f>
        <v>114</v>
      </c>
      <c r="C36" s="102">
        <v>19</v>
      </c>
      <c r="D36" s="261"/>
      <c r="E36" s="259"/>
      <c r="F36" s="259"/>
      <c r="G36" s="259"/>
      <c r="H36" s="259"/>
      <c r="I36" s="259"/>
      <c r="J36" s="259"/>
      <c r="K36" s="259"/>
      <c r="L36" s="259"/>
      <c r="M36" s="259"/>
      <c r="N36" s="259"/>
      <c r="O36" s="259"/>
      <c r="P36" s="260"/>
      <c r="Q36" s="260"/>
      <c r="R36" s="259"/>
      <c r="S36" s="259"/>
      <c r="T36" s="259"/>
      <c r="U36" s="259"/>
      <c r="V36" s="259"/>
      <c r="W36" s="64"/>
      <c r="X36" s="65"/>
      <c r="AT36" s="4"/>
      <c r="AU36" s="27">
        <f t="shared" si="94"/>
        <v>96</v>
      </c>
      <c r="AV36" s="28" t="str">
        <f t="shared" si="16"/>
        <v>(2450)</v>
      </c>
      <c r="AW36" s="19">
        <f t="shared" si="80"/>
        <v>14</v>
      </c>
      <c r="AX36" s="373">
        <f t="shared" si="81"/>
        <v>1.7229861111111111</v>
      </c>
      <c r="AY36" s="374" t="str">
        <f t="shared" si="17"/>
        <v>(0.16)</v>
      </c>
      <c r="AZ36" s="375">
        <v>2</v>
      </c>
      <c r="BA36" s="375">
        <f t="shared" si="18"/>
        <v>2</v>
      </c>
      <c r="BB36" s="375">
        <v>0</v>
      </c>
      <c r="BC36" s="375">
        <f t="shared" si="19"/>
        <v>0</v>
      </c>
      <c r="BD36" s="375">
        <v>0</v>
      </c>
      <c r="BE36" s="375">
        <f t="shared" si="20"/>
        <v>0</v>
      </c>
      <c r="BF36" s="375">
        <f t="shared" si="21"/>
        <v>2</v>
      </c>
      <c r="BG36" s="376">
        <f t="shared" si="22"/>
        <v>10</v>
      </c>
      <c r="BH36" s="373">
        <f t="shared" si="82"/>
        <v>2.7567777777777778</v>
      </c>
      <c r="BI36" s="374" t="str">
        <f t="shared" si="23"/>
        <v>(0.26)</v>
      </c>
      <c r="BJ36" s="375">
        <v>2</v>
      </c>
      <c r="BK36" s="375">
        <f t="shared" si="24"/>
        <v>2</v>
      </c>
      <c r="BL36" s="375">
        <v>0</v>
      </c>
      <c r="BM36" s="375">
        <f t="shared" si="25"/>
        <v>0</v>
      </c>
      <c r="BN36" s="375">
        <v>0</v>
      </c>
      <c r="BO36" s="375">
        <f t="shared" si="26"/>
        <v>0</v>
      </c>
      <c r="BP36" s="375">
        <f t="shared" si="27"/>
        <v>2</v>
      </c>
      <c r="BQ36" s="376">
        <f t="shared" si="28"/>
        <v>16</v>
      </c>
      <c r="BR36" s="373">
        <f t="shared" si="83"/>
        <v>3.7905694444444444</v>
      </c>
      <c r="BS36" s="374" t="str">
        <f t="shared" si="29"/>
        <v>(0.35)</v>
      </c>
      <c r="BT36" s="375">
        <v>2</v>
      </c>
      <c r="BU36" s="375">
        <f t="shared" si="30"/>
        <v>2</v>
      </c>
      <c r="BV36" s="375">
        <v>0</v>
      </c>
      <c r="BW36" s="375">
        <f t="shared" si="31"/>
        <v>0</v>
      </c>
      <c r="BX36" s="375">
        <v>0</v>
      </c>
      <c r="BY36" s="375">
        <f t="shared" si="32"/>
        <v>0</v>
      </c>
      <c r="BZ36" s="375">
        <f t="shared" si="33"/>
        <v>2</v>
      </c>
      <c r="CA36" s="376">
        <f t="shared" si="34"/>
        <v>22</v>
      </c>
      <c r="CB36" s="373">
        <f t="shared" si="84"/>
        <v>4.8243611111111111</v>
      </c>
      <c r="CC36" s="374" t="str">
        <f t="shared" si="35"/>
        <v>(0.45)</v>
      </c>
      <c r="CD36" s="375">
        <v>2</v>
      </c>
      <c r="CE36" s="375">
        <f t="shared" si="36"/>
        <v>2</v>
      </c>
      <c r="CF36" s="375">
        <v>0</v>
      </c>
      <c r="CG36" s="375">
        <f t="shared" si="37"/>
        <v>0</v>
      </c>
      <c r="CH36" s="375">
        <v>0</v>
      </c>
      <c r="CI36" s="375">
        <f t="shared" si="38"/>
        <v>0</v>
      </c>
      <c r="CJ36" s="375">
        <f t="shared" si="39"/>
        <v>2</v>
      </c>
      <c r="CK36" s="376">
        <f t="shared" si="40"/>
        <v>28</v>
      </c>
      <c r="CL36" s="373">
        <f t="shared" si="85"/>
        <v>5.8581527777777778</v>
      </c>
      <c r="CM36" s="374" t="str">
        <f t="shared" si="41"/>
        <v>(0.54)</v>
      </c>
      <c r="CN36" s="375">
        <v>2</v>
      </c>
      <c r="CO36" s="375">
        <f t="shared" si="42"/>
        <v>2</v>
      </c>
      <c r="CP36" s="375">
        <v>0</v>
      </c>
      <c r="CQ36" s="375">
        <f t="shared" si="43"/>
        <v>0</v>
      </c>
      <c r="CR36" s="375">
        <v>0</v>
      </c>
      <c r="CS36" s="375">
        <f t="shared" si="44"/>
        <v>0</v>
      </c>
      <c r="CT36" s="375">
        <f t="shared" si="45"/>
        <v>2</v>
      </c>
      <c r="CU36" s="376">
        <f t="shared" si="46"/>
        <v>34</v>
      </c>
      <c r="CV36" s="373">
        <f t="shared" si="86"/>
        <v>6.8919444444444444</v>
      </c>
      <c r="CW36" s="374" t="str">
        <f t="shared" si="47"/>
        <v>(0.64)</v>
      </c>
      <c r="CX36" s="375">
        <v>2</v>
      </c>
      <c r="CY36" s="375">
        <f t="shared" si="48"/>
        <v>2</v>
      </c>
      <c r="CZ36" s="375">
        <v>0</v>
      </c>
      <c r="DA36" s="375">
        <f t="shared" si="49"/>
        <v>0</v>
      </c>
      <c r="DB36" s="375">
        <v>0</v>
      </c>
      <c r="DC36" s="375">
        <f t="shared" si="50"/>
        <v>0</v>
      </c>
      <c r="DD36" s="375">
        <f t="shared" si="51"/>
        <v>2</v>
      </c>
      <c r="DE36" s="376">
        <f t="shared" si="52"/>
        <v>40</v>
      </c>
      <c r="DF36" s="373">
        <f t="shared" si="100"/>
        <v>7.9257361111111111</v>
      </c>
      <c r="DG36" s="374" t="str">
        <f t="shared" si="53"/>
        <v>(0.74)</v>
      </c>
      <c r="DH36" s="375">
        <v>2</v>
      </c>
      <c r="DI36" s="375">
        <f t="shared" si="54"/>
        <v>2</v>
      </c>
      <c r="DJ36" s="375">
        <v>0</v>
      </c>
      <c r="DK36" s="375">
        <f t="shared" si="55"/>
        <v>0</v>
      </c>
      <c r="DL36" s="375">
        <v>0</v>
      </c>
      <c r="DM36" s="375">
        <f t="shared" si="56"/>
        <v>0</v>
      </c>
      <c r="DN36" s="375">
        <f t="shared" si="57"/>
        <v>2</v>
      </c>
      <c r="DO36" s="376">
        <f t="shared" si="58"/>
        <v>46</v>
      </c>
      <c r="DP36" s="373">
        <f t="shared" si="87"/>
        <v>8.9595277777777778</v>
      </c>
      <c r="DQ36" s="374" t="str">
        <f t="shared" si="59"/>
        <v>(0.83)</v>
      </c>
      <c r="DR36" s="375">
        <v>2</v>
      </c>
      <c r="DS36" s="375">
        <f t="shared" si="60"/>
        <v>2</v>
      </c>
      <c r="DT36" s="375">
        <v>0</v>
      </c>
      <c r="DU36" s="375">
        <f t="shared" si="61"/>
        <v>0</v>
      </c>
      <c r="DV36" s="375">
        <f t="shared" si="61"/>
        <v>0</v>
      </c>
      <c r="DW36" s="375">
        <f t="shared" si="62"/>
        <v>0</v>
      </c>
      <c r="DX36" s="375">
        <f t="shared" si="63"/>
        <v>2</v>
      </c>
      <c r="DY36" s="376">
        <f t="shared" si="64"/>
        <v>52</v>
      </c>
      <c r="DZ36" s="373">
        <f t="shared" si="88"/>
        <v>9.9933194444444453</v>
      </c>
      <c r="EA36" s="374" t="str">
        <f t="shared" si="102"/>
        <v>(0.93)</v>
      </c>
      <c r="EB36" s="375">
        <v>2</v>
      </c>
      <c r="EC36" s="375">
        <f t="shared" si="66"/>
        <v>2</v>
      </c>
      <c r="ED36" s="375">
        <v>0</v>
      </c>
      <c r="EE36" s="375">
        <f t="shared" si="67"/>
        <v>0</v>
      </c>
      <c r="EF36" s="375">
        <f t="shared" si="67"/>
        <v>0</v>
      </c>
      <c r="EG36" s="375">
        <f t="shared" si="68"/>
        <v>0</v>
      </c>
      <c r="EH36" s="375">
        <f t="shared" si="69"/>
        <v>2</v>
      </c>
      <c r="EI36" s="376">
        <f t="shared" si="70"/>
        <v>58</v>
      </c>
      <c r="EJ36" s="373">
        <f t="shared" si="89"/>
        <v>11.027111111111111</v>
      </c>
      <c r="EK36" s="374" t="str">
        <f t="shared" si="103"/>
        <v>(1.02)</v>
      </c>
      <c r="EL36" s="375">
        <v>2</v>
      </c>
      <c r="EM36" s="375">
        <f>$IK$23*EL36</f>
        <v>2</v>
      </c>
      <c r="EN36" s="375">
        <v>0</v>
      </c>
      <c r="EO36" s="375">
        <f t="shared" ref="EO36:EP36" si="109">$IM36*EN36</f>
        <v>0</v>
      </c>
      <c r="EP36" s="375">
        <f t="shared" si="109"/>
        <v>0</v>
      </c>
      <c r="EQ36" s="375">
        <f t="shared" si="72"/>
        <v>0</v>
      </c>
      <c r="ER36" s="375">
        <f t="shared" si="92"/>
        <v>2</v>
      </c>
      <c r="ES36" s="376">
        <f t="shared" si="73"/>
        <v>64</v>
      </c>
      <c r="ET36" s="373">
        <f t="shared" si="93"/>
        <v>12.060902777777777</v>
      </c>
      <c r="EU36" s="374" t="str">
        <f t="shared" si="74"/>
        <v>(1.12)</v>
      </c>
      <c r="EV36" s="22">
        <v>2</v>
      </c>
      <c r="EW36" s="22">
        <f t="shared" si="75"/>
        <v>2</v>
      </c>
      <c r="EX36" s="22">
        <v>0</v>
      </c>
      <c r="EY36" s="22">
        <f t="shared" si="76"/>
        <v>0</v>
      </c>
      <c r="EZ36" s="22">
        <v>0</v>
      </c>
      <c r="FA36" s="22">
        <f t="shared" si="77"/>
        <v>0</v>
      </c>
      <c r="FB36" s="22">
        <f t="shared" si="78"/>
        <v>2</v>
      </c>
      <c r="FC36" s="23">
        <f t="shared" si="79"/>
        <v>70</v>
      </c>
      <c r="FD36" s="31"/>
      <c r="FE36" s="31"/>
      <c r="FF36" s="32"/>
      <c r="FG36" s="32"/>
      <c r="FH36" s="32"/>
      <c r="FI36" s="32"/>
      <c r="FJ36" s="32"/>
      <c r="FK36" s="32"/>
      <c r="FL36" s="31"/>
      <c r="FM36" s="31"/>
      <c r="FN36" s="31"/>
      <c r="FO36" s="31"/>
      <c r="FP36" s="31"/>
      <c r="FQ36" s="31"/>
      <c r="FR36" s="31"/>
      <c r="FS36" s="31"/>
      <c r="FT36" s="31"/>
      <c r="FU36" s="31"/>
      <c r="FV36" s="31"/>
      <c r="FW36" s="31"/>
      <c r="FX36" s="31"/>
      <c r="FY36" s="31"/>
      <c r="FZ36" s="32"/>
      <c r="GA36" s="32"/>
      <c r="GB36" s="32"/>
      <c r="GC36" s="32"/>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2"/>
      <c r="HE36" s="32"/>
      <c r="HF36" s="32"/>
      <c r="HG36" s="32"/>
      <c r="HH36" s="32"/>
      <c r="HI36" s="32"/>
      <c r="HJ36" s="32"/>
      <c r="HK36" s="32"/>
      <c r="HL36" s="32"/>
      <c r="HM36" s="32"/>
      <c r="HN36" s="32"/>
      <c r="HO36" s="32"/>
      <c r="HP36" s="32"/>
      <c r="HQ36" s="32"/>
      <c r="HR36" s="32"/>
      <c r="HS36" s="32"/>
      <c r="HT36" s="32"/>
      <c r="HU36" s="32"/>
      <c r="HV36" s="31"/>
      <c r="HW36" s="31"/>
      <c r="HX36" s="32"/>
      <c r="HY36" s="32"/>
      <c r="HZ36" s="32"/>
      <c r="IA36" s="32"/>
      <c r="IB36" s="32"/>
      <c r="IC36" s="32"/>
      <c r="ID36" s="33"/>
      <c r="IE36" s="33"/>
      <c r="IF36" s="263"/>
      <c r="IG36" s="25">
        <v>7</v>
      </c>
      <c r="IH36" s="26">
        <v>1.387</v>
      </c>
      <c r="II36" s="26">
        <v>3.2210000000000001</v>
      </c>
      <c r="IJ36" s="26">
        <v>4.0979999999999999</v>
      </c>
      <c r="IK36" s="26">
        <v>1</v>
      </c>
      <c r="IL36" s="26">
        <v>1</v>
      </c>
      <c r="IM36" s="26">
        <v>1.125</v>
      </c>
      <c r="IN36" s="8"/>
    </row>
    <row r="37" spans="1:248" ht="15.75" thickBot="1" x14ac:dyDescent="0.3">
      <c r="B37" s="103">
        <f t="shared" si="15"/>
        <v>120</v>
      </c>
      <c r="C37" s="102">
        <v>20</v>
      </c>
      <c r="D37" s="261"/>
      <c r="E37" s="259"/>
      <c r="F37" s="259"/>
      <c r="G37" s="259"/>
      <c r="H37" s="259"/>
      <c r="I37" s="259"/>
      <c r="J37" s="259"/>
      <c r="K37" s="259"/>
      <c r="L37" s="259"/>
      <c r="M37" s="259"/>
      <c r="N37" s="259"/>
      <c r="O37" s="259"/>
      <c r="P37" s="260"/>
      <c r="Q37" s="260"/>
      <c r="R37" s="259"/>
      <c r="S37" s="259"/>
      <c r="T37" s="259"/>
      <c r="U37" s="259"/>
      <c r="V37" s="259"/>
      <c r="W37" s="64"/>
      <c r="X37" s="65"/>
      <c r="AT37" s="4"/>
      <c r="AU37" s="27">
        <f t="shared" si="94"/>
        <v>102</v>
      </c>
      <c r="AV37" s="28" t="str">
        <f t="shared" si="16"/>
        <v>(2600)</v>
      </c>
      <c r="AW37" s="19">
        <f t="shared" si="80"/>
        <v>15</v>
      </c>
      <c r="AX37" s="202"/>
      <c r="AY37" s="203"/>
      <c r="AZ37" s="204"/>
      <c r="BA37" s="204"/>
      <c r="BB37" s="204"/>
      <c r="BC37" s="204"/>
      <c r="BD37" s="204"/>
      <c r="BE37" s="204"/>
      <c r="BF37" s="204"/>
      <c r="BG37" s="205"/>
      <c r="BH37" s="202"/>
      <c r="BI37" s="203"/>
      <c r="BJ37" s="204"/>
      <c r="BK37" s="204"/>
      <c r="BL37" s="204"/>
      <c r="BM37" s="204"/>
      <c r="BN37" s="204"/>
      <c r="BO37" s="204"/>
      <c r="BP37" s="204"/>
      <c r="BQ37" s="205"/>
      <c r="BR37" s="202"/>
      <c r="BS37" s="203"/>
      <c r="BT37" s="204"/>
      <c r="BU37" s="204"/>
      <c r="BV37" s="204"/>
      <c r="BW37" s="204"/>
      <c r="BX37" s="204"/>
      <c r="BY37" s="204"/>
      <c r="BZ37" s="204"/>
      <c r="CA37" s="205"/>
      <c r="CB37" s="202"/>
      <c r="CC37" s="203"/>
      <c r="CD37" s="204"/>
      <c r="CE37" s="204"/>
      <c r="CF37" s="204"/>
      <c r="CG37" s="204"/>
      <c r="CH37" s="204"/>
      <c r="CI37" s="204"/>
      <c r="CJ37" s="204"/>
      <c r="CK37" s="205"/>
      <c r="CL37" s="202"/>
      <c r="CM37" s="203"/>
      <c r="CN37" s="204"/>
      <c r="CO37" s="204"/>
      <c r="CP37" s="204"/>
      <c r="CQ37" s="204"/>
      <c r="CR37" s="204"/>
      <c r="CS37" s="204"/>
      <c r="CT37" s="204"/>
      <c r="CU37" s="205"/>
      <c r="CV37" s="202"/>
      <c r="CW37" s="203"/>
      <c r="CX37" s="204"/>
      <c r="CY37" s="204"/>
      <c r="CZ37" s="204"/>
      <c r="DA37" s="204"/>
      <c r="DB37" s="204"/>
      <c r="DC37" s="204"/>
      <c r="DD37" s="204"/>
      <c r="DE37" s="205"/>
      <c r="DF37" s="202"/>
      <c r="DG37" s="203"/>
      <c r="DH37" s="204"/>
      <c r="DI37" s="204"/>
      <c r="DJ37" s="204"/>
      <c r="DK37" s="204"/>
      <c r="DL37" s="204"/>
      <c r="DM37" s="204"/>
      <c r="DN37" s="204"/>
      <c r="DO37" s="205"/>
      <c r="DP37" s="202"/>
      <c r="DQ37" s="203"/>
      <c r="DR37" s="204"/>
      <c r="DS37" s="204"/>
      <c r="DT37" s="204"/>
      <c r="DU37" s="204"/>
      <c r="DV37" s="204"/>
      <c r="DW37" s="204"/>
      <c r="DX37" s="204"/>
      <c r="DY37" s="205"/>
      <c r="DZ37" s="202"/>
      <c r="EA37" s="203"/>
      <c r="EB37" s="204"/>
      <c r="EC37" s="204"/>
      <c r="ED37" s="204"/>
      <c r="EE37" s="204"/>
      <c r="EF37" s="204"/>
      <c r="EG37" s="204"/>
      <c r="EH37" s="204"/>
      <c r="EI37" s="205"/>
      <c r="EJ37" s="202"/>
      <c r="EK37" s="203"/>
      <c r="EL37" s="204"/>
      <c r="EM37" s="204"/>
      <c r="EN37" s="204"/>
      <c r="EO37" s="204"/>
      <c r="EP37" s="204"/>
      <c r="EQ37" s="204"/>
      <c r="ER37" s="204"/>
      <c r="ES37" s="205"/>
      <c r="ET37" s="202"/>
      <c r="EU37" s="203"/>
      <c r="EV37" s="204"/>
      <c r="EW37" s="204"/>
      <c r="EX37" s="204"/>
      <c r="EY37" s="204"/>
      <c r="EZ37" s="204"/>
      <c r="FA37" s="204"/>
      <c r="FB37" s="204"/>
      <c r="FC37" s="205"/>
      <c r="FD37" s="31"/>
      <c r="FE37" s="31"/>
      <c r="FF37" s="32"/>
      <c r="FG37" s="32"/>
      <c r="FH37" s="32"/>
      <c r="FI37" s="32"/>
      <c r="FJ37" s="32"/>
      <c r="FK37" s="32"/>
      <c r="FL37" s="31"/>
      <c r="FM37" s="31"/>
      <c r="FN37" s="31"/>
      <c r="FO37" s="31"/>
      <c r="FP37" s="31"/>
      <c r="FQ37" s="31"/>
      <c r="FR37" s="31"/>
      <c r="FS37" s="31"/>
      <c r="FT37" s="31"/>
      <c r="FU37" s="31"/>
      <c r="FV37" s="31"/>
      <c r="FW37" s="31"/>
      <c r="FX37" s="31"/>
      <c r="FY37" s="31"/>
      <c r="FZ37" s="32"/>
      <c r="GA37" s="32"/>
      <c r="GB37" s="32"/>
      <c r="GC37" s="32"/>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2"/>
      <c r="HE37" s="32"/>
      <c r="HF37" s="32"/>
      <c r="HG37" s="32"/>
      <c r="HH37" s="32"/>
      <c r="HI37" s="32"/>
      <c r="HJ37" s="32"/>
      <c r="HK37" s="32"/>
      <c r="HL37" s="32"/>
      <c r="HM37" s="32"/>
      <c r="HN37" s="32"/>
      <c r="HO37" s="32"/>
      <c r="HP37" s="32"/>
      <c r="HQ37" s="32"/>
      <c r="HR37" s="32"/>
      <c r="HS37" s="32"/>
      <c r="HT37" s="32"/>
      <c r="HU37" s="32"/>
      <c r="HV37" s="31"/>
      <c r="HW37" s="31"/>
      <c r="HX37" s="32"/>
      <c r="HY37" s="32"/>
      <c r="HZ37" s="32"/>
      <c r="IA37" s="32"/>
      <c r="IB37" s="32"/>
      <c r="IC37" s="32"/>
      <c r="ID37" s="33"/>
      <c r="IE37" s="33"/>
      <c r="IF37" s="33"/>
      <c r="IG37" s="25"/>
      <c r="IH37" s="26"/>
      <c r="II37" s="26"/>
      <c r="IJ37" s="26"/>
      <c r="IK37" s="26"/>
      <c r="IL37" s="26"/>
      <c r="IM37" s="26"/>
      <c r="IN37" s="8"/>
    </row>
    <row r="38" spans="1:248" ht="15.75" thickBot="1" x14ac:dyDescent="0.3">
      <c r="B38" s="66"/>
      <c r="C38" s="64"/>
      <c r="D38" s="64"/>
      <c r="E38" s="64"/>
      <c r="F38" s="64"/>
      <c r="G38" s="64"/>
      <c r="H38" s="64"/>
      <c r="I38" s="64"/>
      <c r="J38" s="64"/>
      <c r="K38" s="64"/>
      <c r="L38" s="64"/>
      <c r="M38" s="64"/>
      <c r="N38" s="64"/>
      <c r="O38" s="64"/>
      <c r="P38" s="64"/>
      <c r="Q38" s="64"/>
      <c r="R38" s="64"/>
      <c r="S38" s="64"/>
      <c r="T38" s="64"/>
      <c r="U38" s="64"/>
      <c r="V38" s="64"/>
      <c r="W38" s="64"/>
      <c r="X38" s="65"/>
      <c r="AA38" s="83"/>
      <c r="AT38" s="4"/>
      <c r="AU38" s="27">
        <f t="shared" si="94"/>
        <v>108</v>
      </c>
      <c r="AV38" s="28" t="str">
        <f t="shared" si="16"/>
        <v>(2750)</v>
      </c>
      <c r="AW38" s="19">
        <f t="shared" si="80"/>
        <v>16</v>
      </c>
      <c r="AX38" s="202"/>
      <c r="AY38" s="203"/>
      <c r="AZ38" s="204"/>
      <c r="BA38" s="204"/>
      <c r="BB38" s="204"/>
      <c r="BC38" s="204"/>
      <c r="BD38" s="204"/>
      <c r="BE38" s="204"/>
      <c r="BF38" s="204"/>
      <c r="BG38" s="205"/>
      <c r="BH38" s="202"/>
      <c r="BI38" s="203"/>
      <c r="BJ38" s="204"/>
      <c r="BK38" s="204"/>
      <c r="BL38" s="204"/>
      <c r="BM38" s="204"/>
      <c r="BN38" s="204"/>
      <c r="BO38" s="204"/>
      <c r="BP38" s="204"/>
      <c r="BQ38" s="205"/>
      <c r="BR38" s="202"/>
      <c r="BS38" s="203"/>
      <c r="BT38" s="204"/>
      <c r="BU38" s="204"/>
      <c r="BV38" s="204"/>
      <c r="BW38" s="204"/>
      <c r="BX38" s="204"/>
      <c r="BY38" s="204"/>
      <c r="BZ38" s="204"/>
      <c r="CA38" s="205"/>
      <c r="CB38" s="202"/>
      <c r="CC38" s="203"/>
      <c r="CD38" s="204"/>
      <c r="CE38" s="204"/>
      <c r="CF38" s="204"/>
      <c r="CG38" s="204"/>
      <c r="CH38" s="204"/>
      <c r="CI38" s="204"/>
      <c r="CJ38" s="204"/>
      <c r="CK38" s="205"/>
      <c r="CL38" s="202"/>
      <c r="CM38" s="203"/>
      <c r="CN38" s="204"/>
      <c r="CO38" s="204"/>
      <c r="CP38" s="204"/>
      <c r="CQ38" s="204"/>
      <c r="CR38" s="204"/>
      <c r="CS38" s="204"/>
      <c r="CT38" s="204"/>
      <c r="CU38" s="205"/>
      <c r="CV38" s="202"/>
      <c r="CW38" s="203"/>
      <c r="CX38" s="204"/>
      <c r="CY38" s="204"/>
      <c r="CZ38" s="204"/>
      <c r="DA38" s="204"/>
      <c r="DB38" s="204"/>
      <c r="DC38" s="204"/>
      <c r="DD38" s="204"/>
      <c r="DE38" s="205"/>
      <c r="DF38" s="202"/>
      <c r="DG38" s="203"/>
      <c r="DH38" s="204"/>
      <c r="DI38" s="204"/>
      <c r="DJ38" s="204"/>
      <c r="DK38" s="204"/>
      <c r="DL38" s="204"/>
      <c r="DM38" s="204"/>
      <c r="DN38" s="204"/>
      <c r="DO38" s="205"/>
      <c r="DP38" s="202"/>
      <c r="DQ38" s="203"/>
      <c r="DR38" s="204"/>
      <c r="DS38" s="204"/>
      <c r="DT38" s="204"/>
      <c r="DU38" s="204"/>
      <c r="DV38" s="204"/>
      <c r="DW38" s="204"/>
      <c r="DX38" s="204"/>
      <c r="DY38" s="205"/>
      <c r="DZ38" s="202"/>
      <c r="EA38" s="203"/>
      <c r="EB38" s="204"/>
      <c r="EC38" s="204"/>
      <c r="ED38" s="204"/>
      <c r="EE38" s="204"/>
      <c r="EF38" s="204"/>
      <c r="EG38" s="204"/>
      <c r="EH38" s="204"/>
      <c r="EI38" s="205"/>
      <c r="EJ38" s="202"/>
      <c r="EK38" s="203"/>
      <c r="EL38" s="204"/>
      <c r="EM38" s="204"/>
      <c r="EN38" s="204"/>
      <c r="EO38" s="204"/>
      <c r="EP38" s="204"/>
      <c r="EQ38" s="204"/>
      <c r="ER38" s="204"/>
      <c r="ES38" s="205"/>
      <c r="ET38" s="202"/>
      <c r="EU38" s="203"/>
      <c r="EV38" s="204"/>
      <c r="EW38" s="204"/>
      <c r="EX38" s="204"/>
      <c r="EY38" s="204"/>
      <c r="EZ38" s="204"/>
      <c r="FA38" s="204"/>
      <c r="FB38" s="204"/>
      <c r="FC38" s="205"/>
      <c r="FD38" s="31"/>
      <c r="FE38" s="31"/>
      <c r="FF38" s="32"/>
      <c r="FG38" s="32"/>
      <c r="FH38" s="32"/>
      <c r="FI38" s="32"/>
      <c r="FJ38" s="32"/>
      <c r="FK38" s="32"/>
      <c r="FL38" s="31"/>
      <c r="FM38" s="31"/>
      <c r="FN38" s="31"/>
      <c r="FO38" s="31"/>
      <c r="FP38" s="31"/>
      <c r="FQ38" s="31"/>
      <c r="FR38" s="31"/>
      <c r="FS38" s="31"/>
      <c r="FT38" s="31"/>
      <c r="FU38" s="31"/>
      <c r="FV38" s="31"/>
      <c r="FW38" s="31"/>
      <c r="FX38" s="31"/>
      <c r="FY38" s="31"/>
      <c r="FZ38" s="32"/>
      <c r="GA38" s="32"/>
      <c r="GB38" s="32"/>
      <c r="GC38" s="32"/>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2"/>
      <c r="HE38" s="32"/>
      <c r="HF38" s="32"/>
      <c r="HG38" s="32"/>
      <c r="HH38" s="32"/>
      <c r="HI38" s="32"/>
      <c r="HJ38" s="32"/>
      <c r="HK38" s="32"/>
      <c r="HL38" s="32"/>
      <c r="HM38" s="32"/>
      <c r="HN38" s="32"/>
      <c r="HO38" s="32"/>
      <c r="HP38" s="32"/>
      <c r="HQ38" s="32"/>
      <c r="HR38" s="32"/>
      <c r="HS38" s="32"/>
      <c r="HT38" s="32"/>
      <c r="HU38" s="32"/>
      <c r="HV38" s="31"/>
      <c r="HW38" s="31"/>
      <c r="HX38" s="32"/>
      <c r="HY38" s="32"/>
      <c r="HZ38" s="32"/>
      <c r="IA38" s="32"/>
      <c r="IB38" s="32"/>
      <c r="IC38" s="32"/>
      <c r="ID38" s="33"/>
      <c r="IE38" s="33"/>
      <c r="IF38" s="33"/>
      <c r="IG38" s="25"/>
      <c r="IH38" s="26"/>
      <c r="II38" s="26"/>
      <c r="IJ38" s="26"/>
      <c r="IK38" s="26"/>
      <c r="IL38" s="26"/>
      <c r="IM38" s="26"/>
      <c r="IN38" s="8"/>
    </row>
    <row r="39" spans="1:248" ht="15.75" thickBot="1" x14ac:dyDescent="0.3">
      <c r="B39" s="66"/>
      <c r="C39" s="64"/>
      <c r="D39" s="64"/>
      <c r="E39" s="64"/>
      <c r="F39" s="64"/>
      <c r="G39" s="64"/>
      <c r="H39" s="64"/>
      <c r="I39" s="64"/>
      <c r="J39" s="64"/>
      <c r="K39" s="64"/>
      <c r="L39" s="64"/>
      <c r="M39" s="64"/>
      <c r="N39" s="64"/>
      <c r="O39" s="64"/>
      <c r="P39" s="64"/>
      <c r="Q39" s="64"/>
      <c r="R39" s="64"/>
      <c r="S39" s="64"/>
      <c r="T39" s="64"/>
      <c r="U39" s="64"/>
      <c r="V39" s="64"/>
      <c r="W39" s="64"/>
      <c r="X39" s="65"/>
      <c r="AT39" s="4"/>
      <c r="AU39" s="27">
        <f t="shared" si="94"/>
        <v>114</v>
      </c>
      <c r="AV39" s="28" t="str">
        <f t="shared" si="16"/>
        <v>(2900)</v>
      </c>
      <c r="AW39" s="19">
        <f t="shared" si="80"/>
        <v>17</v>
      </c>
      <c r="AX39" s="202"/>
      <c r="AY39" s="203"/>
      <c r="AZ39" s="204"/>
      <c r="BA39" s="204"/>
      <c r="BB39" s="204"/>
      <c r="BC39" s="204"/>
      <c r="BD39" s="204"/>
      <c r="BE39" s="204"/>
      <c r="BF39" s="204"/>
      <c r="BG39" s="205"/>
      <c r="BH39" s="202"/>
      <c r="BI39" s="203"/>
      <c r="BJ39" s="204"/>
      <c r="BK39" s="204"/>
      <c r="BL39" s="204"/>
      <c r="BM39" s="204"/>
      <c r="BN39" s="204"/>
      <c r="BO39" s="204"/>
      <c r="BP39" s="204"/>
      <c r="BQ39" s="205"/>
      <c r="BR39" s="202"/>
      <c r="BS39" s="203"/>
      <c r="BT39" s="204"/>
      <c r="BU39" s="204"/>
      <c r="BV39" s="204"/>
      <c r="BW39" s="204"/>
      <c r="BX39" s="204"/>
      <c r="BY39" s="204"/>
      <c r="BZ39" s="204"/>
      <c r="CA39" s="205"/>
      <c r="CB39" s="202"/>
      <c r="CC39" s="203"/>
      <c r="CD39" s="204"/>
      <c r="CE39" s="204"/>
      <c r="CF39" s="204"/>
      <c r="CG39" s="204"/>
      <c r="CH39" s="204"/>
      <c r="CI39" s="204"/>
      <c r="CJ39" s="204"/>
      <c r="CK39" s="205"/>
      <c r="CL39" s="202"/>
      <c r="CM39" s="203"/>
      <c r="CN39" s="204"/>
      <c r="CO39" s="204"/>
      <c r="CP39" s="204"/>
      <c r="CQ39" s="204"/>
      <c r="CR39" s="204"/>
      <c r="CS39" s="204"/>
      <c r="CT39" s="204"/>
      <c r="CU39" s="205"/>
      <c r="CV39" s="202"/>
      <c r="CW39" s="203"/>
      <c r="CX39" s="204"/>
      <c r="CY39" s="204"/>
      <c r="CZ39" s="204"/>
      <c r="DA39" s="204"/>
      <c r="DB39" s="204"/>
      <c r="DC39" s="204"/>
      <c r="DD39" s="204"/>
      <c r="DE39" s="205"/>
      <c r="DF39" s="202"/>
      <c r="DG39" s="203"/>
      <c r="DH39" s="204"/>
      <c r="DI39" s="204"/>
      <c r="DJ39" s="204"/>
      <c r="DK39" s="204"/>
      <c r="DL39" s="204"/>
      <c r="DM39" s="204"/>
      <c r="DN39" s="204"/>
      <c r="DO39" s="205"/>
      <c r="DP39" s="202"/>
      <c r="DQ39" s="203"/>
      <c r="DR39" s="204"/>
      <c r="DS39" s="204"/>
      <c r="DT39" s="204"/>
      <c r="DU39" s="204"/>
      <c r="DV39" s="204"/>
      <c r="DW39" s="204"/>
      <c r="DX39" s="204"/>
      <c r="DY39" s="205"/>
      <c r="DZ39" s="202"/>
      <c r="EA39" s="203"/>
      <c r="EB39" s="204"/>
      <c r="EC39" s="204"/>
      <c r="ED39" s="204"/>
      <c r="EE39" s="204"/>
      <c r="EF39" s="204"/>
      <c r="EG39" s="204"/>
      <c r="EH39" s="204"/>
      <c r="EI39" s="205"/>
      <c r="EJ39" s="202"/>
      <c r="EK39" s="203"/>
      <c r="EL39" s="204"/>
      <c r="EM39" s="204"/>
      <c r="EN39" s="204"/>
      <c r="EO39" s="204"/>
      <c r="EP39" s="204"/>
      <c r="EQ39" s="204"/>
      <c r="ER39" s="204"/>
      <c r="ES39" s="205"/>
      <c r="ET39" s="202"/>
      <c r="EU39" s="203"/>
      <c r="EV39" s="204"/>
      <c r="EW39" s="204"/>
      <c r="EX39" s="204"/>
      <c r="EY39" s="204"/>
      <c r="EZ39" s="204"/>
      <c r="FA39" s="204"/>
      <c r="FB39" s="204"/>
      <c r="FC39" s="205"/>
      <c r="FD39" s="31"/>
      <c r="FE39" s="31"/>
      <c r="FF39" s="32"/>
      <c r="FG39" s="32"/>
      <c r="FH39" s="32"/>
      <c r="FI39" s="32"/>
      <c r="FJ39" s="32"/>
      <c r="FK39" s="32"/>
      <c r="FL39" s="6"/>
      <c r="FM39" s="6"/>
      <c r="FN39" s="6"/>
      <c r="FO39" s="6"/>
      <c r="FP39" s="6"/>
      <c r="FQ39" s="6"/>
      <c r="FR39" s="6"/>
      <c r="FS39" s="6"/>
      <c r="FT39" s="6"/>
      <c r="FU39" s="6"/>
      <c r="FV39" s="6"/>
      <c r="FW39" s="6"/>
      <c r="FX39" s="31"/>
      <c r="FY39" s="31"/>
      <c r="FZ39" s="32"/>
      <c r="GA39" s="32"/>
      <c r="GB39" s="32"/>
      <c r="GC39" s="32"/>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2"/>
      <c r="HE39" s="32"/>
      <c r="HF39" s="32"/>
      <c r="HG39" s="32"/>
      <c r="HH39" s="32"/>
      <c r="HI39" s="32"/>
      <c r="HJ39" s="32"/>
      <c r="HK39" s="32"/>
      <c r="HL39" s="32"/>
      <c r="HM39" s="32"/>
      <c r="HN39" s="32"/>
      <c r="HO39" s="32"/>
      <c r="HP39" s="32"/>
      <c r="HQ39" s="32"/>
      <c r="HR39" s="32"/>
      <c r="HS39" s="32"/>
      <c r="HT39" s="32"/>
      <c r="HU39" s="32"/>
      <c r="HV39" s="31"/>
      <c r="HW39" s="31"/>
      <c r="HX39" s="32"/>
      <c r="HY39" s="32"/>
      <c r="HZ39" s="32"/>
      <c r="IA39" s="32"/>
      <c r="IB39" s="32"/>
      <c r="IC39" s="32"/>
      <c r="ID39" s="33"/>
      <c r="IE39" s="33"/>
      <c r="IF39" s="33"/>
      <c r="IG39" s="25"/>
      <c r="IH39" s="26"/>
      <c r="II39" s="26"/>
      <c r="IJ39" s="26"/>
      <c r="IK39" s="26"/>
      <c r="IL39" s="26"/>
      <c r="IM39" s="26"/>
      <c r="IN39" s="8"/>
    </row>
    <row r="40" spans="1:248" ht="15.75" thickBot="1" x14ac:dyDescent="0.3">
      <c r="B40" s="67"/>
      <c r="C40" s="68"/>
      <c r="D40" s="68"/>
      <c r="E40" s="68"/>
      <c r="F40" s="68"/>
      <c r="G40" s="68"/>
      <c r="H40" s="68"/>
      <c r="I40" s="68"/>
      <c r="J40" s="68"/>
      <c r="K40" s="68"/>
      <c r="L40" s="68"/>
      <c r="M40" s="68"/>
      <c r="N40" s="68"/>
      <c r="O40" s="68"/>
      <c r="P40" s="68"/>
      <c r="Q40" s="68"/>
      <c r="R40" s="68"/>
      <c r="S40" s="68"/>
      <c r="T40" s="68"/>
      <c r="U40" s="68"/>
      <c r="V40" s="68"/>
      <c r="W40" s="68"/>
      <c r="X40" s="69"/>
      <c r="AT40" s="4"/>
      <c r="AU40" s="27">
        <f t="shared" si="94"/>
        <v>120</v>
      </c>
      <c r="AV40" s="28" t="str">
        <f t="shared" si="16"/>
        <v>(3050)</v>
      </c>
      <c r="AW40" s="19">
        <f t="shared" si="80"/>
        <v>18</v>
      </c>
      <c r="AX40" s="202"/>
      <c r="AY40" s="203"/>
      <c r="AZ40" s="204"/>
      <c r="BA40" s="204"/>
      <c r="BB40" s="204"/>
      <c r="BC40" s="204"/>
      <c r="BD40" s="204"/>
      <c r="BE40" s="204"/>
      <c r="BF40" s="204"/>
      <c r="BG40" s="205"/>
      <c r="BH40" s="202"/>
      <c r="BI40" s="203"/>
      <c r="BJ40" s="204"/>
      <c r="BK40" s="204"/>
      <c r="BL40" s="204"/>
      <c r="BM40" s="204"/>
      <c r="BN40" s="204"/>
      <c r="BO40" s="204"/>
      <c r="BP40" s="204"/>
      <c r="BQ40" s="205"/>
      <c r="BR40" s="202"/>
      <c r="BS40" s="203"/>
      <c r="BT40" s="204"/>
      <c r="BU40" s="204"/>
      <c r="BV40" s="204"/>
      <c r="BW40" s="204"/>
      <c r="BX40" s="204"/>
      <c r="BY40" s="204"/>
      <c r="BZ40" s="204"/>
      <c r="CA40" s="205"/>
      <c r="CB40" s="202"/>
      <c r="CC40" s="203"/>
      <c r="CD40" s="204"/>
      <c r="CE40" s="204"/>
      <c r="CF40" s="204"/>
      <c r="CG40" s="204"/>
      <c r="CH40" s="204"/>
      <c r="CI40" s="204"/>
      <c r="CJ40" s="204"/>
      <c r="CK40" s="205"/>
      <c r="CL40" s="202"/>
      <c r="CM40" s="203"/>
      <c r="CN40" s="204"/>
      <c r="CO40" s="204"/>
      <c r="CP40" s="204"/>
      <c r="CQ40" s="204"/>
      <c r="CR40" s="204"/>
      <c r="CS40" s="204"/>
      <c r="CT40" s="204"/>
      <c r="CU40" s="205"/>
      <c r="CV40" s="202"/>
      <c r="CW40" s="203"/>
      <c r="CX40" s="204"/>
      <c r="CY40" s="204"/>
      <c r="CZ40" s="204"/>
      <c r="DA40" s="204"/>
      <c r="DB40" s="204"/>
      <c r="DC40" s="204"/>
      <c r="DD40" s="204"/>
      <c r="DE40" s="205"/>
      <c r="DF40" s="202"/>
      <c r="DG40" s="203"/>
      <c r="DH40" s="204"/>
      <c r="DI40" s="204"/>
      <c r="DJ40" s="204"/>
      <c r="DK40" s="204"/>
      <c r="DL40" s="204"/>
      <c r="DM40" s="204"/>
      <c r="DN40" s="204"/>
      <c r="DO40" s="205"/>
      <c r="DP40" s="202"/>
      <c r="DQ40" s="203"/>
      <c r="DR40" s="204"/>
      <c r="DS40" s="204"/>
      <c r="DT40" s="204"/>
      <c r="DU40" s="204"/>
      <c r="DV40" s="204"/>
      <c r="DW40" s="204"/>
      <c r="DX40" s="204"/>
      <c r="DY40" s="205"/>
      <c r="DZ40" s="202"/>
      <c r="EA40" s="203"/>
      <c r="EB40" s="204"/>
      <c r="EC40" s="204"/>
      <c r="ED40" s="204"/>
      <c r="EE40" s="204"/>
      <c r="EF40" s="204"/>
      <c r="EG40" s="204"/>
      <c r="EH40" s="204"/>
      <c r="EI40" s="205"/>
      <c r="EJ40" s="202"/>
      <c r="EK40" s="203"/>
      <c r="EL40" s="204"/>
      <c r="EM40" s="204"/>
      <c r="EN40" s="204"/>
      <c r="EO40" s="204"/>
      <c r="EP40" s="204"/>
      <c r="EQ40" s="204"/>
      <c r="ER40" s="204"/>
      <c r="ES40" s="205"/>
      <c r="ET40" s="202"/>
      <c r="EU40" s="203"/>
      <c r="EV40" s="204"/>
      <c r="EW40" s="204"/>
      <c r="EX40" s="204"/>
      <c r="EY40" s="204"/>
      <c r="EZ40" s="204"/>
      <c r="FA40" s="204"/>
      <c r="FB40" s="204"/>
      <c r="FC40" s="205"/>
      <c r="FD40" s="31"/>
      <c r="FE40" s="31"/>
      <c r="FF40" s="32"/>
      <c r="FG40" s="32"/>
      <c r="FH40" s="34"/>
      <c r="FI40" s="32"/>
      <c r="FJ40" s="34"/>
      <c r="FK40" s="32"/>
      <c r="FL40" s="31"/>
      <c r="FM40" s="31"/>
      <c r="FN40" s="31"/>
      <c r="FO40" s="31"/>
      <c r="FP40" s="31"/>
      <c r="FQ40" s="31"/>
      <c r="FR40" s="31"/>
      <c r="FS40" s="31"/>
      <c r="FT40" s="31"/>
      <c r="FU40" s="31"/>
      <c r="FV40" s="31"/>
      <c r="FW40" s="31"/>
      <c r="FX40" s="31"/>
      <c r="FY40" s="31"/>
      <c r="FZ40" s="32"/>
      <c r="GA40" s="32"/>
      <c r="GB40" s="34"/>
      <c r="GC40" s="32"/>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2"/>
      <c r="HE40" s="32"/>
      <c r="HF40" s="34"/>
      <c r="HG40" s="32"/>
      <c r="HH40" s="32"/>
      <c r="HI40" s="32"/>
      <c r="HJ40" s="32"/>
      <c r="HK40" s="32"/>
      <c r="HL40" s="32"/>
      <c r="HM40" s="32"/>
      <c r="HN40" s="32"/>
      <c r="HO40" s="32"/>
      <c r="HP40" s="32"/>
      <c r="HQ40" s="32"/>
      <c r="HR40" s="32"/>
      <c r="HS40" s="32"/>
      <c r="HT40" s="32"/>
      <c r="HU40" s="32"/>
      <c r="HV40" s="31"/>
      <c r="HW40" s="31"/>
      <c r="HX40" s="32"/>
      <c r="HY40" s="32"/>
      <c r="HZ40" s="34"/>
      <c r="IA40" s="32"/>
      <c r="IB40" s="32"/>
      <c r="IC40" s="32"/>
      <c r="ID40" s="33"/>
      <c r="IE40" s="33"/>
      <c r="IF40" s="33"/>
      <c r="IG40" s="25"/>
      <c r="IH40" s="26"/>
      <c r="II40" s="26"/>
      <c r="IJ40" s="26"/>
      <c r="IK40" s="26"/>
      <c r="IL40" s="26"/>
      <c r="IM40" s="26"/>
      <c r="IN40" s="8"/>
    </row>
    <row r="41" spans="1:248" ht="15.75" thickBot="1" x14ac:dyDescent="0.3">
      <c r="AT41" s="35"/>
      <c r="AU41" s="36"/>
      <c r="AV41" s="36"/>
      <c r="AW41" s="36"/>
      <c r="AX41" s="37"/>
      <c r="AY41" s="340"/>
      <c r="AZ41" s="340"/>
      <c r="BA41" s="340"/>
      <c r="BB41" s="340"/>
      <c r="BC41" s="340"/>
      <c r="BD41" s="340"/>
      <c r="BE41" s="340"/>
      <c r="BF41" s="340"/>
      <c r="BG41" s="340"/>
      <c r="BH41" s="350"/>
      <c r="BI41" s="340"/>
      <c r="BJ41" s="340"/>
      <c r="BK41" s="340"/>
      <c r="BL41" s="340"/>
      <c r="BM41" s="340"/>
      <c r="BN41" s="340"/>
      <c r="BO41" s="340"/>
      <c r="BP41" s="340"/>
      <c r="BQ41" s="38"/>
      <c r="BR41" s="37"/>
      <c r="BS41" s="38"/>
      <c r="BT41" s="38"/>
      <c r="BU41" s="38"/>
      <c r="BV41" s="38"/>
      <c r="BW41" s="38"/>
      <c r="BX41" s="38"/>
      <c r="BY41" s="38"/>
      <c r="BZ41" s="38"/>
      <c r="CA41" s="38"/>
      <c r="CB41" s="37"/>
      <c r="CC41" s="38"/>
      <c r="CD41" s="38"/>
      <c r="CE41" s="38"/>
      <c r="CF41" s="38"/>
      <c r="CG41" s="38"/>
      <c r="CH41" s="38"/>
      <c r="CI41" s="38"/>
      <c r="CJ41" s="38"/>
      <c r="CK41" s="38"/>
      <c r="CL41" s="37"/>
      <c r="CM41" s="38"/>
      <c r="CN41" s="38"/>
      <c r="CO41" s="38"/>
      <c r="CP41" s="38"/>
      <c r="CQ41" s="38"/>
      <c r="CR41" s="38"/>
      <c r="CS41" s="38"/>
      <c r="CT41" s="38"/>
      <c r="CU41" s="38"/>
      <c r="CV41" s="37"/>
      <c r="CW41" s="38"/>
      <c r="CX41" s="38"/>
      <c r="CY41" s="38"/>
      <c r="CZ41" s="38"/>
      <c r="DA41" s="38"/>
      <c r="DB41" s="38"/>
      <c r="DC41" s="38"/>
      <c r="DD41" s="38"/>
      <c r="DE41" s="38"/>
      <c r="DF41" s="37"/>
      <c r="DG41" s="38"/>
      <c r="DH41" s="38"/>
      <c r="DI41" s="38"/>
      <c r="DJ41" s="38"/>
      <c r="DK41" s="38"/>
      <c r="DL41" s="38"/>
      <c r="DM41" s="38"/>
      <c r="DN41" s="38"/>
      <c r="DO41" s="38"/>
      <c r="DP41" s="37"/>
      <c r="DQ41" s="38"/>
      <c r="DR41" s="38"/>
      <c r="DS41" s="38"/>
      <c r="DT41" s="38"/>
      <c r="DU41" s="38"/>
      <c r="DV41" s="38"/>
      <c r="DW41" s="38"/>
      <c r="DX41" s="38"/>
      <c r="DY41" s="38"/>
      <c r="DZ41" s="37"/>
      <c r="EA41" s="38"/>
      <c r="EB41" s="38"/>
      <c r="EC41" s="38"/>
      <c r="ED41" s="38"/>
      <c r="EE41" s="38"/>
      <c r="EF41" s="38"/>
      <c r="EG41" s="38"/>
      <c r="EH41" s="38"/>
      <c r="EI41" s="38"/>
      <c r="EJ41" s="37"/>
      <c r="EK41" s="38"/>
      <c r="EL41" s="38"/>
      <c r="EM41" s="38"/>
      <c r="EN41" s="38"/>
      <c r="EO41" s="38"/>
      <c r="EP41" s="38"/>
      <c r="EQ41" s="38"/>
      <c r="ER41" s="38"/>
      <c r="ES41" s="38"/>
      <c r="ET41" s="37"/>
      <c r="EU41" s="38"/>
      <c r="EV41" s="38"/>
      <c r="EW41" s="38"/>
      <c r="EX41" s="38"/>
      <c r="EY41" s="38"/>
      <c r="EZ41" s="38"/>
      <c r="FA41" s="38"/>
      <c r="FB41" s="38"/>
      <c r="FC41" s="38"/>
      <c r="FD41" s="37"/>
      <c r="FE41" s="38"/>
      <c r="FF41" s="38"/>
      <c r="FG41" s="38"/>
      <c r="FH41" s="38"/>
      <c r="FI41" s="38"/>
      <c r="FJ41" s="38"/>
      <c r="FK41" s="38"/>
      <c r="FL41" s="268"/>
      <c r="FM41" s="268"/>
      <c r="FN41" s="268"/>
      <c r="FO41" s="268"/>
      <c r="FP41" s="268"/>
      <c r="FQ41" s="268"/>
      <c r="FR41" s="268"/>
      <c r="FS41" s="268"/>
      <c r="FT41" s="268"/>
      <c r="FU41" s="268"/>
      <c r="FV41" s="268"/>
      <c r="FW41" s="268"/>
      <c r="FX41" s="37"/>
      <c r="FY41" s="38"/>
      <c r="FZ41" s="38"/>
      <c r="GA41" s="38"/>
      <c r="GB41" s="38"/>
      <c r="GC41" s="3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37"/>
      <c r="HC41" s="38"/>
      <c r="HD41" s="38"/>
      <c r="HE41" s="38"/>
      <c r="HF41" s="38"/>
      <c r="HG41" s="38"/>
      <c r="HH41" s="38"/>
      <c r="HI41" s="38"/>
      <c r="HJ41" s="269"/>
      <c r="HK41" s="269"/>
      <c r="HL41" s="269"/>
      <c r="HM41" s="269"/>
      <c r="HN41" s="269"/>
      <c r="HO41" s="269"/>
      <c r="HP41" s="269"/>
      <c r="HQ41" s="269"/>
      <c r="HR41" s="269"/>
      <c r="HS41" s="269"/>
      <c r="HT41" s="269"/>
      <c r="HU41" s="269"/>
      <c r="HV41" s="37"/>
      <c r="HW41" s="38"/>
      <c r="HX41" s="38"/>
      <c r="HY41" s="38"/>
      <c r="HZ41" s="38"/>
      <c r="IA41" s="38"/>
      <c r="IB41" s="38"/>
      <c r="IC41" s="38"/>
      <c r="ID41" s="36"/>
      <c r="IE41" s="36"/>
      <c r="IF41" s="36"/>
      <c r="IG41" s="36"/>
      <c r="IH41" s="36"/>
      <c r="II41" s="36"/>
      <c r="IJ41" s="36"/>
      <c r="IK41" s="36"/>
      <c r="IL41" s="36"/>
      <c r="IM41" s="36"/>
      <c r="IN41" s="39"/>
    </row>
    <row r="42" spans="1:248" ht="15.75" thickTop="1" x14ac:dyDescent="0.25">
      <c r="AG42" s="178"/>
    </row>
    <row r="43" spans="1:248" ht="15.75" thickBot="1" x14ac:dyDescent="0.3"/>
    <row r="44" spans="1:248" ht="24" thickBot="1" x14ac:dyDescent="0.4">
      <c r="A44" s="3"/>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1"/>
      <c r="CR44" s="74"/>
    </row>
    <row r="45" spans="1:248" ht="19.5" thickBot="1" x14ac:dyDescent="0.35">
      <c r="A45" s="3"/>
      <c r="B45" s="320" t="s">
        <v>41</v>
      </c>
      <c r="C45" s="147" t="e">
        <f>C9</f>
        <v>#VALUE!</v>
      </c>
      <c r="D45" s="73"/>
      <c r="E45" s="73"/>
      <c r="F45" s="73"/>
      <c r="G45" s="73"/>
      <c r="H45" s="73"/>
      <c r="I45" s="73"/>
      <c r="J45" s="73"/>
      <c r="K45" s="73"/>
      <c r="L45" s="273"/>
      <c r="N45" s="879" t="s">
        <v>191</v>
      </c>
      <c r="O45" s="151"/>
      <c r="P45" s="95"/>
      <c r="Q45" s="251">
        <v>12</v>
      </c>
      <c r="R45" s="157">
        <f t="shared" ref="R45:AI45" si="110">Q45+6</f>
        <v>18</v>
      </c>
      <c r="S45" s="157">
        <f t="shared" si="110"/>
        <v>24</v>
      </c>
      <c r="T45" s="157">
        <f t="shared" si="110"/>
        <v>30</v>
      </c>
      <c r="U45" s="157">
        <f t="shared" si="110"/>
        <v>36</v>
      </c>
      <c r="V45" s="157">
        <f t="shared" si="110"/>
        <v>42</v>
      </c>
      <c r="W45" s="157">
        <f t="shared" si="110"/>
        <v>48</v>
      </c>
      <c r="X45" s="157">
        <f t="shared" si="110"/>
        <v>54</v>
      </c>
      <c r="Y45" s="157">
        <f t="shared" si="110"/>
        <v>60</v>
      </c>
      <c r="Z45" s="157">
        <f t="shared" si="110"/>
        <v>66</v>
      </c>
      <c r="AA45" s="157">
        <f t="shared" si="110"/>
        <v>72</v>
      </c>
      <c r="AB45" s="157">
        <f t="shared" si="110"/>
        <v>78</v>
      </c>
      <c r="AC45" s="157">
        <f t="shared" si="110"/>
        <v>84</v>
      </c>
      <c r="AD45" s="157">
        <f t="shared" si="110"/>
        <v>90</v>
      </c>
      <c r="AE45" s="157">
        <f t="shared" si="110"/>
        <v>96</v>
      </c>
      <c r="AF45" s="157">
        <f t="shared" si="110"/>
        <v>102</v>
      </c>
      <c r="AG45" s="157">
        <f t="shared" si="110"/>
        <v>108</v>
      </c>
      <c r="AH45" s="157">
        <f t="shared" si="110"/>
        <v>114</v>
      </c>
      <c r="AI45" s="157">
        <f t="shared" si="110"/>
        <v>120</v>
      </c>
      <c r="AJ45" s="150"/>
      <c r="AK45" s="150"/>
      <c r="AL45" s="150"/>
      <c r="AM45" s="150"/>
      <c r="AN45" s="150"/>
      <c r="AO45" s="150"/>
      <c r="AP45" s="158"/>
      <c r="AQ45" s="175"/>
      <c r="AR45" s="175"/>
      <c r="AS45" s="175"/>
      <c r="AT45" s="175"/>
      <c r="AU45" s="175"/>
      <c r="AV45" s="175"/>
      <c r="AW45" s="175"/>
      <c r="AX45" s="175"/>
      <c r="AY45" s="175"/>
      <c r="AZ45" s="175"/>
    </row>
    <row r="46" spans="1:248" ht="18.75" customHeight="1" thickBot="1" x14ac:dyDescent="0.35">
      <c r="A46" s="3"/>
      <c r="B46" s="110" t="s">
        <v>42</v>
      </c>
      <c r="C46" s="148" t="e">
        <f>F9</f>
        <v>#VALUE!</v>
      </c>
      <c r="E46" s="71"/>
      <c r="F46" s="71"/>
      <c r="G46" s="71"/>
      <c r="H46" s="71"/>
      <c r="I46" s="71"/>
      <c r="J46" s="71"/>
      <c r="K46" s="71"/>
      <c r="L46" s="75"/>
      <c r="N46" s="880"/>
      <c r="O46" s="67"/>
      <c r="P46" s="300">
        <v>1</v>
      </c>
      <c r="Q46" s="357">
        <v>2</v>
      </c>
      <c r="R46" s="358">
        <v>3</v>
      </c>
      <c r="S46" s="358">
        <v>4</v>
      </c>
      <c r="T46" s="358">
        <v>5</v>
      </c>
      <c r="U46" s="358">
        <v>6</v>
      </c>
      <c r="V46" s="358">
        <v>7</v>
      </c>
      <c r="W46" s="358">
        <v>8</v>
      </c>
      <c r="X46" s="358">
        <v>9</v>
      </c>
      <c r="Y46" s="358">
        <v>10</v>
      </c>
      <c r="Z46" s="358">
        <v>11</v>
      </c>
      <c r="AA46" s="358">
        <v>12</v>
      </c>
      <c r="AB46" s="358">
        <v>13</v>
      </c>
      <c r="AC46" s="358">
        <v>14</v>
      </c>
      <c r="AD46" s="358">
        <v>15</v>
      </c>
      <c r="AE46" s="358">
        <v>16</v>
      </c>
      <c r="AF46" s="358">
        <v>17</v>
      </c>
      <c r="AG46" s="358">
        <v>18</v>
      </c>
      <c r="AH46" s="358">
        <v>19</v>
      </c>
      <c r="AI46" s="358">
        <v>20</v>
      </c>
      <c r="AJ46" s="68"/>
      <c r="AK46" s="68"/>
      <c r="AL46" s="68"/>
      <c r="AM46" s="68"/>
      <c r="AN46" s="68"/>
      <c r="AO46" s="68"/>
      <c r="AP46" s="69"/>
    </row>
    <row r="47" spans="1:248" ht="21.75" thickBot="1" x14ac:dyDescent="0.4">
      <c r="A47" s="3"/>
      <c r="B47" s="905" t="s">
        <v>77</v>
      </c>
      <c r="C47" s="906"/>
      <c r="D47" s="71"/>
      <c r="E47" s="71"/>
      <c r="F47" s="71"/>
      <c r="G47" s="71"/>
      <c r="H47" s="71"/>
      <c r="I47" s="71"/>
      <c r="J47" s="71"/>
      <c r="K47" s="71"/>
      <c r="L47" s="75"/>
      <c r="N47" s="297"/>
      <c r="O47" s="251"/>
      <c r="P47" s="301">
        <v>2</v>
      </c>
      <c r="Q47" s="363"/>
      <c r="R47" s="338"/>
      <c r="S47" s="338"/>
      <c r="T47" s="338"/>
      <c r="U47" s="338"/>
      <c r="V47" s="338"/>
      <c r="W47" s="338"/>
      <c r="X47" s="338"/>
      <c r="Y47" s="338"/>
      <c r="Z47" s="338"/>
      <c r="AA47" s="338"/>
      <c r="AB47" s="338"/>
      <c r="AC47" s="338"/>
      <c r="AD47" s="338"/>
      <c r="AE47" s="338"/>
      <c r="AF47" s="338"/>
      <c r="AG47" s="338"/>
      <c r="AH47" s="338"/>
      <c r="AI47" s="338"/>
      <c r="AJ47" s="150"/>
      <c r="AK47" s="355"/>
      <c r="AL47" s="355" t="e">
        <f>D51</f>
        <v>#VALUE!</v>
      </c>
      <c r="AM47" s="356" t="e">
        <f>C45</f>
        <v>#VALUE!</v>
      </c>
      <c r="AN47" s="355" t="e">
        <f>E51</f>
        <v>#VALUE!</v>
      </c>
      <c r="AO47" s="150"/>
      <c r="AP47" s="158"/>
    </row>
    <row r="48" spans="1:248" ht="15" customHeight="1" thickBot="1" x14ac:dyDescent="0.3">
      <c r="A48" s="3"/>
      <c r="B48" s="70"/>
      <c r="D48" s="71"/>
      <c r="E48" s="71"/>
      <c r="F48" s="71"/>
      <c r="G48" s="71"/>
      <c r="H48" s="71"/>
      <c r="I48" s="71"/>
      <c r="J48" s="71"/>
      <c r="K48" s="71"/>
      <c r="L48" s="75"/>
      <c r="N48" s="103"/>
      <c r="O48" s="162">
        <f>F12</f>
        <v>19.75</v>
      </c>
      <c r="P48" s="302">
        <v>3</v>
      </c>
      <c r="Q48" s="352">
        <v>11.25</v>
      </c>
      <c r="R48" s="249">
        <v>15.31</v>
      </c>
      <c r="S48" s="249">
        <v>19.37</v>
      </c>
      <c r="T48" s="249">
        <v>23.44</v>
      </c>
      <c r="U48" s="249">
        <v>27.5</v>
      </c>
      <c r="V48" s="249">
        <v>31.56</v>
      </c>
      <c r="W48" s="249">
        <v>35.619999999999997</v>
      </c>
      <c r="X48" s="249">
        <v>39.68</v>
      </c>
      <c r="Y48" s="249">
        <v>43.74</v>
      </c>
      <c r="Z48" s="249">
        <v>47.800000000000004</v>
      </c>
      <c r="AA48" s="249">
        <v>51.860000000000007</v>
      </c>
      <c r="AB48" s="206"/>
      <c r="AC48" s="206"/>
      <c r="AD48" s="206"/>
      <c r="AE48" s="206"/>
      <c r="AF48" s="206"/>
      <c r="AG48" s="206"/>
      <c r="AH48" s="206"/>
      <c r="AI48" s="206"/>
      <c r="AJ48" s="96"/>
      <c r="AK48" s="154" t="e">
        <f>H51</f>
        <v>#VALUE!</v>
      </c>
      <c r="AL48" s="155" t="e">
        <f>INDEX(P46:AI65,$H$52,$D$52)</f>
        <v>#VALUE!</v>
      </c>
      <c r="AM48" s="155" t="e">
        <f>(((AM47-AL47)/(AN47-AL47))*(AN48-AL48))+AL48</f>
        <v>#VALUE!</v>
      </c>
      <c r="AN48" s="155" t="e">
        <f>INDEX(P46:AI65,$H$52,$E$52)</f>
        <v>#VALUE!</v>
      </c>
      <c r="AO48" s="64"/>
      <c r="AP48" s="65"/>
      <c r="BZ48" s="83"/>
      <c r="CA48" s="83"/>
      <c r="CB48" s="83"/>
      <c r="CC48" s="83"/>
      <c r="CD48" s="83"/>
      <c r="CE48" s="83"/>
      <c r="CF48" s="83"/>
      <c r="CG48" s="83"/>
    </row>
    <row r="49" spans="1:85" ht="15" customHeight="1" thickBot="1" x14ac:dyDescent="0.3">
      <c r="A49" s="3"/>
      <c r="B49" s="70"/>
      <c r="C49" s="124"/>
      <c r="D49" s="125" t="s">
        <v>35</v>
      </c>
      <c r="E49" s="126"/>
      <c r="F49" s="126"/>
      <c r="G49" s="128"/>
      <c r="H49" s="125" t="s">
        <v>36</v>
      </c>
      <c r="I49" s="127"/>
      <c r="J49" s="71"/>
      <c r="K49" s="71"/>
      <c r="L49" s="75"/>
      <c r="N49" s="103">
        <v>4.2000000000000011</v>
      </c>
      <c r="O49" s="162">
        <v>24</v>
      </c>
      <c r="P49" s="302">
        <v>4</v>
      </c>
      <c r="Q49" s="336">
        <v>12.53</v>
      </c>
      <c r="R49" s="153">
        <v>16.73</v>
      </c>
      <c r="S49" s="153">
        <f t="shared" ref="S49:AA49" si="111">R49+$N49</f>
        <v>20.93</v>
      </c>
      <c r="T49" s="153">
        <f t="shared" si="111"/>
        <v>25.130000000000003</v>
      </c>
      <c r="U49" s="153">
        <f t="shared" si="111"/>
        <v>29.330000000000005</v>
      </c>
      <c r="V49" s="153">
        <f t="shared" si="111"/>
        <v>33.530000000000008</v>
      </c>
      <c r="W49" s="153">
        <f t="shared" si="111"/>
        <v>37.730000000000011</v>
      </c>
      <c r="X49" s="153">
        <f t="shared" si="111"/>
        <v>41.930000000000014</v>
      </c>
      <c r="Y49" s="153">
        <f t="shared" si="111"/>
        <v>46.130000000000017</v>
      </c>
      <c r="Z49" s="153">
        <f t="shared" si="111"/>
        <v>50.33000000000002</v>
      </c>
      <c r="AA49" s="153">
        <f t="shared" si="111"/>
        <v>54.530000000000022</v>
      </c>
      <c r="AB49" s="206"/>
      <c r="AC49" s="206"/>
      <c r="AD49" s="206"/>
      <c r="AE49" s="206"/>
      <c r="AF49" s="206"/>
      <c r="AG49" s="206"/>
      <c r="AH49" s="206"/>
      <c r="AI49" s="206"/>
      <c r="AJ49" s="64"/>
      <c r="AK49" s="154" t="e">
        <f>C46</f>
        <v>#VALUE!</v>
      </c>
      <c r="AL49" s="155" t="e">
        <f>(((AK49-AK48)/(AK50-AK48))*(AL50-AL48))+AL48</f>
        <v>#VALUE!</v>
      </c>
      <c r="AM49" s="156" t="e">
        <f>IF(AND(AM47&gt;72,AK49&gt;72),5/0,IF(AM47=120,AL49,(((AM48-AL48)/(AN48-AL48))*(AN49-AL49))+AL49))</f>
        <v>#VALUE!</v>
      </c>
      <c r="AN49" s="155" t="e">
        <f>(((AK49-AK48)/(AK50-AK48))*(AN50-AN48))+AN48</f>
        <v>#VALUE!</v>
      </c>
      <c r="AO49" s="64"/>
      <c r="AP49" s="65"/>
      <c r="BZ49" s="83"/>
      <c r="CA49" s="83"/>
      <c r="CB49" s="83"/>
      <c r="CC49" s="83"/>
      <c r="CD49" s="83"/>
      <c r="CE49" s="83"/>
      <c r="CF49" s="83"/>
      <c r="CG49" s="83"/>
    </row>
    <row r="50" spans="1:85" ht="16.5" thickBot="1" x14ac:dyDescent="0.3">
      <c r="A50" s="3"/>
      <c r="B50" s="70"/>
      <c r="C50" s="120"/>
      <c r="D50" s="121" t="s">
        <v>78</v>
      </c>
      <c r="E50" s="122" t="s">
        <v>79</v>
      </c>
      <c r="F50" s="122"/>
      <c r="G50" s="129"/>
      <c r="H50" s="121" t="s">
        <v>78</v>
      </c>
      <c r="I50" s="123" t="s">
        <v>79</v>
      </c>
      <c r="J50" s="71"/>
      <c r="K50" s="71"/>
      <c r="L50" s="75"/>
      <c r="N50" s="103">
        <v>4.5999999999999996</v>
      </c>
      <c r="O50" s="162">
        <f t="shared" ref="O50:O65" si="112">O49+6</f>
        <v>30</v>
      </c>
      <c r="P50" s="302">
        <v>5</v>
      </c>
      <c r="Q50" s="336">
        <v>14.58</v>
      </c>
      <c r="R50" s="153">
        <v>19.170000000000002</v>
      </c>
      <c r="S50" s="153">
        <f t="shared" ref="S50:AA50" si="113">R50+$N50</f>
        <v>23.770000000000003</v>
      </c>
      <c r="T50" s="153">
        <f t="shared" si="113"/>
        <v>28.370000000000005</v>
      </c>
      <c r="U50" s="153">
        <f t="shared" si="113"/>
        <v>32.970000000000006</v>
      </c>
      <c r="V50" s="153">
        <f t="shared" si="113"/>
        <v>37.570000000000007</v>
      </c>
      <c r="W50" s="153">
        <f t="shared" si="113"/>
        <v>42.170000000000009</v>
      </c>
      <c r="X50" s="153">
        <f t="shared" si="113"/>
        <v>46.77000000000001</v>
      </c>
      <c r="Y50" s="153">
        <f t="shared" si="113"/>
        <v>51.370000000000012</v>
      </c>
      <c r="Z50" s="153">
        <f t="shared" si="113"/>
        <v>55.970000000000013</v>
      </c>
      <c r="AA50" s="153">
        <f t="shared" si="113"/>
        <v>60.570000000000014</v>
      </c>
      <c r="AB50" s="206"/>
      <c r="AC50" s="206"/>
      <c r="AD50" s="206"/>
      <c r="AE50" s="206"/>
      <c r="AF50" s="206"/>
      <c r="AG50" s="206"/>
      <c r="AH50" s="206"/>
      <c r="AI50" s="206"/>
      <c r="AJ50" s="64"/>
      <c r="AK50" s="154" t="e">
        <f>I51</f>
        <v>#VALUE!</v>
      </c>
      <c r="AL50" s="155" t="e">
        <f>INDEX(P46:AI65,$I$52,$D$52)</f>
        <v>#VALUE!</v>
      </c>
      <c r="AM50" s="155" t="e">
        <f>(((AM47-AL47)/(AN47-AL47))*(AN50-AL50))+AL50</f>
        <v>#VALUE!</v>
      </c>
      <c r="AN50" s="155" t="e">
        <f>INDEX(P46:AI65,$I$52,$E$52)</f>
        <v>#VALUE!</v>
      </c>
      <c r="AO50" s="64"/>
      <c r="AP50" s="65"/>
      <c r="BZ50" s="83"/>
      <c r="CA50" s="83"/>
      <c r="CB50" s="83"/>
      <c r="CC50" s="83"/>
      <c r="CD50" s="83"/>
      <c r="CE50" s="83"/>
      <c r="CF50" s="83"/>
      <c r="CG50" s="83"/>
    </row>
    <row r="51" spans="1:85" ht="15.75" thickBot="1" x14ac:dyDescent="0.3">
      <c r="A51" s="3"/>
      <c r="B51" s="70"/>
      <c r="C51" s="118"/>
      <c r="D51" s="116" t="e">
        <f>FLOOR(C45/6,1)*6</f>
        <v>#VALUE!</v>
      </c>
      <c r="E51" s="112" t="e">
        <f>D51+6</f>
        <v>#VALUE!</v>
      </c>
      <c r="F51" s="112"/>
      <c r="G51" s="130"/>
      <c r="H51" s="116" t="e">
        <f>IF(AND(C46&lt;24,C46&gt;=F12),F12,FLOOR(C46/6,1)*6)</f>
        <v>#VALUE!</v>
      </c>
      <c r="I51" s="113" t="e">
        <f>IF(H51&lt;24,24,H51+6)</f>
        <v>#VALUE!</v>
      </c>
      <c r="J51" s="71"/>
      <c r="K51" s="71"/>
      <c r="L51" s="75"/>
      <c r="N51" s="103">
        <v>5.6099999999999994</v>
      </c>
      <c r="O51" s="162">
        <f t="shared" si="112"/>
        <v>36</v>
      </c>
      <c r="P51" s="302">
        <v>6</v>
      </c>
      <c r="Q51" s="336">
        <v>17.63</v>
      </c>
      <c r="R51" s="153">
        <v>23.24</v>
      </c>
      <c r="S51" s="153">
        <f t="shared" ref="S51:AA51" si="114">R51+$N51</f>
        <v>28.849999999999998</v>
      </c>
      <c r="T51" s="153">
        <f t="shared" si="114"/>
        <v>34.459999999999994</v>
      </c>
      <c r="U51" s="153">
        <f t="shared" si="114"/>
        <v>40.069999999999993</v>
      </c>
      <c r="V51" s="153">
        <f t="shared" si="114"/>
        <v>45.679999999999993</v>
      </c>
      <c r="W51" s="153">
        <f t="shared" si="114"/>
        <v>51.289999999999992</v>
      </c>
      <c r="X51" s="153">
        <f t="shared" si="114"/>
        <v>56.899999999999991</v>
      </c>
      <c r="Y51" s="153">
        <f t="shared" si="114"/>
        <v>62.509999999999991</v>
      </c>
      <c r="Z51" s="153">
        <f t="shared" si="114"/>
        <v>68.11999999999999</v>
      </c>
      <c r="AA51" s="153">
        <f t="shared" si="114"/>
        <v>73.72999999999999</v>
      </c>
      <c r="AB51" s="206"/>
      <c r="AC51" s="206"/>
      <c r="AD51" s="206"/>
      <c r="AE51" s="206"/>
      <c r="AF51" s="206"/>
      <c r="AG51" s="206"/>
      <c r="AH51" s="206"/>
      <c r="AI51" s="206"/>
      <c r="AJ51" s="64"/>
      <c r="AK51" s="64"/>
      <c r="AL51" s="64"/>
      <c r="AM51" s="64"/>
      <c r="AN51" s="64"/>
      <c r="AO51" s="64"/>
      <c r="AP51" s="65"/>
      <c r="BZ51" s="83"/>
      <c r="CA51" s="83"/>
      <c r="CB51" s="83"/>
      <c r="CC51" s="83"/>
      <c r="CD51" s="83"/>
      <c r="CE51" s="83"/>
      <c r="CF51" s="83"/>
      <c r="CG51" s="83"/>
    </row>
    <row r="52" spans="1:85" ht="24" thickBot="1" x14ac:dyDescent="0.4">
      <c r="A52" s="3"/>
      <c r="B52" s="70"/>
      <c r="C52" s="118" t="s">
        <v>37</v>
      </c>
      <c r="D52" s="116" t="e">
        <f>HLOOKUP(D51,C17:V18,2)</f>
        <v>#VALUE!</v>
      </c>
      <c r="E52" s="112" t="e">
        <f>HLOOKUP(E51,C17:V18,2)</f>
        <v>#VALUE!</v>
      </c>
      <c r="F52" s="112"/>
      <c r="G52" s="130" t="s">
        <v>38</v>
      </c>
      <c r="H52" s="116" t="e">
        <f>VLOOKUP(H51,B18:C37,2)</f>
        <v>#VALUE!</v>
      </c>
      <c r="I52" s="113" t="e">
        <f>VLOOKUP(I51,B18:C37,2)</f>
        <v>#VALUE!</v>
      </c>
      <c r="J52" s="71"/>
      <c r="K52" s="71"/>
      <c r="L52" s="75"/>
      <c r="N52" s="103">
        <v>6.0100000000000016</v>
      </c>
      <c r="O52" s="162">
        <f t="shared" si="112"/>
        <v>42</v>
      </c>
      <c r="P52" s="302">
        <v>7</v>
      </c>
      <c r="Q52" s="336">
        <v>19.68</v>
      </c>
      <c r="R52" s="153">
        <v>25.69</v>
      </c>
      <c r="S52" s="153">
        <f t="shared" ref="S52:AA52" si="115">R52+$N52</f>
        <v>31.700000000000003</v>
      </c>
      <c r="T52" s="153">
        <f t="shared" si="115"/>
        <v>37.710000000000008</v>
      </c>
      <c r="U52" s="153">
        <f t="shared" si="115"/>
        <v>43.720000000000013</v>
      </c>
      <c r="V52" s="153">
        <f t="shared" si="115"/>
        <v>49.730000000000018</v>
      </c>
      <c r="W52" s="153">
        <f t="shared" si="115"/>
        <v>55.740000000000023</v>
      </c>
      <c r="X52" s="153">
        <f t="shared" si="115"/>
        <v>61.750000000000028</v>
      </c>
      <c r="Y52" s="153">
        <f t="shared" si="115"/>
        <v>67.760000000000034</v>
      </c>
      <c r="Z52" s="153">
        <f t="shared" si="115"/>
        <v>73.770000000000039</v>
      </c>
      <c r="AA52" s="153">
        <f t="shared" si="115"/>
        <v>79.780000000000044</v>
      </c>
      <c r="AB52" s="206"/>
      <c r="AC52" s="206"/>
      <c r="AD52" s="206"/>
      <c r="AE52" s="206"/>
      <c r="AF52" s="206"/>
      <c r="AG52" s="206"/>
      <c r="AH52" s="206"/>
      <c r="AI52" s="206"/>
      <c r="AJ52" s="64"/>
      <c r="AK52" s="64"/>
      <c r="AL52" s="64"/>
      <c r="AM52" s="64"/>
      <c r="AN52" s="64"/>
      <c r="AO52" s="64"/>
      <c r="AP52" s="65"/>
      <c r="AR52" s="495"/>
      <c r="AS52" s="496"/>
      <c r="BZ52" s="83"/>
      <c r="CA52" s="83"/>
      <c r="CB52" s="83"/>
      <c r="CC52" s="83"/>
      <c r="CD52" s="83"/>
      <c r="CE52" s="83"/>
      <c r="CF52" s="83"/>
      <c r="CG52" s="83"/>
    </row>
    <row r="53" spans="1:85" ht="15.75" thickBot="1" x14ac:dyDescent="0.3">
      <c r="A53" s="3"/>
      <c r="B53" s="70"/>
      <c r="C53" s="119"/>
      <c r="D53" s="117"/>
      <c r="E53" s="114"/>
      <c r="F53" s="114"/>
      <c r="G53" s="131"/>
      <c r="H53" s="117"/>
      <c r="I53" s="115"/>
      <c r="J53" s="71"/>
      <c r="K53" s="71"/>
      <c r="L53" s="75"/>
      <c r="N53" s="103">
        <v>7.0100000000000016</v>
      </c>
      <c r="O53" s="162">
        <f t="shared" si="112"/>
        <v>48</v>
      </c>
      <c r="P53" s="302">
        <v>8</v>
      </c>
      <c r="Q53" s="336">
        <v>22.74</v>
      </c>
      <c r="R53" s="153">
        <v>29.75</v>
      </c>
      <c r="S53" s="153">
        <f t="shared" ref="S53:AA53" si="116">R53+$N53</f>
        <v>36.760000000000005</v>
      </c>
      <c r="T53" s="153">
        <f t="shared" si="116"/>
        <v>43.77000000000001</v>
      </c>
      <c r="U53" s="153">
        <f t="shared" si="116"/>
        <v>50.780000000000015</v>
      </c>
      <c r="V53" s="153">
        <f t="shared" si="116"/>
        <v>57.79000000000002</v>
      </c>
      <c r="W53" s="153">
        <f t="shared" si="116"/>
        <v>64.800000000000026</v>
      </c>
      <c r="X53" s="153">
        <f t="shared" si="116"/>
        <v>71.810000000000031</v>
      </c>
      <c r="Y53" s="153">
        <f t="shared" si="116"/>
        <v>78.820000000000036</v>
      </c>
      <c r="Z53" s="153">
        <f t="shared" si="116"/>
        <v>85.830000000000041</v>
      </c>
      <c r="AA53" s="153">
        <f t="shared" si="116"/>
        <v>92.840000000000046</v>
      </c>
      <c r="AB53" s="206"/>
      <c r="AC53" s="206"/>
      <c r="AD53" s="206"/>
      <c r="AE53" s="206"/>
      <c r="AF53" s="206"/>
      <c r="AG53" s="206"/>
      <c r="AH53" s="206"/>
      <c r="AI53" s="206"/>
      <c r="AJ53" s="64"/>
      <c r="AK53" s="64"/>
      <c r="AL53" s="64"/>
      <c r="AM53" s="64"/>
      <c r="AN53" s="64"/>
      <c r="AO53" s="64"/>
      <c r="AP53" s="65"/>
      <c r="BZ53" s="83"/>
      <c r="CA53" s="83"/>
      <c r="CB53" s="83"/>
      <c r="CC53" s="83"/>
      <c r="CD53" s="83"/>
      <c r="CE53" s="83"/>
      <c r="CF53" s="83"/>
      <c r="CG53" s="83"/>
    </row>
    <row r="54" spans="1:85" ht="15.75" thickBot="1" x14ac:dyDescent="0.3">
      <c r="A54" s="3"/>
      <c r="B54" s="70"/>
      <c r="C54" s="71"/>
      <c r="D54" s="71"/>
      <c r="E54" s="71"/>
      <c r="F54" s="71"/>
      <c r="G54" s="71"/>
      <c r="H54" s="71"/>
      <c r="I54" s="71"/>
      <c r="J54" s="71"/>
      <c r="K54" s="71"/>
      <c r="L54" s="75"/>
      <c r="N54" s="103">
        <v>7.4100000000000037</v>
      </c>
      <c r="O54" s="162">
        <f t="shared" si="112"/>
        <v>54</v>
      </c>
      <c r="P54" s="302">
        <v>9</v>
      </c>
      <c r="Q54" s="336">
        <v>24.79</v>
      </c>
      <c r="R54" s="153">
        <v>32.200000000000003</v>
      </c>
      <c r="S54" s="153">
        <f t="shared" ref="S54:AA54" si="117">R54+$N54</f>
        <v>39.610000000000007</v>
      </c>
      <c r="T54" s="153">
        <f t="shared" si="117"/>
        <v>47.02000000000001</v>
      </c>
      <c r="U54" s="153">
        <f t="shared" si="117"/>
        <v>54.430000000000014</v>
      </c>
      <c r="V54" s="153">
        <f t="shared" si="117"/>
        <v>61.840000000000018</v>
      </c>
      <c r="W54" s="153">
        <f t="shared" si="117"/>
        <v>69.250000000000028</v>
      </c>
      <c r="X54" s="153">
        <f t="shared" si="117"/>
        <v>76.660000000000025</v>
      </c>
      <c r="Y54" s="153">
        <f t="shared" si="117"/>
        <v>84.070000000000022</v>
      </c>
      <c r="Z54" s="153">
        <f t="shared" si="117"/>
        <v>91.480000000000018</v>
      </c>
      <c r="AA54" s="153">
        <f t="shared" si="117"/>
        <v>98.890000000000015</v>
      </c>
      <c r="AB54" s="206"/>
      <c r="AC54" s="206"/>
      <c r="AD54" s="206"/>
      <c r="AE54" s="206"/>
      <c r="AF54" s="206"/>
      <c r="AG54" s="206"/>
      <c r="AH54" s="206"/>
      <c r="AI54" s="206"/>
      <c r="AJ54" s="64"/>
      <c r="AK54" s="64"/>
      <c r="AL54" s="64"/>
      <c r="AM54" s="64"/>
      <c r="AN54" s="64"/>
      <c r="AO54" s="64"/>
      <c r="AP54" s="65"/>
      <c r="BZ54" s="83"/>
      <c r="CA54" s="83"/>
      <c r="CB54" s="83"/>
    </row>
    <row r="55" spans="1:85" ht="21.75" thickBot="1" x14ac:dyDescent="0.4">
      <c r="A55" s="3"/>
      <c r="B55" s="111" t="s">
        <v>71</v>
      </c>
      <c r="C55" s="71"/>
      <c r="E55" s="71"/>
      <c r="F55" s="71"/>
      <c r="G55" s="71"/>
      <c r="H55" s="71"/>
      <c r="I55" s="71"/>
      <c r="J55" s="71"/>
      <c r="K55" s="71"/>
      <c r="L55" s="75"/>
      <c r="N55" s="103">
        <v>8.4200000000000017</v>
      </c>
      <c r="O55" s="162">
        <f t="shared" si="112"/>
        <v>60</v>
      </c>
      <c r="P55" s="302">
        <v>10</v>
      </c>
      <c r="Q55" s="336">
        <v>27.85</v>
      </c>
      <c r="R55" s="153">
        <v>36.270000000000003</v>
      </c>
      <c r="S55" s="153">
        <f t="shared" ref="S55:AA55" si="118">R55+$N55</f>
        <v>44.690000000000005</v>
      </c>
      <c r="T55" s="153">
        <f t="shared" si="118"/>
        <v>53.110000000000007</v>
      </c>
      <c r="U55" s="153">
        <f t="shared" si="118"/>
        <v>61.530000000000008</v>
      </c>
      <c r="V55" s="153">
        <f t="shared" si="118"/>
        <v>69.950000000000017</v>
      </c>
      <c r="W55" s="153">
        <f t="shared" si="118"/>
        <v>78.370000000000019</v>
      </c>
      <c r="X55" s="153">
        <f t="shared" si="118"/>
        <v>86.79000000000002</v>
      </c>
      <c r="Y55" s="153">
        <f t="shared" si="118"/>
        <v>95.210000000000022</v>
      </c>
      <c r="Z55" s="153">
        <f t="shared" si="118"/>
        <v>103.63000000000002</v>
      </c>
      <c r="AA55" s="153">
        <f t="shared" si="118"/>
        <v>112.05000000000003</v>
      </c>
      <c r="AB55" s="206"/>
      <c r="AC55" s="206"/>
      <c r="AD55" s="206"/>
      <c r="AE55" s="206"/>
      <c r="AF55" s="206"/>
      <c r="AG55" s="206"/>
      <c r="AH55" s="206"/>
      <c r="AI55" s="206"/>
      <c r="AJ55" s="64"/>
      <c r="AK55" s="64"/>
      <c r="AL55" s="303"/>
      <c r="AM55" s="303"/>
      <c r="AN55" s="303"/>
      <c r="AO55" s="303"/>
      <c r="AP55" s="65"/>
      <c r="BZ55" s="83"/>
      <c r="CA55" s="83"/>
      <c r="CB55" s="83"/>
    </row>
    <row r="56" spans="1:85" ht="16.5" thickBot="1" x14ac:dyDescent="0.3">
      <c r="A56" s="3"/>
      <c r="B56" s="70"/>
      <c r="C56" s="71"/>
      <c r="D56" s="109"/>
      <c r="E56" s="109" t="e">
        <f>D51</f>
        <v>#VALUE!</v>
      </c>
      <c r="F56" s="132" t="e">
        <f>C45</f>
        <v>#VALUE!</v>
      </c>
      <c r="G56" s="109" t="e">
        <f>E51</f>
        <v>#VALUE!</v>
      </c>
      <c r="H56" s="71"/>
      <c r="I56" s="71"/>
      <c r="J56" s="71"/>
      <c r="K56" s="71"/>
      <c r="L56" s="75"/>
      <c r="N56" s="103">
        <v>8.82</v>
      </c>
      <c r="O56" s="162">
        <f t="shared" si="112"/>
        <v>66</v>
      </c>
      <c r="P56" s="302">
        <v>11</v>
      </c>
      <c r="Q56" s="336">
        <v>29.89</v>
      </c>
      <c r="R56" s="153">
        <v>38.71</v>
      </c>
      <c r="S56" s="153">
        <f t="shared" ref="S56:AA56" si="119">R56+$N56</f>
        <v>47.53</v>
      </c>
      <c r="T56" s="153">
        <f t="shared" si="119"/>
        <v>56.35</v>
      </c>
      <c r="U56" s="153">
        <f t="shared" si="119"/>
        <v>65.17</v>
      </c>
      <c r="V56" s="153">
        <f t="shared" si="119"/>
        <v>73.990000000000009</v>
      </c>
      <c r="W56" s="153">
        <f t="shared" si="119"/>
        <v>82.81</v>
      </c>
      <c r="X56" s="153">
        <f t="shared" si="119"/>
        <v>91.63</v>
      </c>
      <c r="Y56" s="153">
        <f t="shared" si="119"/>
        <v>100.44999999999999</v>
      </c>
      <c r="Z56" s="153">
        <f t="shared" si="119"/>
        <v>109.26999999999998</v>
      </c>
      <c r="AA56" s="153">
        <f t="shared" si="119"/>
        <v>118.08999999999997</v>
      </c>
      <c r="AB56" s="206"/>
      <c r="AC56" s="206"/>
      <c r="AD56" s="206"/>
      <c r="AE56" s="206"/>
      <c r="AF56" s="206"/>
      <c r="AG56" s="206"/>
      <c r="AH56" s="206"/>
      <c r="AI56" s="206"/>
      <c r="AJ56" s="64"/>
      <c r="AK56" s="64"/>
      <c r="AL56" s="270" t="s">
        <v>212</v>
      </c>
      <c r="AM56" s="304"/>
      <c r="AN56" s="303" t="e">
        <f>AM49</f>
        <v>#VALUE!</v>
      </c>
      <c r="AO56" s="303" t="s">
        <v>86</v>
      </c>
      <c r="AP56" s="65"/>
      <c r="BZ56" s="83"/>
      <c r="CA56" s="83"/>
      <c r="CB56" s="83"/>
    </row>
    <row r="57" spans="1:85" ht="16.5" thickBot="1" x14ac:dyDescent="0.3">
      <c r="A57" s="3"/>
      <c r="B57" s="70"/>
      <c r="C57" s="71"/>
      <c r="D57" s="109" t="e">
        <f>H51</f>
        <v>#VALUE!</v>
      </c>
      <c r="E57" s="133" t="e">
        <f>INDEX(C18:V37,$H$52,$D$52)</f>
        <v>#VALUE!</v>
      </c>
      <c r="F57" s="133" t="e">
        <f>(((F56-E56)/(G56-E56))*(G57-E57))+E57</f>
        <v>#VALUE!</v>
      </c>
      <c r="G57" s="133" t="e">
        <f>INDEX(C18:V37,$H$52,$E$52)</f>
        <v>#VALUE!</v>
      </c>
      <c r="H57" s="71"/>
      <c r="I57" s="71"/>
      <c r="J57" s="71"/>
      <c r="K57" s="71"/>
      <c r="L57" s="75"/>
      <c r="N57" s="103">
        <v>9.8299999999999983</v>
      </c>
      <c r="O57" s="162">
        <f t="shared" si="112"/>
        <v>72</v>
      </c>
      <c r="P57" s="302">
        <v>12</v>
      </c>
      <c r="Q57" s="336">
        <v>32.950000000000003</v>
      </c>
      <c r="R57" s="153">
        <v>42.78</v>
      </c>
      <c r="S57" s="153">
        <f t="shared" ref="S57:AA57" si="120">R57+$N57</f>
        <v>52.61</v>
      </c>
      <c r="T57" s="153">
        <f t="shared" si="120"/>
        <v>62.44</v>
      </c>
      <c r="U57" s="153">
        <f t="shared" si="120"/>
        <v>72.27</v>
      </c>
      <c r="V57" s="153">
        <f t="shared" si="120"/>
        <v>82.1</v>
      </c>
      <c r="W57" s="153">
        <f t="shared" si="120"/>
        <v>91.929999999999993</v>
      </c>
      <c r="X57" s="153">
        <f t="shared" si="120"/>
        <v>101.75999999999999</v>
      </c>
      <c r="Y57" s="153">
        <f t="shared" si="120"/>
        <v>111.58999999999999</v>
      </c>
      <c r="Z57" s="153">
        <f t="shared" si="120"/>
        <v>121.41999999999999</v>
      </c>
      <c r="AA57" s="153">
        <f t="shared" si="120"/>
        <v>131.25</v>
      </c>
      <c r="AB57" s="206"/>
      <c r="AC57" s="206"/>
      <c r="AD57" s="206"/>
      <c r="AE57" s="206"/>
      <c r="AF57" s="206"/>
      <c r="AG57" s="206"/>
      <c r="AH57" s="206"/>
      <c r="AI57" s="206"/>
      <c r="AJ57" s="64"/>
      <c r="AK57" s="64"/>
      <c r="AL57" s="270" t="s">
        <v>213</v>
      </c>
      <c r="AM57" s="304"/>
      <c r="AN57" s="303" t="e">
        <f>AN56*C11</f>
        <v>#VALUE!</v>
      </c>
      <c r="AO57" s="303" t="s">
        <v>86</v>
      </c>
      <c r="AP57" s="65"/>
      <c r="BZ57" s="83"/>
      <c r="CA57" s="83"/>
      <c r="CB57" s="83"/>
    </row>
    <row r="58" spans="1:85" ht="16.5" thickBot="1" x14ac:dyDescent="0.3">
      <c r="A58" s="3"/>
      <c r="B58" s="70"/>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10.229999999999997</v>
      </c>
      <c r="O58" s="162">
        <f t="shared" si="112"/>
        <v>78</v>
      </c>
      <c r="P58" s="302">
        <v>13</v>
      </c>
      <c r="Q58" s="336">
        <v>35</v>
      </c>
      <c r="R58" s="153">
        <v>45.23</v>
      </c>
      <c r="S58" s="153">
        <f t="shared" ref="S58:AA58" si="121">R58+$N58</f>
        <v>55.459999999999994</v>
      </c>
      <c r="T58" s="153">
        <f t="shared" si="121"/>
        <v>65.69</v>
      </c>
      <c r="U58" s="153">
        <f t="shared" si="121"/>
        <v>75.919999999999987</v>
      </c>
      <c r="V58" s="153">
        <f t="shared" si="121"/>
        <v>86.149999999999977</v>
      </c>
      <c r="W58" s="153">
        <f t="shared" si="121"/>
        <v>96.379999999999967</v>
      </c>
      <c r="X58" s="153">
        <f t="shared" si="121"/>
        <v>106.60999999999996</v>
      </c>
      <c r="Y58" s="153">
        <f t="shared" si="121"/>
        <v>116.83999999999995</v>
      </c>
      <c r="Z58" s="153">
        <f t="shared" si="121"/>
        <v>127.06999999999994</v>
      </c>
      <c r="AA58" s="153">
        <f t="shared" si="121"/>
        <v>137.29999999999993</v>
      </c>
      <c r="AB58" s="206"/>
      <c r="AC58" s="206"/>
      <c r="AD58" s="206"/>
      <c r="AE58" s="206"/>
      <c r="AF58" s="206"/>
      <c r="AG58" s="206"/>
      <c r="AH58" s="206"/>
      <c r="AI58" s="206"/>
      <c r="AJ58" s="64"/>
      <c r="AK58" s="64"/>
      <c r="AL58" s="303"/>
      <c r="AM58" s="303"/>
      <c r="AN58" s="303"/>
      <c r="AO58" s="303"/>
      <c r="AP58" s="65"/>
      <c r="BZ58" s="83"/>
      <c r="CA58" s="83"/>
      <c r="CB58" s="83"/>
    </row>
    <row r="59" spans="1:85" ht="16.5" thickBot="1" x14ac:dyDescent="0.3">
      <c r="A59" s="3"/>
      <c r="B59" s="70"/>
      <c r="C59" s="71"/>
      <c r="D59" s="109" t="e">
        <f>I51</f>
        <v>#VALUE!</v>
      </c>
      <c r="E59" s="133" t="e">
        <f>INDEX(C18:V37,$I$52,$D$52)</f>
        <v>#VALUE!</v>
      </c>
      <c r="F59" s="133" t="e">
        <f>(((F56-E56)/(G56-E56))*(G59-E59))+E59</f>
        <v>#VALUE!</v>
      </c>
      <c r="G59" s="133" t="e">
        <f>INDEX(C18:V37,$I$52,$E$52)</f>
        <v>#VALUE!</v>
      </c>
      <c r="H59" s="71"/>
      <c r="I59" s="71"/>
      <c r="J59" s="71"/>
      <c r="K59" s="71"/>
      <c r="L59" s="75"/>
      <c r="N59" s="103">
        <v>11.229999999999997</v>
      </c>
      <c r="O59" s="162">
        <f t="shared" si="112"/>
        <v>84</v>
      </c>
      <c r="P59" s="302">
        <v>14</v>
      </c>
      <c r="Q59" s="336">
        <v>38.06</v>
      </c>
      <c r="R59" s="153">
        <v>49.29</v>
      </c>
      <c r="S59" s="153">
        <f t="shared" ref="S59:AA59" si="122">R59+$N59</f>
        <v>60.519999999999996</v>
      </c>
      <c r="T59" s="153">
        <f t="shared" si="122"/>
        <v>71.75</v>
      </c>
      <c r="U59" s="153">
        <f t="shared" si="122"/>
        <v>82.97999999999999</v>
      </c>
      <c r="V59" s="153">
        <f t="shared" si="122"/>
        <v>94.20999999999998</v>
      </c>
      <c r="W59" s="153">
        <f t="shared" si="122"/>
        <v>105.43999999999997</v>
      </c>
      <c r="X59" s="153">
        <f t="shared" si="122"/>
        <v>116.66999999999996</v>
      </c>
      <c r="Y59" s="153">
        <f t="shared" si="122"/>
        <v>127.89999999999995</v>
      </c>
      <c r="Z59" s="153">
        <f t="shared" si="122"/>
        <v>139.12999999999994</v>
      </c>
      <c r="AA59" s="153">
        <f t="shared" si="122"/>
        <v>150.35999999999993</v>
      </c>
      <c r="AB59" s="206"/>
      <c r="AC59" s="206"/>
      <c r="AD59" s="206"/>
      <c r="AE59" s="206"/>
      <c r="AF59" s="206"/>
      <c r="AG59" s="206"/>
      <c r="AH59" s="206"/>
      <c r="AI59" s="206"/>
      <c r="AJ59" s="64"/>
      <c r="AK59" s="64"/>
      <c r="AL59" s="303"/>
      <c r="AM59" s="303"/>
      <c r="AN59" s="303"/>
      <c r="AO59" s="303"/>
      <c r="AP59" s="97"/>
      <c r="BZ59" s="83"/>
      <c r="CA59" s="83"/>
      <c r="CB59" s="83"/>
    </row>
    <row r="60" spans="1:85" ht="15.75" thickBot="1" x14ac:dyDescent="0.3">
      <c r="A60" s="3"/>
      <c r="B60" s="70"/>
      <c r="C60" s="71"/>
      <c r="D60" s="71"/>
      <c r="E60" s="71"/>
      <c r="F60" s="71"/>
      <c r="G60" s="71"/>
      <c r="H60" s="71"/>
      <c r="I60" s="71"/>
      <c r="J60" s="71"/>
      <c r="K60" s="71"/>
      <c r="L60" s="75"/>
      <c r="N60" s="103">
        <v>11.630000000000003</v>
      </c>
      <c r="O60" s="162">
        <f t="shared" si="112"/>
        <v>90</v>
      </c>
      <c r="P60" s="302">
        <v>15</v>
      </c>
      <c r="Q60" s="336">
        <v>40.11</v>
      </c>
      <c r="R60" s="153">
        <v>51.74</v>
      </c>
      <c r="S60" s="153">
        <f t="shared" ref="S60:AA60" si="123">R60+$N60</f>
        <v>63.370000000000005</v>
      </c>
      <c r="T60" s="153">
        <f t="shared" si="123"/>
        <v>75</v>
      </c>
      <c r="U60" s="153">
        <f t="shared" si="123"/>
        <v>86.63</v>
      </c>
      <c r="V60" s="153">
        <f t="shared" si="123"/>
        <v>98.259999999999991</v>
      </c>
      <c r="W60" s="153">
        <f t="shared" si="123"/>
        <v>109.88999999999999</v>
      </c>
      <c r="X60" s="153">
        <f t="shared" si="123"/>
        <v>121.51999999999998</v>
      </c>
      <c r="Y60" s="153">
        <f t="shared" si="123"/>
        <v>133.14999999999998</v>
      </c>
      <c r="Z60" s="153">
        <f t="shared" si="123"/>
        <v>144.77999999999997</v>
      </c>
      <c r="AA60" s="153">
        <f t="shared" si="123"/>
        <v>156.40999999999997</v>
      </c>
      <c r="AB60" s="206"/>
      <c r="AC60" s="206"/>
      <c r="AD60" s="206"/>
      <c r="AE60" s="206"/>
      <c r="AF60" s="206"/>
      <c r="AG60" s="206"/>
      <c r="AH60" s="206"/>
      <c r="AI60" s="206"/>
      <c r="AJ60" s="64"/>
      <c r="AK60" s="64"/>
      <c r="AL60" s="64"/>
      <c r="AM60" s="64"/>
      <c r="AN60" s="64"/>
      <c r="AO60" s="64"/>
      <c r="AP60" s="97"/>
      <c r="BF60" s="83"/>
      <c r="BX60" s="83"/>
      <c r="BY60" s="83"/>
      <c r="BZ60" s="83"/>
      <c r="CA60" s="83"/>
      <c r="CB60" s="83"/>
    </row>
    <row r="61" spans="1:85" ht="15.75" thickBot="1" x14ac:dyDescent="0.3">
      <c r="A61" s="3"/>
      <c r="B61" s="70"/>
      <c r="C61" s="71"/>
      <c r="D61" s="71"/>
      <c r="E61" s="71"/>
      <c r="F61" s="71"/>
      <c r="G61" s="71"/>
      <c r="H61" s="71"/>
      <c r="I61" s="71"/>
      <c r="J61" s="71"/>
      <c r="K61" s="71"/>
      <c r="L61" s="75"/>
      <c r="N61" s="103">
        <v>12.64</v>
      </c>
      <c r="O61" s="162">
        <f t="shared" si="112"/>
        <v>96</v>
      </c>
      <c r="P61" s="302">
        <v>16</v>
      </c>
      <c r="Q61" s="336">
        <v>43.17</v>
      </c>
      <c r="R61" s="153">
        <v>55.8</v>
      </c>
      <c r="S61" s="153">
        <f t="shared" ref="S61:AA61" si="124">R61+$N61</f>
        <v>68.44</v>
      </c>
      <c r="T61" s="153">
        <f t="shared" si="124"/>
        <v>81.08</v>
      </c>
      <c r="U61" s="153">
        <f t="shared" si="124"/>
        <v>93.72</v>
      </c>
      <c r="V61" s="153">
        <f t="shared" si="124"/>
        <v>106.36</v>
      </c>
      <c r="W61" s="153">
        <f t="shared" si="124"/>
        <v>119</v>
      </c>
      <c r="X61" s="153">
        <f t="shared" si="124"/>
        <v>131.63999999999999</v>
      </c>
      <c r="Y61" s="153">
        <f t="shared" si="124"/>
        <v>144.27999999999997</v>
      </c>
      <c r="Z61" s="153">
        <f t="shared" si="124"/>
        <v>156.91999999999996</v>
      </c>
      <c r="AA61" s="153">
        <f t="shared" si="124"/>
        <v>169.55999999999995</v>
      </c>
      <c r="AB61" s="206"/>
      <c r="AC61" s="206"/>
      <c r="AD61" s="206"/>
      <c r="AE61" s="206"/>
      <c r="AF61" s="206"/>
      <c r="AG61" s="206"/>
      <c r="AH61" s="206"/>
      <c r="AI61" s="206"/>
      <c r="AJ61" s="64"/>
      <c r="AK61" s="64"/>
      <c r="AL61" s="64"/>
      <c r="AM61" s="64"/>
      <c r="AN61" s="64"/>
      <c r="AO61" s="64"/>
      <c r="AP61" s="97"/>
      <c r="BF61" s="83"/>
      <c r="BX61" s="83"/>
      <c r="BY61" s="83"/>
      <c r="BZ61" s="83"/>
      <c r="CA61" s="83"/>
      <c r="CB61" s="83"/>
    </row>
    <row r="62" spans="1:85" ht="15.75" thickBot="1" x14ac:dyDescent="0.3">
      <c r="A62" s="3"/>
      <c r="B62" s="70"/>
      <c r="C62" s="71"/>
      <c r="D62" s="71"/>
      <c r="E62" s="71"/>
      <c r="F62" s="71"/>
      <c r="G62" s="71"/>
      <c r="H62" s="71"/>
      <c r="I62" s="71"/>
      <c r="J62" s="71"/>
      <c r="K62" s="71"/>
      <c r="L62" s="75"/>
      <c r="N62" s="103"/>
      <c r="O62" s="162">
        <f t="shared" si="112"/>
        <v>102</v>
      </c>
      <c r="P62" s="302">
        <v>17</v>
      </c>
      <c r="Q62" s="339"/>
      <c r="R62" s="206"/>
      <c r="S62" s="206"/>
      <c r="T62" s="206"/>
      <c r="U62" s="206"/>
      <c r="V62" s="206"/>
      <c r="W62" s="206"/>
      <c r="X62" s="206"/>
      <c r="Y62" s="206"/>
      <c r="Z62" s="206"/>
      <c r="AA62" s="206"/>
      <c r="AB62" s="206"/>
      <c r="AC62" s="206"/>
      <c r="AD62" s="206"/>
      <c r="AE62" s="206"/>
      <c r="AF62" s="206"/>
      <c r="AG62" s="206"/>
      <c r="AH62" s="206"/>
      <c r="AI62" s="206"/>
      <c r="AJ62" s="64"/>
      <c r="AK62" s="64"/>
      <c r="AL62" s="64"/>
      <c r="AM62" s="64"/>
      <c r="AN62" s="64"/>
      <c r="AO62" s="64"/>
      <c r="AP62" s="97"/>
      <c r="BF62" s="83"/>
      <c r="BX62" s="83"/>
      <c r="BY62" s="83"/>
      <c r="BZ62" s="83"/>
      <c r="CA62" s="83"/>
      <c r="CB62" s="83"/>
    </row>
    <row r="63" spans="1:85" ht="21.75" thickBot="1" x14ac:dyDescent="0.4">
      <c r="A63" s="3"/>
      <c r="B63" s="111" t="s">
        <v>80</v>
      </c>
      <c r="C63" s="71"/>
      <c r="D63" s="71"/>
      <c r="E63" s="71"/>
      <c r="F63" s="71"/>
      <c r="G63" s="71"/>
      <c r="H63" s="71"/>
      <c r="I63" s="71"/>
      <c r="J63" s="71"/>
      <c r="K63" s="71"/>
      <c r="L63" s="75"/>
      <c r="N63" s="103"/>
      <c r="O63" s="162">
        <f t="shared" si="112"/>
        <v>108</v>
      </c>
      <c r="P63" s="302">
        <v>18</v>
      </c>
      <c r="Q63" s="339"/>
      <c r="R63" s="206"/>
      <c r="S63" s="206"/>
      <c r="T63" s="206"/>
      <c r="U63" s="206"/>
      <c r="V63" s="206"/>
      <c r="W63" s="206"/>
      <c r="X63" s="206"/>
      <c r="Y63" s="206"/>
      <c r="Z63" s="206"/>
      <c r="AA63" s="206"/>
      <c r="AB63" s="206"/>
      <c r="AC63" s="206"/>
      <c r="AD63" s="206"/>
      <c r="AE63" s="206"/>
      <c r="AF63" s="206"/>
      <c r="AG63" s="206"/>
      <c r="AH63" s="206"/>
      <c r="AI63" s="206"/>
      <c r="AJ63" s="64"/>
      <c r="AK63" s="64"/>
      <c r="AL63" s="64"/>
      <c r="AM63" s="64"/>
      <c r="AN63" s="64"/>
      <c r="AO63" s="64"/>
      <c r="AP63" s="97"/>
      <c r="BF63" s="83"/>
      <c r="BX63" s="83"/>
      <c r="BY63" s="83"/>
      <c r="BZ63" s="83"/>
      <c r="CA63" s="83"/>
      <c r="CB63" s="83"/>
    </row>
    <row r="64" spans="1:85" ht="19.5" thickBot="1" x14ac:dyDescent="0.35">
      <c r="A64" s="3"/>
      <c r="B64" s="135" t="s">
        <v>46</v>
      </c>
      <c r="C64" s="71"/>
      <c r="D64" s="141" t="e">
        <f>F58*(D3*D4)/144</f>
        <v>#VALUE!</v>
      </c>
      <c r="E64" s="256" t="s">
        <v>45</v>
      </c>
      <c r="F64" s="71"/>
      <c r="G64" s="71"/>
      <c r="H64" s="71"/>
      <c r="I64" s="71"/>
      <c r="J64" s="71"/>
      <c r="K64" s="71"/>
      <c r="L64" s="75"/>
      <c r="N64" s="103"/>
      <c r="O64" s="162">
        <f t="shared" si="112"/>
        <v>114</v>
      </c>
      <c r="P64" s="302">
        <v>19</v>
      </c>
      <c r="Q64" s="339"/>
      <c r="R64" s="206"/>
      <c r="S64" s="206"/>
      <c r="T64" s="206"/>
      <c r="U64" s="206"/>
      <c r="V64" s="206"/>
      <c r="W64" s="206"/>
      <c r="X64" s="206"/>
      <c r="Y64" s="206"/>
      <c r="Z64" s="206"/>
      <c r="AA64" s="206"/>
      <c r="AB64" s="206"/>
      <c r="AC64" s="206"/>
      <c r="AD64" s="206"/>
      <c r="AE64" s="206"/>
      <c r="AF64" s="206"/>
      <c r="AG64" s="206"/>
      <c r="AH64" s="206"/>
      <c r="AI64" s="206"/>
      <c r="AJ64" s="64"/>
      <c r="AK64" s="64"/>
      <c r="AL64" s="64"/>
      <c r="AM64" s="64"/>
      <c r="AN64" s="64"/>
      <c r="AO64" s="64"/>
      <c r="AP64" s="97"/>
      <c r="BF64" s="83"/>
      <c r="BX64" s="83"/>
      <c r="BY64" s="83"/>
      <c r="BZ64" s="83"/>
      <c r="CA64" s="83"/>
      <c r="CB64" s="83"/>
    </row>
    <row r="65" spans="1:80" ht="19.5" thickBot="1" x14ac:dyDescent="0.35">
      <c r="A65" s="3"/>
      <c r="B65" s="135" t="s">
        <v>47</v>
      </c>
      <c r="C65" s="71"/>
      <c r="D65" s="142" t="e">
        <f>(D3*D4)/144</f>
        <v>#VALUE!</v>
      </c>
      <c r="E65" s="256" t="s">
        <v>45</v>
      </c>
      <c r="F65" s="71"/>
      <c r="G65" s="71"/>
      <c r="H65" s="71"/>
      <c r="I65" s="71"/>
      <c r="J65" s="71"/>
      <c r="K65" s="71"/>
      <c r="L65" s="75"/>
      <c r="N65" s="103"/>
      <c r="O65" s="162">
        <f t="shared" si="112"/>
        <v>120</v>
      </c>
      <c r="P65" s="302">
        <v>20</v>
      </c>
      <c r="Q65" s="339"/>
      <c r="R65" s="206"/>
      <c r="S65" s="206"/>
      <c r="T65" s="206"/>
      <c r="U65" s="206"/>
      <c r="V65" s="206"/>
      <c r="W65" s="206"/>
      <c r="X65" s="206"/>
      <c r="Y65" s="206"/>
      <c r="Z65" s="206"/>
      <c r="AA65" s="206"/>
      <c r="AB65" s="206"/>
      <c r="AC65" s="206"/>
      <c r="AD65" s="206"/>
      <c r="AE65" s="206"/>
      <c r="AF65" s="206"/>
      <c r="AG65" s="206"/>
      <c r="AH65" s="206"/>
      <c r="AI65" s="206"/>
      <c r="AJ65" s="64"/>
      <c r="AK65" s="64"/>
      <c r="AL65" s="64"/>
      <c r="AM65" s="64"/>
      <c r="AN65" s="64"/>
      <c r="AO65" s="64"/>
      <c r="AP65" s="97"/>
      <c r="BF65" s="83"/>
      <c r="BX65" s="83"/>
      <c r="BY65" s="83"/>
      <c r="BZ65" s="83"/>
      <c r="CA65" s="83"/>
      <c r="CB65" s="83"/>
    </row>
    <row r="66" spans="1:80" ht="19.5" thickBot="1" x14ac:dyDescent="0.35">
      <c r="A66" s="3"/>
      <c r="B66" s="135" t="s">
        <v>81</v>
      </c>
      <c r="C66" s="71"/>
      <c r="D66" s="138" t="e">
        <f>F58*100</f>
        <v>#VALUE!</v>
      </c>
      <c r="E66" s="256" t="s">
        <v>16</v>
      </c>
      <c r="F66" s="71"/>
      <c r="G66" s="71"/>
      <c r="H66" s="71"/>
      <c r="I66" s="71"/>
      <c r="J66" s="71"/>
      <c r="K66" s="71"/>
      <c r="L66" s="75"/>
      <c r="N66" s="103"/>
      <c r="O66" s="149"/>
      <c r="P66" s="65"/>
      <c r="Q66" s="149"/>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5"/>
      <c r="BF66" s="83"/>
      <c r="BX66" s="83"/>
      <c r="BY66" s="83"/>
      <c r="BZ66" s="83"/>
      <c r="CA66" s="83"/>
      <c r="CB66" s="83"/>
    </row>
    <row r="67" spans="1:80" ht="19.5" thickBot="1" x14ac:dyDescent="0.35">
      <c r="A67" s="3"/>
      <c r="B67" s="70"/>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5"/>
    </row>
    <row r="68" spans="1:80" ht="19.5" thickBot="1" x14ac:dyDescent="0.35">
      <c r="A68" s="3"/>
      <c r="B68" s="137" t="s">
        <v>82</v>
      </c>
      <c r="D68" s="311" t="e">
        <f>C5/D64</f>
        <v>#VALUE!</v>
      </c>
      <c r="E68" s="256" t="s">
        <v>48</v>
      </c>
      <c r="F68" s="72"/>
      <c r="G68" s="72"/>
      <c r="H68" s="72"/>
      <c r="I68" s="72"/>
      <c r="J68" s="72"/>
      <c r="K68" s="72"/>
      <c r="L68" s="81"/>
      <c r="N68" s="164"/>
      <c r="O68" s="163"/>
      <c r="P68" s="69"/>
      <c r="Q68" s="163"/>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9"/>
    </row>
    <row r="69" spans="1:80" ht="18.75" x14ac:dyDescent="0.3">
      <c r="A69" s="3"/>
      <c r="B69" s="152" t="s">
        <v>83</v>
      </c>
      <c r="C69" s="136" t="s">
        <v>9</v>
      </c>
      <c r="D69" s="312" t="e">
        <f>5.62815492008723E-08*D68^2 + 3.13321353359811E-07*D68 - 0.0000884345950765315</f>
        <v>#VALUE!</v>
      </c>
      <c r="E69" s="256" t="s">
        <v>99</v>
      </c>
      <c r="F69" s="72"/>
      <c r="G69" s="72"/>
      <c r="H69" s="72"/>
      <c r="I69" s="72"/>
      <c r="J69" s="72"/>
      <c r="K69" s="72"/>
      <c r="L69" s="81"/>
    </row>
    <row r="70" spans="1:80" ht="18.75" x14ac:dyDescent="0.3">
      <c r="A70" s="3"/>
      <c r="B70" s="80"/>
      <c r="C70" s="136" t="s">
        <v>10</v>
      </c>
      <c r="D70" s="312" t="e">
        <f>7.12352120306741E-08*D68^2 + 0.0000011664054765568*D68 - 0.000432905697573276</f>
        <v>#VALUE!</v>
      </c>
      <c r="E70" s="256" t="s">
        <v>99</v>
      </c>
      <c r="F70" s="72"/>
      <c r="G70" s="72"/>
      <c r="H70" s="72"/>
      <c r="I70" s="72"/>
      <c r="J70" s="72"/>
      <c r="K70" s="72"/>
      <c r="L70" s="81"/>
    </row>
    <row r="71" spans="1:80" ht="15.75" thickBot="1" x14ac:dyDescent="0.3">
      <c r="A71" s="3"/>
      <c r="B71" s="211"/>
      <c r="C71" s="76"/>
      <c r="D71" s="76"/>
      <c r="E71" s="76"/>
      <c r="F71" s="76"/>
      <c r="G71" s="76"/>
      <c r="H71" s="76"/>
      <c r="I71" s="76"/>
      <c r="J71" s="76"/>
      <c r="K71" s="76"/>
      <c r="L71" s="77"/>
    </row>
    <row r="72" spans="1:80"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1:80" ht="25.5" customHeight="1" x14ac:dyDescent="0.25">
      <c r="N73" s="494"/>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1:80" ht="15.75" thickBot="1" x14ac:dyDescent="0.3">
      <c r="N74" s="477"/>
      <c r="O74" s="480" t="s">
        <v>194</v>
      </c>
      <c r="P74" s="479"/>
      <c r="Q74" s="47"/>
      <c r="R74" s="47"/>
      <c r="S74" s="47"/>
      <c r="T74" s="47"/>
      <c r="U74" s="47"/>
      <c r="V74" s="47"/>
      <c r="W74" s="278"/>
      <c r="X74" s="178"/>
      <c r="Y74" s="48"/>
      <c r="Z74" s="47" t="s">
        <v>193</v>
      </c>
      <c r="AA74" s="47"/>
      <c r="AB74" s="47" t="e">
        <f>AN57</f>
        <v>#VALUE!</v>
      </c>
      <c r="AC74" s="47" t="s">
        <v>184</v>
      </c>
      <c r="AD74" s="47"/>
      <c r="AE74" s="47"/>
      <c r="AF74" s="47"/>
      <c r="AG74" s="47"/>
      <c r="AH74" s="47"/>
      <c r="AI74" s="47"/>
      <c r="AJ74" s="278"/>
    </row>
    <row r="75" spans="1:80" ht="15.75" thickBot="1" x14ac:dyDescent="0.3">
      <c r="N75" s="476"/>
      <c r="O75" s="47" t="s">
        <v>185</v>
      </c>
      <c r="P75" s="64">
        <v>2.2499999999999999E-2</v>
      </c>
      <c r="Q75" s="47" t="s">
        <v>182</v>
      </c>
      <c r="R75" s="47"/>
      <c r="S75" s="47"/>
      <c r="T75" s="47"/>
      <c r="U75" s="47"/>
      <c r="V75" s="47"/>
      <c r="W75" s="278"/>
      <c r="X75" s="175"/>
      <c r="Y75" s="48"/>
      <c r="Z75" s="47" t="s">
        <v>194</v>
      </c>
      <c r="AA75" s="47"/>
      <c r="AB75" s="471" t="e">
        <f>P78</f>
        <v>#VALUE!</v>
      </c>
      <c r="AC75" s="47" t="s">
        <v>184</v>
      </c>
      <c r="AD75" s="47"/>
      <c r="AE75" s="47"/>
      <c r="AF75" s="47"/>
      <c r="AG75" s="47"/>
      <c r="AH75" s="47"/>
      <c r="AI75" s="47"/>
      <c r="AJ75" s="278"/>
    </row>
    <row r="76" spans="1:80" ht="16.5" thickBot="1" x14ac:dyDescent="0.3">
      <c r="N76" s="477"/>
      <c r="O76" s="47" t="s">
        <v>195</v>
      </c>
      <c r="P76" s="64" t="e">
        <f>((2*D3)+(2*D4))</f>
        <v>#VALUE!</v>
      </c>
      <c r="Q76" s="47" t="s">
        <v>196</v>
      </c>
      <c r="R76" s="47"/>
      <c r="S76" s="47"/>
      <c r="T76" s="47"/>
      <c r="U76" s="47"/>
      <c r="V76" s="47"/>
      <c r="W76" s="278"/>
      <c r="X76" s="175"/>
      <c r="Y76" s="48"/>
      <c r="Z76" s="47" t="s">
        <v>192</v>
      </c>
      <c r="AA76" s="47"/>
      <c r="AB76" s="471" t="e">
        <f>P85</f>
        <v>#VALUE!</v>
      </c>
      <c r="AC76" s="47" t="s">
        <v>184</v>
      </c>
      <c r="AD76" s="47"/>
      <c r="AE76" s="47"/>
      <c r="AF76" s="47"/>
      <c r="AG76" s="47"/>
      <c r="AH76" s="47"/>
      <c r="AI76" s="47"/>
      <c r="AJ76" s="278"/>
      <c r="AL76" s="313"/>
      <c r="AM76" s="313"/>
      <c r="AN76" s="485"/>
      <c r="AO76" s="313"/>
    </row>
    <row r="77" spans="1:80" ht="16.5" thickBot="1" x14ac:dyDescent="0.3">
      <c r="N77" s="48"/>
      <c r="O77" s="47"/>
      <c r="P77" s="47"/>
      <c r="Q77" s="47"/>
      <c r="R77" s="47"/>
      <c r="S77" s="47"/>
      <c r="T77" s="47"/>
      <c r="U77" s="47"/>
      <c r="V77" s="47"/>
      <c r="W77" s="278"/>
      <c r="X77" s="175"/>
      <c r="Y77" s="48"/>
      <c r="Z77" s="47"/>
      <c r="AA77" s="47"/>
      <c r="AB77" s="47"/>
      <c r="AC77" s="47"/>
      <c r="AD77" s="47"/>
      <c r="AE77" s="47"/>
      <c r="AF77" s="47"/>
      <c r="AG77" s="47"/>
      <c r="AH77" s="47"/>
      <c r="AI77" s="47"/>
      <c r="AJ77" s="278"/>
      <c r="AK77" s="83"/>
      <c r="AL77" s="313"/>
      <c r="AM77" s="485"/>
      <c r="AN77" s="485"/>
      <c r="AO77" s="485"/>
    </row>
    <row r="78" spans="1:80" ht="16.5" thickBot="1" x14ac:dyDescent="0.3">
      <c r="N78" s="48"/>
      <c r="O78" s="492" t="s">
        <v>183</v>
      </c>
      <c r="P78" s="153" t="e">
        <f>P76*P75</f>
        <v>#VALUE!</v>
      </c>
      <c r="Q78" s="47" t="s">
        <v>184</v>
      </c>
      <c r="S78" s="47"/>
      <c r="T78" s="47"/>
      <c r="U78" s="47"/>
      <c r="V78" s="47"/>
      <c r="W78" s="278"/>
      <c r="X78" s="175"/>
      <c r="Y78" s="48"/>
      <c r="Z78" s="47" t="s">
        <v>91</v>
      </c>
      <c r="AA78" s="47"/>
      <c r="AB78" s="471" t="e">
        <f>AB74+AB75+AB76</f>
        <v>#VALUE!</v>
      </c>
      <c r="AC78" s="47" t="s">
        <v>184</v>
      </c>
      <c r="AD78" s="47"/>
      <c r="AE78" s="47"/>
      <c r="AF78" s="47"/>
      <c r="AG78" s="47"/>
      <c r="AH78" s="47"/>
      <c r="AI78" s="47"/>
      <c r="AJ78" s="278"/>
      <c r="AL78" s="486"/>
      <c r="AM78" s="485"/>
      <c r="AN78" s="487"/>
      <c r="AO78" s="485"/>
    </row>
    <row r="79" spans="1:80" ht="15.75" x14ac:dyDescent="0.25">
      <c r="N79" s="48"/>
      <c r="O79" s="480"/>
      <c r="P79" s="47"/>
      <c r="Q79" s="47"/>
      <c r="R79" s="47"/>
      <c r="S79" s="47"/>
      <c r="T79" s="47"/>
      <c r="U79" s="47"/>
      <c r="V79" s="47"/>
      <c r="W79" s="278"/>
      <c r="X79" s="175"/>
      <c r="Y79" s="48"/>
      <c r="Z79" s="47" t="s">
        <v>90</v>
      </c>
      <c r="AA79" s="47"/>
      <c r="AB79" s="471" t="e">
        <f>AB78/C11</f>
        <v>#VALUE!</v>
      </c>
      <c r="AC79" s="47" t="s">
        <v>184</v>
      </c>
      <c r="AD79" s="47"/>
      <c r="AE79" s="47"/>
      <c r="AF79" s="47"/>
      <c r="AG79" s="47"/>
      <c r="AH79" s="47"/>
      <c r="AI79" s="47"/>
      <c r="AJ79" s="278"/>
      <c r="AL79" s="313"/>
      <c r="AM79" s="485"/>
      <c r="AN79" s="485"/>
      <c r="AO79" s="485"/>
    </row>
    <row r="80" spans="1:80" x14ac:dyDescent="0.25">
      <c r="N80" s="48"/>
      <c r="O80" s="480"/>
      <c r="P80" s="47"/>
      <c r="Q80" s="47"/>
      <c r="R80" s="47"/>
      <c r="S80" s="47"/>
      <c r="T80" s="47"/>
      <c r="U80" s="47"/>
      <c r="V80" s="47"/>
      <c r="W80" s="278"/>
      <c r="X80" s="175"/>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X81" s="175"/>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X82" s="175"/>
      <c r="Y82" s="48"/>
      <c r="Z82" s="47"/>
      <c r="AA82" s="47"/>
      <c r="AB82" s="47"/>
      <c r="AC82" s="47"/>
      <c r="AD82" s="47"/>
      <c r="AE82" s="47"/>
      <c r="AF82" s="47"/>
      <c r="AG82" s="47"/>
      <c r="AH82" s="47"/>
      <c r="AI82" s="47"/>
      <c r="AJ82" s="278"/>
      <c r="AM82" s="146"/>
    </row>
    <row r="83" spans="14:43" ht="15.75" thickBot="1" x14ac:dyDescent="0.3">
      <c r="N83" s="48"/>
      <c r="O83" s="47" t="s">
        <v>197</v>
      </c>
      <c r="P83" s="64" t="e">
        <f>(D3*D4)</f>
        <v>#VALUE!</v>
      </c>
      <c r="Q83" s="47" t="s">
        <v>198</v>
      </c>
      <c r="R83" s="64"/>
      <c r="S83" s="47"/>
      <c r="T83" s="47"/>
      <c r="U83" s="47"/>
      <c r="V83" s="47"/>
      <c r="W83" s="278"/>
      <c r="X83" s="175"/>
      <c r="Y83" s="48"/>
      <c r="Z83" s="47"/>
      <c r="AA83" s="47"/>
      <c r="AB83" s="47"/>
      <c r="AC83" s="47"/>
      <c r="AD83" s="47"/>
      <c r="AE83" s="47"/>
      <c r="AF83" s="47"/>
      <c r="AG83" s="47"/>
      <c r="AH83" s="47"/>
      <c r="AI83" s="47"/>
      <c r="AJ83" s="278"/>
      <c r="AM83" s="146"/>
    </row>
    <row r="84" spans="14:43" ht="15.75" thickBot="1" x14ac:dyDescent="0.3">
      <c r="N84" s="48"/>
      <c r="O84" s="47"/>
      <c r="P84" s="47"/>
      <c r="Q84" s="47"/>
      <c r="R84" s="64"/>
      <c r="S84" s="47"/>
      <c r="T84" s="47"/>
      <c r="U84" s="47"/>
      <c r="V84" s="47"/>
      <c r="W84" s="278"/>
      <c r="X84" s="175"/>
      <c r="Y84" s="48"/>
      <c r="Z84" s="47"/>
      <c r="AA84" s="47"/>
      <c r="AB84" s="47"/>
      <c r="AC84" s="47"/>
      <c r="AD84" s="47"/>
      <c r="AE84" s="47"/>
      <c r="AF84" s="47"/>
      <c r="AG84" s="47"/>
      <c r="AH84" s="47"/>
      <c r="AI84" s="47"/>
      <c r="AJ84" s="278"/>
    </row>
    <row r="85" spans="14:43" ht="16.5" thickBot="1" x14ac:dyDescent="0.3">
      <c r="N85" s="48"/>
      <c r="O85" s="493" t="s">
        <v>192</v>
      </c>
      <c r="P85" s="153" t="e">
        <f>P83*P82</f>
        <v>#VALUE!</v>
      </c>
      <c r="Q85" s="47" t="s">
        <v>184</v>
      </c>
      <c r="S85" s="47"/>
      <c r="T85" s="47"/>
      <c r="U85" s="47"/>
      <c r="V85" s="47"/>
      <c r="W85" s="278"/>
      <c r="X85" s="175"/>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X86" s="175"/>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X87" s="175"/>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X88" s="175"/>
      <c r="Y88" s="49"/>
      <c r="Z88" s="50"/>
      <c r="AA88" s="50"/>
      <c r="AB88" s="50"/>
      <c r="AC88" s="50"/>
      <c r="AD88" s="50"/>
      <c r="AE88" s="50"/>
      <c r="AF88" s="50"/>
      <c r="AG88" s="50"/>
      <c r="AH88" s="50"/>
      <c r="AI88" s="50"/>
      <c r="AJ88" s="279"/>
      <c r="AQ88" s="83"/>
    </row>
    <row r="89" spans="14:43" x14ac:dyDescent="0.25">
      <c r="O89" s="481"/>
      <c r="P89" s="482"/>
      <c r="Q89" s="175"/>
      <c r="R89" s="175"/>
      <c r="S89" s="175"/>
      <c r="T89" s="175"/>
      <c r="U89" s="175"/>
      <c r="V89" s="175"/>
      <c r="W89" s="175"/>
      <c r="X89" s="175"/>
      <c r="Y89" s="175"/>
      <c r="Z89" s="175"/>
      <c r="AA89" s="175"/>
      <c r="AB89" s="175"/>
      <c r="AC89" s="175"/>
      <c r="AD89" s="175"/>
      <c r="AE89" s="175"/>
      <c r="AF89" s="175"/>
      <c r="AG89" s="175"/>
      <c r="AH89" s="175"/>
      <c r="AI89" s="175"/>
      <c r="AK89" s="175"/>
      <c r="AQ89" s="83"/>
    </row>
    <row r="90" spans="14:43" x14ac:dyDescent="0.25">
      <c r="O90" s="481"/>
      <c r="P90" s="482"/>
      <c r="Q90" s="175"/>
      <c r="R90" s="175"/>
      <c r="S90" s="175"/>
      <c r="T90" s="175"/>
      <c r="U90" s="175"/>
      <c r="V90" s="175"/>
      <c r="W90" s="175"/>
      <c r="X90" s="175"/>
      <c r="Y90" s="175"/>
      <c r="Z90" s="175"/>
      <c r="AA90" s="175"/>
      <c r="AB90" s="175"/>
      <c r="AC90" s="175"/>
      <c r="AD90" s="175"/>
      <c r="AE90" s="175"/>
      <c r="AF90" s="175"/>
      <c r="AG90" s="175"/>
      <c r="AH90" s="175"/>
      <c r="AI90" s="175"/>
      <c r="AK90" s="175"/>
      <c r="AQ90" s="83"/>
    </row>
    <row r="91" spans="14:43" x14ac:dyDescent="0.25">
      <c r="O91" s="481"/>
      <c r="P91" s="482"/>
      <c r="Q91" s="175"/>
      <c r="R91" s="175"/>
      <c r="S91" s="175"/>
      <c r="T91" s="175"/>
      <c r="U91" s="175"/>
      <c r="V91" s="175"/>
      <c r="W91" s="175"/>
      <c r="X91" s="175"/>
      <c r="Y91" s="175"/>
      <c r="Z91" s="175"/>
      <c r="AA91" s="175"/>
      <c r="AB91" s="175"/>
      <c r="AC91" s="175"/>
      <c r="AD91" s="175"/>
      <c r="AE91" s="175"/>
      <c r="AF91" s="175"/>
      <c r="AG91" s="175"/>
      <c r="AH91" s="175"/>
      <c r="AI91" s="175"/>
      <c r="AK91" s="175"/>
      <c r="AQ91" s="83"/>
    </row>
    <row r="92" spans="14:43" x14ac:dyDescent="0.25">
      <c r="O92" s="481"/>
      <c r="P92" s="482"/>
      <c r="Q92" s="175"/>
      <c r="R92" s="175"/>
      <c r="S92" s="175"/>
      <c r="T92" s="175"/>
      <c r="U92" s="175"/>
      <c r="V92" s="175"/>
      <c r="W92" s="175"/>
      <c r="X92" s="175"/>
      <c r="Y92" s="175"/>
      <c r="Z92" s="175"/>
      <c r="AA92" s="175"/>
      <c r="AB92" s="175"/>
      <c r="AC92" s="175"/>
      <c r="AD92" s="175"/>
      <c r="AE92" s="175"/>
      <c r="AF92" s="175"/>
      <c r="AG92" s="175"/>
      <c r="AH92" s="175"/>
      <c r="AI92" s="175"/>
      <c r="AK92" s="175"/>
      <c r="AQ92" s="83"/>
    </row>
    <row r="93" spans="14:43" ht="18.75" customHeight="1" x14ac:dyDescent="0.25">
      <c r="O93" s="481"/>
      <c r="P93" s="482"/>
      <c r="Q93" s="175"/>
      <c r="R93" s="175"/>
      <c r="S93" s="175"/>
      <c r="T93" s="175"/>
      <c r="U93" s="175"/>
      <c r="V93" s="175"/>
      <c r="W93" s="175"/>
      <c r="X93" s="175"/>
      <c r="Y93" s="175"/>
      <c r="Z93" s="175"/>
      <c r="AA93" s="175"/>
      <c r="AB93" s="175"/>
      <c r="AC93" s="175"/>
      <c r="AD93" s="175"/>
      <c r="AE93" s="175"/>
      <c r="AF93" s="175"/>
      <c r="AG93" s="175"/>
      <c r="AH93" s="175"/>
      <c r="AI93" s="175"/>
      <c r="AK93" s="175"/>
      <c r="AQ93" s="83"/>
    </row>
    <row r="94" spans="14:43" ht="18.75" customHeight="1" x14ac:dyDescent="0.25">
      <c r="O94" s="481"/>
      <c r="P94" s="482"/>
      <c r="AK94" s="175"/>
      <c r="AQ94" s="83"/>
    </row>
    <row r="95" spans="14:43" x14ac:dyDescent="0.25">
      <c r="P95" s="482"/>
    </row>
    <row r="100" spans="4:41" ht="21" x14ac:dyDescent="0.35">
      <c r="N100" s="74"/>
    </row>
    <row r="101" spans="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4:41" x14ac:dyDescent="0.25">
      <c r="N102" s="484"/>
      <c r="P102" s="482"/>
      <c r="Q102" s="178"/>
      <c r="R102" s="178"/>
      <c r="S102" s="178"/>
      <c r="T102" s="178"/>
      <c r="U102" s="178"/>
      <c r="V102" s="178"/>
      <c r="W102" s="178"/>
      <c r="X102" s="178"/>
      <c r="Y102" s="178"/>
      <c r="Z102" s="178"/>
      <c r="AA102" s="178"/>
      <c r="AB102" s="178"/>
      <c r="AC102" s="178"/>
      <c r="AD102" s="178"/>
      <c r="AE102" s="178"/>
      <c r="AF102" s="178"/>
      <c r="AG102" s="178"/>
      <c r="AH102" s="178"/>
      <c r="AI102" s="178"/>
    </row>
    <row r="103" spans="4:41" x14ac:dyDescent="0.25">
      <c r="D103" s="140"/>
      <c r="N103" s="483"/>
      <c r="O103" s="481"/>
      <c r="P103" s="482"/>
      <c r="Q103" s="175"/>
      <c r="R103" s="175"/>
      <c r="S103" s="175"/>
      <c r="T103" s="175"/>
      <c r="U103" s="175"/>
      <c r="V103" s="175"/>
      <c r="W103" s="175"/>
      <c r="X103" s="175"/>
      <c r="Y103" s="175"/>
      <c r="Z103" s="175"/>
      <c r="AA103" s="175"/>
      <c r="AB103" s="175"/>
      <c r="AC103" s="175"/>
      <c r="AD103" s="175"/>
      <c r="AE103" s="175"/>
      <c r="AF103" s="175"/>
      <c r="AG103" s="175"/>
      <c r="AH103" s="175"/>
      <c r="AI103" s="175"/>
    </row>
    <row r="104" spans="4:41" ht="15.75" x14ac:dyDescent="0.25">
      <c r="N104" s="484"/>
      <c r="O104" s="481"/>
      <c r="P104" s="482"/>
      <c r="Q104" s="175"/>
      <c r="R104" s="175"/>
      <c r="S104" s="175"/>
      <c r="T104" s="175"/>
      <c r="U104" s="175"/>
      <c r="V104" s="175"/>
      <c r="W104" s="175"/>
      <c r="X104" s="175"/>
      <c r="Y104" s="175"/>
      <c r="Z104" s="175"/>
      <c r="AA104" s="175"/>
      <c r="AB104" s="175"/>
      <c r="AC104" s="175"/>
      <c r="AD104" s="175"/>
      <c r="AE104" s="175"/>
      <c r="AF104" s="175"/>
      <c r="AG104" s="175"/>
      <c r="AH104" s="175"/>
      <c r="AI104" s="175"/>
      <c r="AL104" s="313"/>
      <c r="AM104" s="313"/>
      <c r="AN104" s="485"/>
      <c r="AO104" s="313"/>
    </row>
    <row r="105" spans="4:41" ht="15.75" x14ac:dyDescent="0.25">
      <c r="G105" s="83"/>
      <c r="I105" s="177"/>
      <c r="K105" s="264"/>
      <c r="L105" s="177"/>
      <c r="O105" s="481"/>
      <c r="P105" s="482"/>
      <c r="Q105" s="175"/>
      <c r="R105" s="175"/>
      <c r="S105" s="175"/>
      <c r="T105" s="175"/>
      <c r="U105" s="175"/>
      <c r="V105" s="175"/>
      <c r="W105" s="175"/>
      <c r="X105" s="175"/>
      <c r="Y105" s="175"/>
      <c r="Z105" s="175"/>
      <c r="AA105" s="175"/>
      <c r="AB105" s="175"/>
      <c r="AC105" s="175"/>
      <c r="AD105" s="175"/>
      <c r="AE105" s="175"/>
      <c r="AF105" s="175"/>
      <c r="AG105" s="175"/>
      <c r="AH105" s="175"/>
      <c r="AI105" s="175"/>
      <c r="AK105" s="83"/>
      <c r="AL105" s="313"/>
      <c r="AM105" s="485"/>
      <c r="AN105" s="485"/>
      <c r="AO105" s="485"/>
    </row>
    <row r="106" spans="4:41" ht="15.75" x14ac:dyDescent="0.25">
      <c r="G106" s="83"/>
      <c r="I106" s="177"/>
      <c r="K106" s="264"/>
      <c r="L106" s="177"/>
      <c r="O106" s="481"/>
      <c r="P106" s="482"/>
      <c r="Q106" s="175"/>
      <c r="R106" s="175"/>
      <c r="S106" s="175"/>
      <c r="T106" s="175"/>
      <c r="U106" s="175"/>
      <c r="V106" s="175"/>
      <c r="W106" s="175"/>
      <c r="X106" s="175"/>
      <c r="Y106" s="175"/>
      <c r="Z106" s="175"/>
      <c r="AA106" s="175"/>
      <c r="AB106" s="175"/>
      <c r="AC106" s="175"/>
      <c r="AD106" s="175"/>
      <c r="AE106" s="175"/>
      <c r="AF106" s="175"/>
      <c r="AG106" s="175"/>
      <c r="AH106" s="175"/>
      <c r="AI106" s="175"/>
      <c r="AL106" s="486"/>
      <c r="AM106" s="485"/>
      <c r="AN106" s="487"/>
      <c r="AO106" s="485"/>
    </row>
    <row r="107" spans="4:41" ht="15.75" x14ac:dyDescent="0.25">
      <c r="G107" s="83"/>
      <c r="I107" s="177"/>
      <c r="K107" s="264"/>
      <c r="L107" s="177"/>
      <c r="O107" s="481"/>
      <c r="P107" s="482"/>
      <c r="Q107" s="175"/>
      <c r="R107" s="175"/>
      <c r="S107" s="175"/>
      <c r="T107" s="175"/>
      <c r="U107" s="175"/>
      <c r="V107" s="175"/>
      <c r="W107" s="175"/>
      <c r="X107" s="175"/>
      <c r="Y107" s="175"/>
      <c r="Z107" s="175"/>
      <c r="AA107" s="175"/>
      <c r="AB107" s="175"/>
      <c r="AC107" s="175"/>
      <c r="AD107" s="175"/>
      <c r="AE107" s="175"/>
      <c r="AF107" s="175"/>
      <c r="AG107" s="175"/>
      <c r="AH107" s="175"/>
      <c r="AI107" s="175"/>
      <c r="AL107" s="313"/>
      <c r="AM107" s="485"/>
      <c r="AN107" s="485"/>
      <c r="AO107" s="485"/>
    </row>
    <row r="108" spans="4:41" x14ac:dyDescent="0.25">
      <c r="G108" s="83"/>
      <c r="I108" s="177"/>
      <c r="K108" s="264"/>
      <c r="L108" s="177"/>
      <c r="O108" s="481"/>
      <c r="P108" s="482"/>
      <c r="Q108" s="175"/>
      <c r="R108" s="175"/>
      <c r="S108" s="175"/>
      <c r="T108" s="175"/>
      <c r="U108" s="175"/>
      <c r="V108" s="175"/>
      <c r="W108" s="175"/>
      <c r="X108" s="175"/>
      <c r="Y108" s="175"/>
      <c r="Z108" s="175"/>
      <c r="AA108" s="175"/>
      <c r="AB108" s="175"/>
      <c r="AC108" s="175"/>
      <c r="AD108" s="175"/>
      <c r="AE108" s="175"/>
      <c r="AF108" s="175"/>
      <c r="AG108" s="175"/>
      <c r="AH108" s="175"/>
      <c r="AI108" s="175"/>
    </row>
    <row r="109" spans="4:41" x14ac:dyDescent="0.25">
      <c r="G109" s="83"/>
      <c r="I109" s="177"/>
      <c r="K109" s="264"/>
      <c r="L109" s="177"/>
      <c r="O109" s="481"/>
      <c r="P109" s="482"/>
      <c r="Q109" s="175"/>
      <c r="R109" s="175"/>
      <c r="S109" s="175"/>
      <c r="T109" s="175"/>
      <c r="U109" s="175"/>
      <c r="V109" s="175"/>
      <c r="W109" s="175"/>
      <c r="X109" s="175"/>
      <c r="Y109" s="175"/>
      <c r="Z109" s="175"/>
      <c r="AA109" s="175"/>
      <c r="AB109" s="175"/>
      <c r="AC109" s="175"/>
      <c r="AD109" s="175"/>
      <c r="AE109" s="175"/>
      <c r="AF109" s="175"/>
      <c r="AG109" s="175"/>
      <c r="AH109" s="175"/>
      <c r="AI109" s="175"/>
    </row>
    <row r="110" spans="4:41" x14ac:dyDescent="0.25">
      <c r="G110" s="83"/>
      <c r="I110" s="177"/>
      <c r="K110" s="264"/>
      <c r="L110" s="177"/>
      <c r="O110" s="481"/>
      <c r="P110" s="482"/>
      <c r="Q110" s="175"/>
      <c r="R110" s="175"/>
      <c r="S110" s="175"/>
      <c r="T110" s="175"/>
      <c r="U110" s="175"/>
      <c r="V110" s="175"/>
      <c r="W110" s="175"/>
      <c r="X110" s="175"/>
      <c r="Y110" s="175"/>
      <c r="Z110" s="175"/>
      <c r="AA110" s="175"/>
      <c r="AB110" s="175"/>
      <c r="AC110" s="175"/>
      <c r="AD110" s="175"/>
      <c r="AE110" s="175"/>
      <c r="AF110" s="175"/>
      <c r="AG110" s="175"/>
      <c r="AH110" s="175"/>
      <c r="AI110" s="175"/>
    </row>
    <row r="111" spans="4:41" x14ac:dyDescent="0.25">
      <c r="O111" s="481"/>
      <c r="P111" s="482"/>
      <c r="Q111" s="175"/>
      <c r="R111" s="175"/>
      <c r="S111" s="175"/>
      <c r="T111" s="175"/>
      <c r="U111" s="175"/>
      <c r="V111" s="175"/>
      <c r="W111" s="175"/>
      <c r="X111" s="175"/>
      <c r="Y111" s="175"/>
      <c r="Z111" s="175"/>
      <c r="AA111" s="175"/>
      <c r="AB111" s="175"/>
      <c r="AC111" s="175"/>
      <c r="AD111" s="175"/>
      <c r="AE111" s="175"/>
      <c r="AF111" s="175"/>
      <c r="AG111" s="175"/>
      <c r="AH111" s="175"/>
      <c r="AI111" s="175"/>
    </row>
    <row r="112" spans="4:41" x14ac:dyDescent="0.25">
      <c r="O112" s="481"/>
      <c r="P112" s="482"/>
      <c r="Q112" s="175"/>
      <c r="R112" s="175"/>
      <c r="S112" s="175"/>
      <c r="T112" s="175"/>
      <c r="U112" s="175"/>
      <c r="V112" s="175"/>
      <c r="W112" s="175"/>
      <c r="X112" s="175"/>
      <c r="Y112" s="175"/>
      <c r="Z112" s="175"/>
      <c r="AA112" s="175"/>
      <c r="AB112" s="175"/>
      <c r="AC112" s="175"/>
      <c r="AD112" s="175"/>
      <c r="AE112" s="175"/>
      <c r="AF112" s="175"/>
      <c r="AG112" s="175"/>
      <c r="AH112" s="175"/>
      <c r="AI112" s="175"/>
    </row>
    <row r="113" spans="15:43" ht="15.75" x14ac:dyDescent="0.25">
      <c r="O113" s="481"/>
      <c r="P113" s="482"/>
      <c r="Q113" s="175"/>
      <c r="R113" s="175"/>
      <c r="S113" s="175"/>
      <c r="T113" s="175"/>
      <c r="U113" s="175"/>
      <c r="V113" s="175"/>
      <c r="W113" s="175"/>
      <c r="X113" s="175"/>
      <c r="Y113" s="175"/>
      <c r="Z113" s="175"/>
      <c r="AA113" s="175"/>
      <c r="AB113" s="175"/>
      <c r="AC113" s="175"/>
      <c r="AD113" s="175"/>
      <c r="AE113" s="175"/>
      <c r="AF113" s="175"/>
      <c r="AG113" s="175"/>
      <c r="AH113" s="175"/>
      <c r="AI113" s="175"/>
      <c r="AN113" s="488"/>
    </row>
    <row r="114" spans="15:43" ht="15.75" x14ac:dyDescent="0.25">
      <c r="O114" s="481"/>
      <c r="P114" s="482"/>
      <c r="Q114" s="175"/>
      <c r="R114" s="175"/>
      <c r="S114" s="175"/>
      <c r="T114" s="175"/>
      <c r="U114" s="175"/>
      <c r="V114" s="175"/>
      <c r="W114" s="175"/>
      <c r="X114" s="175"/>
      <c r="Y114" s="175"/>
      <c r="Z114" s="175"/>
      <c r="AA114" s="175"/>
      <c r="AB114" s="175"/>
      <c r="AC114" s="175"/>
      <c r="AD114" s="175"/>
      <c r="AE114" s="175"/>
      <c r="AF114" s="175"/>
      <c r="AG114" s="175"/>
      <c r="AH114" s="175"/>
      <c r="AI114" s="175"/>
      <c r="AM114" s="488"/>
      <c r="AN114" s="488"/>
    </row>
    <row r="115" spans="15:43" x14ac:dyDescent="0.25">
      <c r="O115" s="481"/>
      <c r="P115" s="482"/>
      <c r="Q115" s="175"/>
      <c r="R115" s="175"/>
      <c r="S115" s="175"/>
      <c r="T115" s="175"/>
      <c r="U115" s="175"/>
      <c r="V115" s="175"/>
      <c r="W115" s="175"/>
      <c r="X115" s="175"/>
      <c r="Y115" s="175"/>
      <c r="Z115" s="175"/>
      <c r="AA115" s="175"/>
      <c r="AB115" s="175"/>
      <c r="AC115" s="175"/>
      <c r="AD115" s="175"/>
      <c r="AE115" s="175"/>
      <c r="AF115" s="175"/>
      <c r="AG115" s="175"/>
      <c r="AH115" s="175"/>
      <c r="AI115" s="175"/>
    </row>
    <row r="116" spans="15:43" x14ac:dyDescent="0.25">
      <c r="O116" s="481"/>
      <c r="P116" s="482"/>
      <c r="Q116" s="175"/>
      <c r="R116" s="175"/>
      <c r="S116" s="175"/>
      <c r="T116" s="175"/>
      <c r="U116" s="175"/>
      <c r="V116" s="175"/>
      <c r="W116" s="175"/>
      <c r="X116" s="175"/>
      <c r="Y116" s="175"/>
      <c r="Z116" s="175"/>
      <c r="AA116" s="175"/>
      <c r="AB116" s="175"/>
      <c r="AC116" s="175"/>
      <c r="AD116" s="175"/>
      <c r="AE116" s="175"/>
      <c r="AF116" s="175"/>
      <c r="AG116" s="175"/>
      <c r="AH116" s="175"/>
      <c r="AI116" s="175"/>
      <c r="AQ116" s="83"/>
    </row>
    <row r="117" spans="15:43" x14ac:dyDescent="0.25">
      <c r="O117" s="481"/>
      <c r="P117" s="482"/>
      <c r="Q117" s="175"/>
      <c r="R117" s="175"/>
      <c r="S117" s="175"/>
      <c r="T117" s="175"/>
      <c r="U117" s="175"/>
      <c r="V117" s="175"/>
      <c r="W117" s="175"/>
      <c r="X117" s="175"/>
      <c r="Y117" s="175"/>
      <c r="Z117" s="175"/>
      <c r="AA117" s="175"/>
      <c r="AB117" s="175"/>
      <c r="AC117" s="175"/>
      <c r="AD117" s="175"/>
      <c r="AE117" s="175"/>
      <c r="AF117" s="175"/>
      <c r="AG117" s="175"/>
      <c r="AH117" s="175"/>
      <c r="AI117" s="175"/>
      <c r="AK117" s="175"/>
      <c r="AQ117" s="83"/>
    </row>
    <row r="118" spans="15:43" x14ac:dyDescent="0.25">
      <c r="O118" s="481"/>
      <c r="P118" s="482"/>
      <c r="Q118" s="175"/>
      <c r="R118" s="175"/>
      <c r="S118" s="175"/>
      <c r="T118" s="175"/>
      <c r="U118" s="175"/>
      <c r="V118" s="175"/>
      <c r="W118" s="175"/>
      <c r="X118" s="175"/>
      <c r="Y118" s="175"/>
      <c r="Z118" s="175"/>
      <c r="AA118" s="175"/>
      <c r="AB118" s="175"/>
      <c r="AC118" s="175"/>
      <c r="AD118" s="175"/>
      <c r="AE118" s="175"/>
      <c r="AF118" s="175"/>
      <c r="AG118" s="175"/>
      <c r="AH118" s="175"/>
      <c r="AI118" s="175"/>
      <c r="AK118" s="175"/>
      <c r="AQ118" s="83"/>
    </row>
    <row r="119" spans="15:43" x14ac:dyDescent="0.25">
      <c r="O119" s="481"/>
      <c r="P119" s="482"/>
      <c r="Q119" s="175"/>
      <c r="R119" s="175"/>
      <c r="S119" s="175"/>
      <c r="T119" s="175"/>
      <c r="U119" s="175"/>
      <c r="V119" s="175"/>
      <c r="W119" s="175"/>
      <c r="X119" s="175"/>
      <c r="Y119" s="175"/>
      <c r="Z119" s="175"/>
      <c r="AA119" s="175"/>
      <c r="AB119" s="175"/>
      <c r="AC119" s="175"/>
      <c r="AD119" s="175"/>
      <c r="AE119" s="175"/>
      <c r="AF119" s="175"/>
      <c r="AG119" s="175"/>
      <c r="AH119" s="175"/>
      <c r="AI119" s="175"/>
      <c r="AK119" s="175"/>
      <c r="AQ119" s="83"/>
    </row>
    <row r="120" spans="15:43" x14ac:dyDescent="0.25">
      <c r="O120" s="481"/>
      <c r="P120" s="482"/>
      <c r="Q120" s="175"/>
      <c r="R120" s="175"/>
      <c r="S120" s="175"/>
      <c r="T120" s="175"/>
      <c r="U120" s="175"/>
      <c r="V120" s="175"/>
      <c r="W120" s="175"/>
      <c r="X120" s="175"/>
      <c r="Y120" s="175"/>
      <c r="Z120" s="175"/>
      <c r="AA120" s="175"/>
      <c r="AB120" s="175"/>
      <c r="AC120" s="175"/>
      <c r="AD120" s="175"/>
      <c r="AE120" s="175"/>
      <c r="AF120" s="175"/>
      <c r="AG120" s="175"/>
      <c r="AH120" s="175"/>
      <c r="AI120" s="175"/>
      <c r="AK120" s="175"/>
      <c r="AQ120" s="83"/>
    </row>
    <row r="121" spans="15:43" x14ac:dyDescent="0.25">
      <c r="O121" s="481"/>
      <c r="P121" s="482"/>
      <c r="Q121" s="175"/>
      <c r="R121" s="175"/>
      <c r="S121" s="175"/>
      <c r="T121" s="175"/>
      <c r="U121" s="175"/>
      <c r="V121" s="175"/>
      <c r="W121" s="175"/>
      <c r="X121" s="175"/>
      <c r="Y121" s="175"/>
      <c r="Z121" s="175"/>
      <c r="AA121" s="175"/>
      <c r="AB121" s="175"/>
      <c r="AC121" s="175"/>
      <c r="AD121" s="175"/>
      <c r="AE121" s="175"/>
      <c r="AF121" s="175"/>
      <c r="AG121" s="175"/>
      <c r="AH121" s="175"/>
      <c r="AI121" s="175"/>
      <c r="AK121" s="175"/>
      <c r="AQ121" s="83"/>
    </row>
    <row r="122" spans="15:43" x14ac:dyDescent="0.25">
      <c r="O122" s="481"/>
      <c r="P122" s="482"/>
      <c r="AK122" s="175"/>
      <c r="AQ122" s="83"/>
    </row>
    <row r="123" spans="15:43" x14ac:dyDescent="0.25">
      <c r="P123" s="482"/>
    </row>
    <row r="137" ht="15" customHeight="1" x14ac:dyDescent="0.25"/>
    <row r="145" spans="3:3" x14ac:dyDescent="0.25">
      <c r="C145" s="179"/>
    </row>
    <row r="146" spans="3:3" x14ac:dyDescent="0.25">
      <c r="C146" s="179"/>
    </row>
    <row r="278" spans="14:15" x14ac:dyDescent="0.25">
      <c r="N278" s="146"/>
      <c r="O278" s="145"/>
    </row>
  </sheetData>
  <sheetProtection selectLockedCells="1" selectUnlockedCells="1"/>
  <mergeCells count="7">
    <mergeCell ref="AT16:IN16"/>
    <mergeCell ref="AU18:AV20"/>
    <mergeCell ref="AX18:HW19"/>
    <mergeCell ref="IG19:IM19"/>
    <mergeCell ref="B47:C47"/>
    <mergeCell ref="D16:V16"/>
    <mergeCell ref="N45:N46"/>
  </mergeCells>
  <conditionalFormatting sqref="Q48:AA61">
    <cfRule type="colorScale" priority="6">
      <colorScale>
        <cfvo type="min"/>
        <cfvo type="percentile" val="50"/>
        <cfvo type="max"/>
        <color rgb="FF63BE7B"/>
        <color rgb="FFFFEB84"/>
        <color rgb="FFF8696B"/>
      </colorScale>
    </cfRule>
  </conditionalFormatting>
  <conditionalFormatting sqref="Q89:AA89 X76:X88">
    <cfRule type="colorScale" priority="3">
      <colorScale>
        <cfvo type="min"/>
        <cfvo type="percentile" val="50"/>
        <cfvo type="max"/>
        <color rgb="FF63BE7B"/>
        <color rgb="FFFFEB84"/>
        <color rgb="FFF8696B"/>
      </colorScale>
    </cfRule>
  </conditionalFormatting>
  <conditionalFormatting sqref="Q104:AA117">
    <cfRule type="colorScale" priority="2">
      <colorScale>
        <cfvo type="min"/>
        <cfvo type="percentile" val="50"/>
        <cfvo type="max"/>
        <color rgb="FF63BE7B"/>
        <color rgb="FFFFEB84"/>
        <color rgb="FFF8696B"/>
      </colorScale>
    </cfRule>
  </conditionalFormatting>
  <conditionalFormatting sqref="Q94:AB94">
    <cfRule type="colorScale" priority="5">
      <colorScale>
        <cfvo type="min"/>
        <cfvo type="percentile" val="50"/>
        <cfvo type="max"/>
        <color rgb="FF63BE7B"/>
        <color rgb="FFFFEB84"/>
        <color rgb="FFF8696B"/>
      </colorScale>
    </cfRule>
  </conditionalFormatting>
  <conditionalFormatting sqref="Q122:AB122 AJ103:AJ112">
    <cfRule type="colorScale" priority="4">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48"/>
  <sheetViews>
    <sheetView showGridLines="0" tabSelected="1" view="pageBreakPreview" zoomScale="130" zoomScaleNormal="160" zoomScaleSheetLayoutView="130" workbookViewId="0">
      <selection activeCell="I43" sqref="I43"/>
    </sheetView>
  </sheetViews>
  <sheetFormatPr defaultRowHeight="15" x14ac:dyDescent="0.25"/>
  <cols>
    <col min="1" max="1" width="17.7109375" customWidth="1"/>
    <col min="2" max="2" width="11.28515625" customWidth="1"/>
    <col min="3" max="3" width="11.42578125" customWidth="1"/>
    <col min="4" max="4" width="7.85546875" customWidth="1"/>
    <col min="5" max="9" width="10.140625" customWidth="1"/>
    <col min="10" max="10" width="16.140625" customWidth="1"/>
    <col min="12" max="12" width="9.140625" customWidth="1"/>
  </cols>
  <sheetData>
    <row r="1" spans="1:12" x14ac:dyDescent="0.25">
      <c r="A1" s="84"/>
      <c r="B1" s="84"/>
      <c r="C1" s="520" t="str">
        <f>IF(D1="","","Job Name:")</f>
        <v/>
      </c>
      <c r="D1" s="337" t="str">
        <f>IF(OR('DATA ENTRY'!B17="",'DATA ENTRY'!B17="ENTER JOB NAME"),"",'DATA ENTRY'!B17)</f>
        <v/>
      </c>
      <c r="F1" s="84"/>
      <c r="G1" s="84"/>
      <c r="H1" s="84"/>
    </row>
    <row r="2" spans="1:12" ht="20.25" customHeight="1" x14ac:dyDescent="0.3">
      <c r="A2" s="84"/>
      <c r="B2" s="84"/>
      <c r="C2" s="520" t="str">
        <f>IF(D2="","","Unit Tag:")</f>
        <v/>
      </c>
      <c r="D2" s="84" t="str">
        <f>IF(OR('DATA ENTRY'!B18="",'DATA ENTRY'!B18="ENTER UNIT TAG"),"",'DATA ENTRY'!B18)</f>
        <v/>
      </c>
      <c r="G2" s="166"/>
      <c r="I2" s="84"/>
    </row>
    <row r="3" spans="1:12" ht="15" customHeight="1" thickBot="1" x14ac:dyDescent="0.3">
      <c r="A3" s="168"/>
      <c r="B3" s="168"/>
      <c r="C3" s="168"/>
      <c r="D3" s="168"/>
      <c r="E3" s="168"/>
      <c r="F3" s="168"/>
      <c r="G3" s="168"/>
      <c r="H3" s="168"/>
      <c r="I3" s="168"/>
    </row>
    <row r="4" spans="1:12" ht="18.75" thickTop="1" x14ac:dyDescent="0.25">
      <c r="A4" s="167"/>
      <c r="B4" s="167"/>
      <c r="C4" s="167"/>
      <c r="D4" s="167"/>
      <c r="E4" s="167"/>
      <c r="F4" s="90"/>
      <c r="G4" s="90"/>
      <c r="H4" s="90"/>
      <c r="I4" s="90"/>
    </row>
    <row r="5" spans="1:12" ht="27" customHeight="1" x14ac:dyDescent="0.35">
      <c r="A5" s="86" t="str">
        <f>'DATA ENTRY'!B8&amp;":"</f>
        <v>SELECT MODEL:</v>
      </c>
      <c r="B5" s="864" t="e">
        <f ca="1">'DATA ENTRY'!F8</f>
        <v>#N/A</v>
      </c>
      <c r="C5" s="865"/>
      <c r="D5" s="865"/>
      <c r="E5" s="865"/>
      <c r="F5" s="865"/>
      <c r="G5" s="866"/>
      <c r="H5" s="84"/>
      <c r="I5" s="84"/>
    </row>
    <row r="6" spans="1:12" ht="13.5" customHeight="1" x14ac:dyDescent="0.25">
      <c r="A6" s="85"/>
      <c r="B6" s="867"/>
      <c r="C6" s="868"/>
      <c r="D6" s="868"/>
      <c r="E6" s="868"/>
      <c r="F6" s="868"/>
      <c r="G6" s="869"/>
      <c r="H6" s="84"/>
      <c r="I6" s="84"/>
    </row>
    <row r="7" spans="1:12" ht="15" customHeight="1" x14ac:dyDescent="0.25">
      <c r="A7" s="419" t="str">
        <f ca="1">IF(AND('DATA ENTRY'!O9="",'DATA ENTRY'!O10="",'DATA ENTRY'!O11="",'DATA ENTRY'!O12="",'DATA ENTRY'!O13=""),"","WARNINGS:")</f>
        <v/>
      </c>
      <c r="B7" s="84"/>
      <c r="C7" s="84"/>
      <c r="D7" s="84"/>
      <c r="E7" s="84"/>
      <c r="F7" s="84"/>
      <c r="G7" s="84"/>
      <c r="H7" s="84"/>
      <c r="I7" s="84"/>
    </row>
    <row r="8" spans="1:12" x14ac:dyDescent="0.25">
      <c r="A8" s="422" t="str">
        <f>'DATA ENTRY'!O11</f>
        <v/>
      </c>
      <c r="B8" s="423"/>
      <c r="C8" s="423"/>
      <c r="D8" s="423"/>
      <c r="E8" s="424"/>
      <c r="F8" s="84"/>
      <c r="G8" s="84"/>
      <c r="H8" s="84"/>
      <c r="I8" s="84"/>
    </row>
    <row r="9" spans="1:12" x14ac:dyDescent="0.25">
      <c r="A9" s="422" t="str">
        <f ca="1">'DATA ENTRY'!O12</f>
        <v/>
      </c>
      <c r="B9" s="423"/>
      <c r="C9" s="423"/>
      <c r="D9" s="423"/>
      <c r="E9" s="424"/>
      <c r="F9" s="84"/>
      <c r="G9" s="84"/>
      <c r="H9" s="84"/>
      <c r="I9" s="84"/>
    </row>
    <row r="10" spans="1:12" x14ac:dyDescent="0.25">
      <c r="A10" s="423" t="str">
        <f>'DATA ENTRY'!O9</f>
        <v/>
      </c>
      <c r="B10" s="423"/>
      <c r="C10" s="423"/>
      <c r="D10" s="423"/>
      <c r="E10" s="420"/>
      <c r="F10" s="84"/>
      <c r="G10" s="84"/>
      <c r="H10" s="84"/>
      <c r="I10" s="84"/>
    </row>
    <row r="11" spans="1:12" x14ac:dyDescent="0.25">
      <c r="A11" s="422" t="str">
        <f>'DATA ENTRY'!O10</f>
        <v/>
      </c>
      <c r="B11" s="423"/>
      <c r="C11" s="423"/>
      <c r="D11" s="424"/>
      <c r="E11" s="87"/>
      <c r="F11" s="84"/>
      <c r="G11" s="84"/>
      <c r="H11" s="84"/>
      <c r="I11" s="84"/>
    </row>
    <row r="12" spans="1:12" x14ac:dyDescent="0.25">
      <c r="A12" s="87" t="str">
        <f>'DATA ENTRY'!O13</f>
        <v/>
      </c>
      <c r="B12" s="87"/>
      <c r="C12" s="87"/>
      <c r="E12" s="87"/>
      <c r="F12" s="84"/>
      <c r="G12" s="84"/>
      <c r="H12" s="84"/>
      <c r="I12" s="84"/>
    </row>
    <row r="13" spans="1:12" x14ac:dyDescent="0.25">
      <c r="A13" s="88" t="s">
        <v>66</v>
      </c>
      <c r="B13" s="89"/>
      <c r="C13" s="89"/>
      <c r="D13" s="89"/>
      <c r="E13" s="89"/>
      <c r="F13" s="89"/>
      <c r="G13" s="89"/>
      <c r="H13" s="89"/>
      <c r="I13" s="84"/>
    </row>
    <row r="14" spans="1:12" ht="53.25" customHeight="1" x14ac:dyDescent="0.25">
      <c r="A14" s="91" t="s">
        <v>52</v>
      </c>
      <c r="B14" s="91" t="str">
        <f>"Louver Width ["&amp;'DATA ENTRY'!C10&amp;"] "&amp;IF('DATA ENTRY'!B9="Inch","(mm)","(in.)")</f>
        <v>Louver Width [] (in.)</v>
      </c>
      <c r="C14" s="91" t="str">
        <f>"Louver Height ["&amp;'DATA ENTRY'!C10&amp;"] "&amp;IF('DATA ENTRY'!B9="Inch","(mm)","(in.)")</f>
        <v>Louver Height [] (in.)</v>
      </c>
      <c r="D14" s="91" t="s">
        <v>146</v>
      </c>
      <c r="E14" s="91" t="str">
        <f>"Free Area "&amp;IF('DATA ENTRY'!B9="Inch","[sq.ft]","[sq.m]")&amp;" "&amp;IF('DATA ENTRY'!B9="Inch","(sq.m)","(sq.ft)")</f>
        <v>Free Area [sq.m] (sq.ft)</v>
      </c>
      <c r="F14" s="539" t="str">
        <f>"Face Area "&amp;IF('DATA ENTRY'!B9="Inch","[sq.ft]","[sq.m]")&amp;" "&amp;IF('DATA ENTRY'!B9="Inch","(sq.m)","(sq.ft)")</f>
        <v>Face Area [sq.m] (sq.ft)</v>
      </c>
      <c r="G14" s="91" t="s">
        <v>70</v>
      </c>
      <c r="H14" s="539" t="str">
        <f>"Estimated Section Weight "&amp;IF('DATA ENTRY'!B9="Inch","[lb]","[kg]")&amp;" "&amp;IF('DATA ENTRY'!B9="Inch","(kg)","(lb)")</f>
        <v>Estimated Section Weight [kg] (lb)</v>
      </c>
      <c r="I14" s="91" t="str">
        <f>"Estimated Total Weight "&amp;IF('DATA ENTRY'!B9="Inch","[lb]","[kg]")&amp;" "&amp;IF('DATA ENTRY'!B9="Inch","(kg)","(lb)")</f>
        <v>Estimated Total Weight [kg] (lb)</v>
      </c>
      <c r="J14" s="47"/>
      <c r="L14" s="47"/>
    </row>
    <row r="15" spans="1:12" ht="15.75" customHeight="1" x14ac:dyDescent="0.25">
      <c r="A15" s="855" t="str">
        <f>'DATA ENTRY'!B8</f>
        <v>SELECT MODEL</v>
      </c>
      <c r="B15" s="512" t="str">
        <f>'DATA ENTRY'!B10</f>
        <v>ENTER WIDTH</v>
      </c>
      <c r="C15" s="512" t="str">
        <f>'DATA ENTRY'!B11</f>
        <v>ENTER HEIGHT</v>
      </c>
      <c r="D15" s="858" t="str">
        <f>'DATA ENTRY'!B12</f>
        <v>SELECT SIZING TYPE</v>
      </c>
      <c r="E15" s="525">
        <f ca="1">IF('DATA ENTRY'!B9="Inch",'DATA ENTRY'!F9,'DATA ENTRY'!H9)</f>
        <v>0</v>
      </c>
      <c r="F15" s="525">
        <f ca="1">IF('DATA ENTRY'!B9="Inch",'DATA ENTRY'!F10,'DATA ENTRY'!H10)</f>
        <v>0</v>
      </c>
      <c r="G15" s="860">
        <f ca="1">'DATA ENTRY'!F11</f>
        <v>0</v>
      </c>
      <c r="H15" s="540">
        <f ca="1">IF('DATA ENTRY'!B9="Inch",'DATA ENTRY'!F17,'DATA ENTRY'!H17)</f>
        <v>0</v>
      </c>
      <c r="I15" s="513">
        <f ca="1">IF('DATA ENTRY'!B9="Inch",'DATA ENTRY'!F18,'DATA ENTRY'!H18)</f>
        <v>0</v>
      </c>
      <c r="J15" s="47"/>
      <c r="L15" s="47"/>
    </row>
    <row r="16" spans="1:12" ht="15" customHeight="1" x14ac:dyDescent="0.25">
      <c r="A16" s="855"/>
      <c r="B16" s="514" t="e">
        <f>IF('DATA ENTRY'!B9="Inch",B15*25.4,B15/25.4)</f>
        <v>#VALUE!</v>
      </c>
      <c r="C16" s="514" t="e">
        <f>IF('DATA ENTRY'!B9="Inch",C15*25.4,C15/25.4)</f>
        <v>#VALUE!</v>
      </c>
      <c r="D16" s="859"/>
      <c r="E16" s="526">
        <f ca="1">IF('DATA ENTRY'!B9="Inch",'DATA ENTRY'!H9,'DATA ENTRY'!F9)</f>
        <v>0</v>
      </c>
      <c r="F16" s="526">
        <f ca="1">IF('DATA ENTRY'!B9="Inch",'DATA ENTRY'!H10,'DATA ENTRY'!F10)</f>
        <v>0</v>
      </c>
      <c r="G16" s="861"/>
      <c r="H16" s="541">
        <f ca="1">IF('DATA ENTRY'!B9="Inch",'DATA ENTRY'!H17,'DATA ENTRY'!F17)</f>
        <v>0</v>
      </c>
      <c r="I16" s="514">
        <f ca="1">IF('DATA ENTRY'!B9="Inch",'DATA ENTRY'!H18,'DATA ENTRY'!F18)</f>
        <v>0</v>
      </c>
      <c r="J16" s="47"/>
      <c r="L16" s="47"/>
    </row>
    <row r="17" spans="1:12" x14ac:dyDescent="0.25">
      <c r="A17" s="90"/>
      <c r="B17" s="90"/>
      <c r="C17" s="90"/>
      <c r="D17" s="90"/>
      <c r="E17" s="90"/>
      <c r="F17" s="90"/>
      <c r="G17" s="90"/>
      <c r="H17" s="90"/>
      <c r="I17" s="84"/>
      <c r="J17" s="47"/>
      <c r="K17" s="47"/>
      <c r="L17" s="47"/>
    </row>
    <row r="18" spans="1:12" x14ac:dyDescent="0.25">
      <c r="A18" s="88" t="s">
        <v>67</v>
      </c>
      <c r="B18" s="89"/>
      <c r="C18" s="89"/>
      <c r="D18" s="89"/>
      <c r="E18" s="89"/>
      <c r="F18" s="89"/>
      <c r="G18" s="89"/>
      <c r="H18" s="84"/>
      <c r="I18" s="84"/>
      <c r="J18" s="47"/>
      <c r="K18" s="47"/>
      <c r="L18" s="47"/>
    </row>
    <row r="19" spans="1:12" ht="44.25" customHeight="1" x14ac:dyDescent="0.25">
      <c r="A19" s="92" t="s">
        <v>141</v>
      </c>
      <c r="B19" s="92" t="str">
        <f>"Air Volume "&amp;IF('DATA ENTRY'!B9="Inch","[CFM]","[L/s]")&amp;" "&amp;IF('DATA ENTRY'!B9="Inch","(L/s)","(CFM)")</f>
        <v>Air Volume [L/s] (CFM)</v>
      </c>
      <c r="C19" s="862" t="str">
        <f>"Free Area Velocity "&amp;IF('DATA ENTRY'!B9="Inch","[FPM]","[m/s]")&amp;" "&amp;IF('DATA ENTRY'!B9="Inch","(m/s)","(FPM)")&amp;" *"</f>
        <v>Free Area Velocity [m/s] (FPM) *</v>
      </c>
      <c r="D19" s="862"/>
      <c r="E19" s="862" t="str">
        <f>"Face Area Velocity "&amp;IF('DATA ENTRY'!B9="Inch","[FPM]","[m/s]")&amp;" "&amp;IF('DATA ENTRY'!B9="Inch","(m/s)","(FPM)")&amp;""</f>
        <v>Face Area Velocity [m/s] (FPM)</v>
      </c>
      <c r="F19" s="862"/>
      <c r="G19" s="862" t="str">
        <f>"Pressure Drop "&amp;IF('DATA ENTRY'!B9="Inch","[in.w.g]","[Pa]")&amp;" "&amp;IF('DATA ENTRY'!B9="Inch","(Pa)","(in.w.g)")&amp;" *"</f>
        <v>Pressure Drop [Pa] (in.w.g) *</v>
      </c>
      <c r="H19" s="862"/>
      <c r="I19" s="498"/>
      <c r="J19" s="5"/>
      <c r="K19" s="47"/>
      <c r="L19" s="47"/>
    </row>
    <row r="20" spans="1:12" ht="15.75" customHeight="1" x14ac:dyDescent="0.25">
      <c r="A20" s="855" t="str">
        <f>'DATA ENTRY'!B14</f>
        <v>SELECT AIR DIRECTION</v>
      </c>
      <c r="B20" s="518" t="str">
        <f>'DATA ENTRY'!B13</f>
        <v>ENTER AIR VOLUME</v>
      </c>
      <c r="C20" s="870">
        <f ca="1">IF('DATA ENTRY'!B9="Inch",FIXED('DATA ENTRY'!F12,0,TRUE),'DATA ENTRY'!H12)</f>
        <v>0</v>
      </c>
      <c r="D20" s="870"/>
      <c r="E20" s="870">
        <f ca="1">IF('DATA ENTRY'!B9="Inch",FIXED('DATA ENTRY'!F14,0,TRUE),'DATA ENTRY'!H14)</f>
        <v>0</v>
      </c>
      <c r="F20" s="870"/>
      <c r="G20" s="863" t="str">
        <f ca="1">IF('DATA ENTRY'!B9="Inch",'DATA ENTRY'!F15,FIXED('DATA ENTRY'!H15,0,TRUE))</f>
        <v>0</v>
      </c>
      <c r="H20" s="863"/>
      <c r="I20" s="498"/>
      <c r="J20" s="5"/>
      <c r="K20" s="47"/>
      <c r="L20" s="47"/>
    </row>
    <row r="21" spans="1:12" x14ac:dyDescent="0.25">
      <c r="A21" s="855"/>
      <c r="B21" s="514" t="e">
        <f>IF('DATA ENTRY'!B9="Inch",B20/2.1188799727597,B20*2.1188799727597)</f>
        <v>#VALUE!</v>
      </c>
      <c r="C21" s="856" t="str">
        <f ca="1">IF('DATA ENTRY'!B9="Inch",'DATA ENTRY'!H12,"("&amp;FIXED('DATA ENTRY'!F12,0,TRUE)&amp;")")</f>
        <v>(0)</v>
      </c>
      <c r="D21" s="856"/>
      <c r="E21" s="856" t="str">
        <f ca="1">IF('DATA ENTRY'!B9="Inch",'DATA ENTRY'!H14,"("&amp;FIXED('DATA ENTRY'!F14,0,TRUE)&amp;")")</f>
        <v>(0)</v>
      </c>
      <c r="F21" s="856"/>
      <c r="G21" s="857">
        <f ca="1">IF('DATA ENTRY'!B9="Inch","("&amp;FIXED('DATA ENTRY'!H15,0,TRUE)&amp;")",'DATA ENTRY'!F15)</f>
        <v>0</v>
      </c>
      <c r="H21" s="857"/>
      <c r="I21" s="498"/>
      <c r="J21" s="5"/>
      <c r="K21" s="47"/>
      <c r="L21" s="47"/>
    </row>
    <row r="22" spans="1:12" x14ac:dyDescent="0.25">
      <c r="A22" s="511" t="str">
        <f>IF('DATA ENTRY'!B14="Intake","Note: Water penetration point is "&amp;'DATA ENTRY'!F13&amp; " FPM (Free Area Velocity) for intake "&amp;'DATA ENTRY'!B8,"Note: Water penetration point not applicable for exhaust louver.")</f>
        <v>Note: Water penetration point not applicable for exhaust louver.</v>
      </c>
      <c r="B22" s="90"/>
      <c r="C22" s="90"/>
      <c r="D22" s="90"/>
      <c r="E22" s="90"/>
      <c r="F22" s="90"/>
      <c r="G22" s="510"/>
      <c r="H22" s="84"/>
      <c r="I22" s="498"/>
      <c r="J22" s="47"/>
      <c r="K22" s="47"/>
      <c r="L22" s="47"/>
    </row>
    <row r="23" spans="1:12" ht="24.75" customHeight="1" x14ac:dyDescent="0.25">
      <c r="A23" s="88" t="s">
        <v>138</v>
      </c>
      <c r="B23" s="89"/>
      <c r="C23" s="89"/>
      <c r="D23" s="89"/>
      <c r="E23" s="89"/>
      <c r="F23" s="84"/>
      <c r="G23" s="84"/>
      <c r="H23" s="84"/>
      <c r="I23" s="84"/>
      <c r="J23" s="47"/>
      <c r="K23" s="47"/>
      <c r="L23" s="47"/>
    </row>
    <row r="24" spans="1:12" ht="38.25" customHeight="1" x14ac:dyDescent="0.25">
      <c r="A24" s="92" t="s">
        <v>142</v>
      </c>
      <c r="B24" s="871" t="s">
        <v>147</v>
      </c>
      <c r="C24" s="872"/>
      <c r="D24" s="871" t="s">
        <v>143</v>
      </c>
      <c r="E24" s="873"/>
      <c r="F24" s="84"/>
      <c r="G24" s="84"/>
      <c r="H24" s="84"/>
      <c r="I24" s="84"/>
      <c r="J24" s="47"/>
      <c r="K24" s="47"/>
      <c r="L24" s="47"/>
    </row>
    <row r="25" spans="1:12" x14ac:dyDescent="0.25">
      <c r="A25" s="385" t="e">
        <f ca="1">SHEETDATA!P10</f>
        <v>#N/A</v>
      </c>
      <c r="B25" s="874" t="e">
        <f ca="1">SHEETDATA!P11</f>
        <v>#N/A</v>
      </c>
      <c r="C25" s="875"/>
      <c r="D25" s="874" t="e">
        <f ca="1">'DATA ENTRY'!F16</f>
        <v>#N/A</v>
      </c>
      <c r="E25" s="876"/>
      <c r="F25" s="84"/>
      <c r="G25" s="84"/>
      <c r="H25" s="84"/>
      <c r="I25" s="84"/>
    </row>
    <row r="26" spans="1:12" x14ac:dyDescent="0.25">
      <c r="A26" s="84"/>
      <c r="B26" s="84"/>
      <c r="C26" s="84"/>
      <c r="D26" s="84"/>
      <c r="E26" s="84"/>
      <c r="F26" s="84"/>
      <c r="G26" s="84"/>
      <c r="H26" s="84"/>
      <c r="I26" s="84"/>
    </row>
    <row r="27" spans="1:12" x14ac:dyDescent="0.25">
      <c r="A27" s="84"/>
      <c r="B27" s="84"/>
      <c r="C27" s="84"/>
      <c r="D27" s="84"/>
      <c r="E27" s="84"/>
      <c r="F27" s="84"/>
      <c r="G27" s="84"/>
      <c r="H27" s="84"/>
      <c r="I27" s="84"/>
    </row>
    <row r="28" spans="1:12" x14ac:dyDescent="0.25">
      <c r="A28" s="84"/>
      <c r="B28" s="84"/>
      <c r="C28" s="84"/>
      <c r="D28" s="84"/>
      <c r="E28" s="84"/>
      <c r="F28" s="84"/>
      <c r="G28" s="84"/>
      <c r="H28" s="84"/>
      <c r="I28" s="84"/>
    </row>
    <row r="29" spans="1:12" x14ac:dyDescent="0.25">
      <c r="A29" s="84"/>
      <c r="B29" s="84"/>
      <c r="C29" s="84"/>
      <c r="D29" s="84"/>
      <c r="E29" s="84"/>
      <c r="F29" s="84"/>
      <c r="G29" s="84"/>
      <c r="H29" s="84"/>
      <c r="I29" s="84"/>
    </row>
    <row r="30" spans="1:12" ht="14.25" customHeight="1" x14ac:dyDescent="0.25">
      <c r="A30" s="84"/>
      <c r="B30" s="84"/>
      <c r="C30" s="84"/>
      <c r="D30" s="84"/>
      <c r="E30" s="84"/>
      <c r="F30" s="84"/>
      <c r="G30" s="84"/>
      <c r="H30" s="84"/>
      <c r="I30" s="84"/>
    </row>
    <row r="31" spans="1:12" x14ac:dyDescent="0.25">
      <c r="A31" s="84"/>
      <c r="B31" s="84"/>
      <c r="C31" s="84"/>
      <c r="D31" s="84"/>
      <c r="E31" s="84"/>
      <c r="F31" s="84"/>
      <c r="G31" s="84"/>
      <c r="H31" s="84"/>
      <c r="I31" s="84"/>
    </row>
    <row r="32" spans="1:12" ht="14.25" customHeight="1" x14ac:dyDescent="0.25">
      <c r="A32" s="165"/>
      <c r="B32" s="84"/>
      <c r="C32" s="84"/>
      <c r="D32" s="84"/>
      <c r="E32" s="84"/>
      <c r="F32" s="84"/>
      <c r="G32" s="84"/>
      <c r="H32" s="84"/>
      <c r="I32" s="84"/>
    </row>
    <row r="33" spans="1:9" x14ac:dyDescent="0.25">
      <c r="A33" s="537" t="str">
        <f>IF('DATA ENTRY'!B8="DE445M","Note: Performance values for DE445M are based on ZE445M model.",IF('DATA ENTRY'!B8="ZE445M","Note: Performance values for ZE445M are based on ZE445 model.",""))</f>
        <v/>
      </c>
      <c r="B33" s="84"/>
      <c r="C33" s="84"/>
      <c r="D33" s="84"/>
      <c r="E33" s="84"/>
      <c r="F33" s="84"/>
      <c r="G33" s="84"/>
      <c r="H33" s="84"/>
      <c r="I33" s="84"/>
    </row>
    <row r="34" spans="1:9" x14ac:dyDescent="0.25">
      <c r="A34" s="84"/>
      <c r="B34" s="84"/>
      <c r="C34" s="84"/>
      <c r="D34" s="84"/>
      <c r="E34" s="84"/>
      <c r="F34" s="84"/>
      <c r="G34" s="84"/>
      <c r="H34" s="84"/>
      <c r="I34" s="84"/>
    </row>
    <row r="35" spans="1:9" x14ac:dyDescent="0.25">
      <c r="A35" s="165" t="s">
        <v>137</v>
      </c>
      <c r="B35" s="84"/>
      <c r="C35" s="84"/>
      <c r="D35" s="84"/>
      <c r="E35" s="84"/>
      <c r="F35" s="84"/>
      <c r="G35" s="84"/>
      <c r="H35" s="84"/>
      <c r="I35" s="84"/>
    </row>
    <row r="36" spans="1:9" x14ac:dyDescent="0.25">
      <c r="A36" s="165" t="s">
        <v>161</v>
      </c>
      <c r="B36" s="84"/>
      <c r="C36" s="84"/>
      <c r="D36" s="84"/>
      <c r="E36" s="84"/>
      <c r="F36" s="84"/>
      <c r="G36" s="84"/>
      <c r="H36" s="84"/>
      <c r="I36" s="84"/>
    </row>
    <row r="37" spans="1:9" x14ac:dyDescent="0.25">
      <c r="A37" s="165" t="s">
        <v>145</v>
      </c>
      <c r="B37" s="84"/>
      <c r="C37" s="84"/>
      <c r="D37" s="84"/>
      <c r="E37" s="84"/>
      <c r="F37" s="84"/>
      <c r="G37" s="84"/>
      <c r="H37" s="84"/>
      <c r="I37" s="84"/>
    </row>
    <row r="38" spans="1:9" ht="46.5" customHeight="1" x14ac:dyDescent="0.25">
      <c r="A38" s="84"/>
      <c r="B38" s="84"/>
      <c r="C38" s="84"/>
      <c r="D38" s="84"/>
      <c r="E38" s="84"/>
      <c r="F38" s="84"/>
      <c r="G38" s="84"/>
      <c r="H38" s="84"/>
      <c r="I38" s="84"/>
    </row>
    <row r="39" spans="1:9" ht="12" customHeight="1" x14ac:dyDescent="0.25">
      <c r="A39" s="169" t="s">
        <v>199</v>
      </c>
      <c r="B39" s="84"/>
      <c r="C39" s="84"/>
      <c r="D39" s="84"/>
      <c r="E39" s="84"/>
      <c r="F39" s="84"/>
      <c r="G39" s="84"/>
      <c r="H39" s="84"/>
      <c r="I39" s="84"/>
    </row>
    <row r="40" spans="1:9" ht="11.25" customHeight="1" x14ac:dyDescent="0.25">
      <c r="A40" s="89"/>
      <c r="B40" s="89"/>
      <c r="C40" s="89"/>
      <c r="D40" s="89"/>
      <c r="E40" s="89"/>
      <c r="F40" s="89"/>
      <c r="G40" s="89"/>
      <c r="H40" s="89"/>
      <c r="I40" s="89"/>
    </row>
    <row r="41" spans="1:9" ht="15" customHeight="1" x14ac:dyDescent="0.25">
      <c r="A41" s="171" t="s">
        <v>92</v>
      </c>
      <c r="B41" s="172"/>
      <c r="C41" s="172"/>
      <c r="D41" s="172"/>
      <c r="E41" s="172"/>
      <c r="F41" s="172"/>
      <c r="G41" s="172"/>
      <c r="H41" s="172"/>
      <c r="I41" s="173" t="s">
        <v>89</v>
      </c>
    </row>
    <row r="42" spans="1:9" ht="13.5" customHeight="1" x14ac:dyDescent="0.25">
      <c r="A42" s="89"/>
      <c r="B42" s="89"/>
      <c r="C42" s="89"/>
      <c r="D42" s="89"/>
      <c r="E42" s="89"/>
      <c r="F42" s="89"/>
      <c r="G42" s="89"/>
      <c r="H42" s="89"/>
      <c r="I42" s="499" t="s">
        <v>318</v>
      </c>
    </row>
    <row r="43" spans="1:9" ht="10.5" customHeight="1" x14ac:dyDescent="0.25">
      <c r="A43" s="337"/>
      <c r="B43" s="337"/>
      <c r="C43" s="337"/>
      <c r="D43" s="337"/>
      <c r="E43" s="337"/>
      <c r="F43" s="337"/>
      <c r="G43" s="337"/>
      <c r="H43" s="337"/>
      <c r="I43" s="337"/>
    </row>
    <row r="44" spans="1:9" ht="28.5" customHeight="1" x14ac:dyDescent="0.25"/>
    <row r="45" spans="1:9" ht="38.25" customHeight="1" x14ac:dyDescent="0.25"/>
    <row r="46" spans="1:9" ht="63.75" customHeight="1" x14ac:dyDescent="0.25"/>
    <row r="48" spans="1:9" ht="12.75" customHeight="1" x14ac:dyDescent="0.25"/>
  </sheetData>
  <sheetProtection algorithmName="SHA-512" hashValue="kgMo3H2jGYAXIy9cauO8J8sY23KPqebQiFi+6rCM4C8QH8RrCsF2DD5eHhtgHrneiSAjbYjMinxxATjrR4lYEA==" saltValue="AhKD12c6o610/cKq8aoAcw==" spinCount="100000" sheet="1" selectLockedCells="1" selectUnlockedCells="1"/>
  <mergeCells count="18">
    <mergeCell ref="B25:C25"/>
    <mergeCell ref="D25:E25"/>
    <mergeCell ref="C19:D19"/>
    <mergeCell ref="C20:D20"/>
    <mergeCell ref="E21:F21"/>
    <mergeCell ref="B5:G6"/>
    <mergeCell ref="E19:F19"/>
    <mergeCell ref="E20:F20"/>
    <mergeCell ref="B24:C24"/>
    <mergeCell ref="D24:E24"/>
    <mergeCell ref="A15:A16"/>
    <mergeCell ref="C21:D21"/>
    <mergeCell ref="G21:H21"/>
    <mergeCell ref="D15:D16"/>
    <mergeCell ref="G15:G16"/>
    <mergeCell ref="A20:A21"/>
    <mergeCell ref="G19:H19"/>
    <mergeCell ref="G20:H20"/>
  </mergeCells>
  <pageMargins left="0.31496062992125984" right="0.31496062992125984" top="0.31496062992125984" bottom="0.23622047244094491" header="0.31496062992125984" footer="0.31496062992125984"/>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BC0C7980-08A0-4E54-B2AC-30465D645CB3}">
            <xm:f>'DATA ENTRY'!$B$9="mm"</xm:f>
            <x14:dxf>
              <numFmt numFmtId="1" formatCode="0"/>
            </x14:dxf>
          </x14:cfRule>
          <xm:sqref>B15:C15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T300"/>
  <sheetViews>
    <sheetView topLeftCell="N50" zoomScale="70" zoomScaleNormal="70" workbookViewId="0">
      <selection activeCell="N67" sqref="N67:N68"/>
    </sheetView>
  </sheetViews>
  <sheetFormatPr defaultRowHeight="15" x14ac:dyDescent="0.25"/>
  <cols>
    <col min="1" max="1" width="5.85546875" style="590" customWidth="1"/>
    <col min="2" max="2" width="25.5703125" style="590" customWidth="1"/>
    <col min="3" max="38" width="20.7109375" style="590" customWidth="1"/>
    <col min="39" max="39" width="26.85546875" style="590" bestFit="1" customWidth="1"/>
    <col min="40" max="43" width="20.7109375" style="590" customWidth="1"/>
    <col min="44" max="45" width="9" style="590" customWidth="1"/>
    <col min="46" max="46" width="9.140625" style="590" customWidth="1"/>
    <col min="47" max="53" width="9.140625" style="590"/>
    <col min="54" max="55" width="10.85546875" style="590" bestFit="1" customWidth="1"/>
    <col min="56" max="16384" width="9.140625" style="590"/>
  </cols>
  <sheetData>
    <row r="1" spans="2:38" ht="21.75" thickBot="1" x14ac:dyDescent="0.3">
      <c r="B1" s="611" t="s">
        <v>39</v>
      </c>
      <c r="C1" s="575" t="s">
        <v>283</v>
      </c>
      <c r="D1" s="612"/>
      <c r="E1" s="612"/>
      <c r="F1" s="613"/>
    </row>
    <row r="2" spans="2:38" ht="21" x14ac:dyDescent="0.25">
      <c r="B2" s="614" t="s">
        <v>40</v>
      </c>
      <c r="C2" s="615"/>
      <c r="D2" s="615" t="s">
        <v>73</v>
      </c>
      <c r="E2" s="615"/>
      <c r="F2" s="616"/>
      <c r="H2" s="617" t="s">
        <v>277</v>
      </c>
      <c r="I2" s="612"/>
      <c r="J2" s="613"/>
      <c r="N2" s="611" t="s">
        <v>64</v>
      </c>
      <c r="O2" s="618"/>
      <c r="P2" s="618"/>
      <c r="Q2" s="618"/>
      <c r="R2" s="618"/>
      <c r="S2" s="618"/>
      <c r="T2" s="618"/>
      <c r="U2" s="618"/>
      <c r="V2" s="618"/>
      <c r="W2" s="619"/>
    </row>
    <row r="3" spans="2:38" ht="18.75" x14ac:dyDescent="0.25">
      <c r="B3" s="614" t="s">
        <v>41</v>
      </c>
      <c r="C3" s="615" t="str">
        <f>IF('DATA ENTRY'!B9="mm",'DATA ENTRY'!B10/25.4,'DATA ENTRY'!B10)</f>
        <v>ENTER WIDTH</v>
      </c>
      <c r="D3" s="620" t="e">
        <f>IF('DATA ENTRY'!B12="ACTUAL",'KX445'!C3,'KX445'!C3-0.5)</f>
        <v>#VALUE!</v>
      </c>
      <c r="E3" s="615"/>
      <c r="F3" s="616"/>
      <c r="H3" s="621" t="s">
        <v>278</v>
      </c>
      <c r="J3" s="609" t="e">
        <f>D3*D4/144</f>
        <v>#VALUE!</v>
      </c>
      <c r="N3" s="622"/>
      <c r="O3" s="584"/>
      <c r="P3" s="584"/>
      <c r="Q3" s="584"/>
      <c r="R3" s="584"/>
      <c r="S3" s="584"/>
      <c r="T3" s="584"/>
      <c r="U3" s="584"/>
      <c r="V3" s="584"/>
      <c r="W3" s="591"/>
    </row>
    <row r="4" spans="2:38" ht="18.75" x14ac:dyDescent="0.25">
      <c r="B4" s="614" t="s">
        <v>42</v>
      </c>
      <c r="C4" s="615" t="str">
        <f>IF('DATA ENTRY'!B9="mm",'DATA ENTRY'!B11/25.4,'DATA ENTRY'!B11)</f>
        <v>ENTER HEIGHT</v>
      </c>
      <c r="D4" s="620" t="e">
        <f>IF('DATA ENTRY'!B12="ACTUAL",'KX445'!C4,'KX445'!C4-0.5)</f>
        <v>#VALUE!</v>
      </c>
      <c r="E4" s="615"/>
      <c r="F4" s="616"/>
      <c r="H4" s="621" t="s">
        <v>279</v>
      </c>
      <c r="I4" s="615"/>
      <c r="J4" s="609" t="e">
        <f>C5/J3</f>
        <v>#VALUE!</v>
      </c>
      <c r="N4" s="623"/>
      <c r="O4" s="624" t="str">
        <f>C1&amp;"_MODEL"</f>
        <v>KX445_MODEL</v>
      </c>
      <c r="P4" s="624" t="s">
        <v>304</v>
      </c>
      <c r="Q4" s="624"/>
      <c r="R4" s="624"/>
      <c r="S4" s="624"/>
      <c r="T4" s="624"/>
      <c r="U4" s="624"/>
      <c r="V4" s="620" t="s">
        <v>116</v>
      </c>
      <c r="W4" s="625"/>
    </row>
    <row r="5" spans="2:38" ht="18.75" x14ac:dyDescent="0.25">
      <c r="B5" s="614" t="s">
        <v>43</v>
      </c>
      <c r="C5" s="626" t="str">
        <f>IF('DATA ENTRY'!B9="mm",'DATA ENTRY'!B13*2.1188799727597,'DATA ENTRY'!B13)</f>
        <v>ENTER AIR VOLUME</v>
      </c>
      <c r="D5" s="615"/>
      <c r="E5" s="615"/>
      <c r="F5" s="616"/>
      <c r="H5" s="621"/>
      <c r="I5" s="615"/>
      <c r="J5" s="616"/>
      <c r="N5" s="623" t="s">
        <v>93</v>
      </c>
      <c r="O5" s="624" t="str">
        <f>C1&amp;"_FA"</f>
        <v>KX445_FA</v>
      </c>
      <c r="P5" s="627" t="e">
        <f>D85</f>
        <v>#VALUE!</v>
      </c>
      <c r="Q5" s="624" t="s">
        <v>45</v>
      </c>
      <c r="R5" s="624"/>
      <c r="S5" s="624"/>
      <c r="T5" s="624"/>
      <c r="U5" s="624"/>
      <c r="V5" s="624" t="str">
        <f>C1&amp;"_W"</f>
        <v>KX445_W</v>
      </c>
      <c r="W5" s="628" t="e">
        <f>D3</f>
        <v>#VALUE!</v>
      </c>
    </row>
    <row r="6" spans="2:38" ht="18.75" x14ac:dyDescent="0.25">
      <c r="B6" s="614" t="s">
        <v>44</v>
      </c>
      <c r="C6" s="629" t="str">
        <f>'DATA ENTRY'!B14</f>
        <v>SELECT AIR DIRECTION</v>
      </c>
      <c r="D6" s="615"/>
      <c r="E6" s="615" t="s">
        <v>269</v>
      </c>
      <c r="F6" s="609">
        <f>IFERROR(D3*D4/144,0)</f>
        <v>0</v>
      </c>
      <c r="H6" s="621"/>
      <c r="I6" s="615"/>
      <c r="J6" s="616"/>
      <c r="N6" s="623" t="s">
        <v>70</v>
      </c>
      <c r="O6" s="624" t="str">
        <f>C1&amp;"_FA%"</f>
        <v>KX445_FA%</v>
      </c>
      <c r="P6" s="630" t="e">
        <f>D87</f>
        <v>#VALUE!</v>
      </c>
      <c r="Q6" s="624" t="s">
        <v>16</v>
      </c>
      <c r="R6" s="624"/>
      <c r="S6" s="624"/>
      <c r="T6" s="624"/>
      <c r="U6" s="624"/>
      <c r="V6" s="624" t="str">
        <f>C1&amp;"_H"</f>
        <v>KX445_H</v>
      </c>
      <c r="W6" s="628" t="e">
        <f>D4</f>
        <v>#VALUE!</v>
      </c>
    </row>
    <row r="7" spans="2:38" ht="19.5" thickBot="1" x14ac:dyDescent="0.3">
      <c r="B7" s="621"/>
      <c r="C7" s="615"/>
      <c r="D7" s="615"/>
      <c r="E7" s="615"/>
      <c r="F7" s="572"/>
      <c r="H7" s="631"/>
      <c r="I7" s="632"/>
      <c r="J7" s="633"/>
      <c r="N7" s="623" t="s">
        <v>96</v>
      </c>
      <c r="O7" s="624" t="str">
        <f>C1&amp;"_VEL"</f>
        <v>KX445_VEL</v>
      </c>
      <c r="P7" s="630" t="e">
        <f>D89</f>
        <v>#VALUE!</v>
      </c>
      <c r="Q7" s="624" t="s">
        <v>0</v>
      </c>
      <c r="R7" s="624"/>
      <c r="S7" s="624"/>
      <c r="T7" s="624"/>
      <c r="U7" s="624"/>
      <c r="V7" s="624" t="str">
        <f>C1&amp;"_SW"</f>
        <v>KX445_SW</v>
      </c>
      <c r="W7" s="628" t="e">
        <f>C8</f>
        <v>#VALUE!</v>
      </c>
    </row>
    <row r="8" spans="2:38" ht="18.75" x14ac:dyDescent="0.25">
      <c r="B8" s="614" t="s">
        <v>74</v>
      </c>
      <c r="C8" s="615" t="e">
        <f>CEILING(D3/$H$11,1)</f>
        <v>#VALUE!</v>
      </c>
      <c r="D8" s="615"/>
      <c r="E8" s="615" t="s">
        <v>75</v>
      </c>
      <c r="F8" s="572" t="e">
        <f>CEILING(D4/$H$12,1)</f>
        <v>#VALUE!</v>
      </c>
      <c r="N8" s="623" t="s">
        <v>94</v>
      </c>
      <c r="O8" s="624" t="str">
        <f>C1&amp;"_Intake"</f>
        <v>KX445_Intake</v>
      </c>
      <c r="P8" s="634">
        <f>D90</f>
        <v>0</v>
      </c>
      <c r="Q8" s="624" t="s">
        <v>99</v>
      </c>
      <c r="R8" s="624"/>
      <c r="S8" s="624"/>
      <c r="T8" s="624"/>
      <c r="U8" s="624"/>
      <c r="V8" s="624" t="str">
        <f>C1&amp;"_SH"</f>
        <v>KX445_SH</v>
      </c>
      <c r="W8" s="628" t="e">
        <f>F8</f>
        <v>#VALUE!</v>
      </c>
    </row>
    <row r="9" spans="2:38" ht="19.5" thickBot="1" x14ac:dyDescent="0.3">
      <c r="B9" s="614" t="s">
        <v>72</v>
      </c>
      <c r="C9" s="615" t="e">
        <f>D3/C8</f>
        <v>#VALUE!</v>
      </c>
      <c r="D9" s="615"/>
      <c r="E9" s="615" t="s">
        <v>63</v>
      </c>
      <c r="F9" s="609" t="e">
        <f>D4/F8</f>
        <v>#VALUE!</v>
      </c>
      <c r="N9" s="623" t="s">
        <v>95</v>
      </c>
      <c r="O9" s="624" t="str">
        <f>C1&amp;"_Exhaust"</f>
        <v>KX445_Exhaust</v>
      </c>
      <c r="P9" s="634" t="e">
        <f>D91</f>
        <v>#VALUE!</v>
      </c>
      <c r="Q9" s="624" t="s">
        <v>99</v>
      </c>
      <c r="R9" s="624"/>
      <c r="S9" s="624"/>
      <c r="T9" s="624"/>
      <c r="U9" s="624"/>
      <c r="V9" s="624"/>
      <c r="W9" s="625"/>
    </row>
    <row r="10" spans="2:38" ht="18.75" x14ac:dyDescent="0.25">
      <c r="B10" s="621"/>
      <c r="C10" s="615"/>
      <c r="D10" s="615"/>
      <c r="E10" s="615"/>
      <c r="F10" s="572"/>
      <c r="G10" s="635"/>
      <c r="H10" s="619"/>
      <c r="N10" s="623" t="s">
        <v>100</v>
      </c>
      <c r="O10" s="624" t="str">
        <f>C1&amp;"_SEC"</f>
        <v>KX445_SEC</v>
      </c>
      <c r="P10" s="624" t="e">
        <f>C11</f>
        <v>#VALUE!</v>
      </c>
      <c r="Q10" s="624"/>
      <c r="R10" s="624"/>
      <c r="S10" s="624"/>
      <c r="T10" s="624"/>
      <c r="U10" s="624"/>
      <c r="V10" s="624"/>
      <c r="W10" s="625"/>
    </row>
    <row r="11" spans="2:38" ht="18.75" x14ac:dyDescent="0.25">
      <c r="B11" s="614" t="s">
        <v>76</v>
      </c>
      <c r="C11" s="615" t="e">
        <f>C8*F8</f>
        <v>#VALUE!</v>
      </c>
      <c r="D11" s="615"/>
      <c r="E11" s="629" t="s">
        <v>164</v>
      </c>
      <c r="F11" s="572">
        <v>10</v>
      </c>
      <c r="G11" s="614" t="s">
        <v>267</v>
      </c>
      <c r="H11" s="636">
        <v>72</v>
      </c>
      <c r="N11" s="623" t="s">
        <v>97</v>
      </c>
      <c r="O11" s="624" t="str">
        <f>C1&amp;"_SECW"</f>
        <v>KX445_SECW</v>
      </c>
      <c r="P11" s="637" t="e">
        <f>AB101</f>
        <v>#VALUE!</v>
      </c>
      <c r="Q11" s="624" t="s">
        <v>86</v>
      </c>
      <c r="R11" s="624"/>
      <c r="S11" s="624"/>
      <c r="T11" s="624"/>
      <c r="U11" s="624"/>
      <c r="V11" s="624"/>
      <c r="W11" s="625"/>
    </row>
    <row r="12" spans="2:38" ht="18.75" x14ac:dyDescent="0.25">
      <c r="B12" s="621"/>
      <c r="C12" s="615"/>
      <c r="D12" s="615"/>
      <c r="E12" s="629" t="s">
        <v>165</v>
      </c>
      <c r="F12" s="572">
        <v>7.375</v>
      </c>
      <c r="G12" s="614" t="s">
        <v>268</v>
      </c>
      <c r="H12" s="636">
        <v>72</v>
      </c>
      <c r="N12" s="623" t="s">
        <v>98</v>
      </c>
      <c r="O12" s="624" t="str">
        <f>C1&amp;"_TW"</f>
        <v>KX445_TW</v>
      </c>
      <c r="P12" s="637" t="e">
        <f>AB100</f>
        <v>#VALUE!</v>
      </c>
      <c r="Q12" s="624" t="s">
        <v>86</v>
      </c>
      <c r="R12" s="584"/>
      <c r="S12" s="584"/>
      <c r="T12" s="584"/>
      <c r="U12" s="584"/>
      <c r="V12" s="584"/>
      <c r="W12" s="591"/>
    </row>
    <row r="13" spans="2:38" ht="18.75" x14ac:dyDescent="0.25">
      <c r="B13" s="621"/>
      <c r="C13" s="615"/>
      <c r="D13" s="615"/>
      <c r="E13" s="629"/>
      <c r="F13" s="636"/>
      <c r="G13" s="614"/>
      <c r="H13" s="636"/>
      <c r="N13" s="623" t="s">
        <v>280</v>
      </c>
      <c r="O13" s="624" t="str">
        <f>$C$1&amp;"_FACEAREA"</f>
        <v>KX445_FACEAREA</v>
      </c>
      <c r="P13" s="637" t="e">
        <f>J3</f>
        <v>#VALUE!</v>
      </c>
      <c r="Q13" s="624" t="s">
        <v>45</v>
      </c>
      <c r="R13" s="584"/>
      <c r="S13" s="584"/>
      <c r="T13" s="584"/>
      <c r="U13" s="584"/>
      <c r="V13" s="584"/>
      <c r="W13" s="591"/>
    </row>
    <row r="14" spans="2:38" ht="19.5" thickBot="1" x14ac:dyDescent="0.3">
      <c r="B14" s="621"/>
      <c r="C14" s="615"/>
      <c r="D14" s="615"/>
      <c r="E14" s="629"/>
      <c r="F14" s="636"/>
      <c r="G14" s="614"/>
      <c r="H14" s="636"/>
      <c r="N14" s="638" t="s">
        <v>277</v>
      </c>
      <c r="O14" s="639" t="str">
        <f>$C$1&amp;"_FACEVEL"</f>
        <v>KX445_FACEVEL</v>
      </c>
      <c r="P14" s="640" t="e">
        <f>J4</f>
        <v>#VALUE!</v>
      </c>
      <c r="Q14" s="639" t="s">
        <v>0</v>
      </c>
      <c r="R14" s="641"/>
      <c r="S14" s="641"/>
      <c r="T14" s="641"/>
      <c r="U14" s="641"/>
      <c r="V14" s="641"/>
      <c r="W14" s="642"/>
    </row>
    <row r="15" spans="2:38" ht="15.75" thickBot="1" x14ac:dyDescent="0.3">
      <c r="B15" s="622"/>
      <c r="C15" s="584"/>
      <c r="D15" s="584"/>
      <c r="E15" s="584"/>
      <c r="F15" s="591"/>
      <c r="G15" s="622"/>
      <c r="H15" s="591"/>
    </row>
    <row r="16" spans="2:38" ht="27" thickBot="1" x14ac:dyDescent="0.3">
      <c r="B16" s="944" t="str">
        <f xml:space="preserve"> C1</f>
        <v>KX445</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6"/>
    </row>
    <row r="17" spans="2:38" x14ac:dyDescent="0.25">
      <c r="B17" s="643"/>
      <c r="C17" s="644"/>
      <c r="D17" s="644"/>
      <c r="E17" s="645"/>
      <c r="F17" s="646"/>
      <c r="G17" s="645"/>
      <c r="H17" s="646"/>
      <c r="I17" s="645"/>
      <c r="J17" s="646"/>
      <c r="K17" s="645"/>
      <c r="L17" s="646"/>
      <c r="M17" s="645"/>
      <c r="N17" s="646"/>
      <c r="O17" s="645"/>
      <c r="P17" s="646"/>
      <c r="Q17" s="645"/>
      <c r="R17" s="646"/>
      <c r="S17" s="645"/>
      <c r="T17" s="646"/>
      <c r="U17" s="645"/>
      <c r="V17" s="646"/>
      <c r="W17" s="645"/>
      <c r="X17" s="646"/>
      <c r="Y17" s="645"/>
      <c r="Z17" s="646"/>
      <c r="AA17" s="644"/>
      <c r="AB17" s="644"/>
      <c r="AC17" s="644"/>
      <c r="AD17" s="644"/>
      <c r="AE17" s="644"/>
      <c r="AF17" s="644"/>
      <c r="AG17" s="644"/>
      <c r="AH17" s="644"/>
      <c r="AI17" s="644"/>
      <c r="AJ17" s="644"/>
      <c r="AK17" s="618"/>
      <c r="AL17" s="619"/>
    </row>
    <row r="18" spans="2:38" ht="15" customHeight="1" x14ac:dyDescent="0.25">
      <c r="B18" s="647"/>
      <c r="D18" s="571"/>
      <c r="E18" s="933" t="s">
        <v>18</v>
      </c>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648"/>
      <c r="AD18" s="648"/>
      <c r="AE18" s="648"/>
      <c r="AF18" s="648"/>
      <c r="AG18" s="648"/>
      <c r="AH18" s="649"/>
      <c r="AI18" s="649"/>
      <c r="AJ18" s="649"/>
      <c r="AK18" s="649"/>
      <c r="AL18" s="650"/>
    </row>
    <row r="19" spans="2:38" ht="18" x14ac:dyDescent="0.25">
      <c r="B19" s="647"/>
      <c r="C19" s="571"/>
      <c r="D19" s="571"/>
      <c r="E19" s="939"/>
      <c r="F19" s="939"/>
      <c r="G19" s="939"/>
      <c r="H19" s="939"/>
      <c r="I19" s="939"/>
      <c r="J19" s="939"/>
      <c r="K19" s="939"/>
      <c r="L19" s="939"/>
      <c r="M19" s="939"/>
      <c r="N19" s="939"/>
      <c r="O19" s="939"/>
      <c r="P19" s="939"/>
      <c r="Q19" s="939"/>
      <c r="R19" s="939"/>
      <c r="S19" s="939"/>
      <c r="T19" s="939"/>
      <c r="U19" s="939"/>
      <c r="V19" s="939"/>
      <c r="W19" s="939"/>
      <c r="X19" s="939"/>
      <c r="Y19" s="939"/>
      <c r="Z19" s="939"/>
      <c r="AA19" s="939"/>
      <c r="AB19" s="939"/>
      <c r="AC19" s="648"/>
      <c r="AD19" s="648"/>
      <c r="AE19" s="651" t="s">
        <v>290</v>
      </c>
      <c r="AF19" s="651"/>
      <c r="AG19" s="651"/>
      <c r="AH19" s="652" t="s">
        <v>291</v>
      </c>
      <c r="AI19" s="653"/>
      <c r="AJ19" s="653"/>
      <c r="AK19" s="653"/>
      <c r="AL19" s="650"/>
    </row>
    <row r="20" spans="2:38" ht="30" x14ac:dyDescent="0.25">
      <c r="B20" s="647"/>
      <c r="C20" s="934" t="s">
        <v>17</v>
      </c>
      <c r="D20" s="935"/>
      <c r="E20" s="608">
        <f>F11</f>
        <v>10</v>
      </c>
      <c r="F20" s="549" t="str">
        <f>"("&amp;ROUND(E20*25.4/50,0)*50&amp;")"</f>
        <v>(250)</v>
      </c>
      <c r="G20" s="735">
        <v>12</v>
      </c>
      <c r="H20" s="736" t="str">
        <f>"("&amp;ROUND(G20*25.4/50,0)*50&amp;")"</f>
        <v>(300)</v>
      </c>
      <c r="I20" s="662">
        <f>G20+6</f>
        <v>18</v>
      </c>
      <c r="J20" s="736" t="str">
        <f>"("&amp;ROUND(I20*25.4/50,0)*50&amp;")"</f>
        <v>(450)</v>
      </c>
      <c r="K20" s="662">
        <f>I20+6</f>
        <v>24</v>
      </c>
      <c r="L20" s="736" t="str">
        <f>"("&amp;ROUND(K20*25.4/50,0)*50&amp;")"</f>
        <v>(600)</v>
      </c>
      <c r="M20" s="662">
        <f>K20+6</f>
        <v>30</v>
      </c>
      <c r="N20" s="736" t="str">
        <f>"("&amp;ROUND(M20*25.4/50,0)*50&amp;")"</f>
        <v>(750)</v>
      </c>
      <c r="O20" s="662">
        <f>M20+6</f>
        <v>36</v>
      </c>
      <c r="P20" s="736" t="str">
        <f>"("&amp;ROUND(O20*25.4/50,0)*50&amp;")"</f>
        <v>(900)</v>
      </c>
      <c r="Q20" s="662">
        <f>O20+6</f>
        <v>42</v>
      </c>
      <c r="R20" s="736" t="str">
        <f>"("&amp;ROUND(Q20*25.4/50,0)*50&amp;")"</f>
        <v>(1050)</v>
      </c>
      <c r="S20" s="662">
        <f>Q20+6</f>
        <v>48</v>
      </c>
      <c r="T20" s="736" t="str">
        <f>"("&amp;ROUND(S20*25.4/50,0)*50&amp;")"</f>
        <v>(1200)</v>
      </c>
      <c r="U20" s="662">
        <f>S20+6</f>
        <v>54</v>
      </c>
      <c r="V20" s="736" t="str">
        <f>"("&amp;ROUND(U20*25.4/50,0)*50&amp;")"</f>
        <v>(1350)</v>
      </c>
      <c r="W20" s="662">
        <f>U20+6</f>
        <v>60</v>
      </c>
      <c r="X20" s="736" t="str">
        <f>"("&amp;ROUND(W20*25.4/50,0)*50&amp;")"</f>
        <v>(1500)</v>
      </c>
      <c r="Y20" s="662">
        <f>W20+6</f>
        <v>66</v>
      </c>
      <c r="Z20" s="736" t="str">
        <f>"("&amp;ROUND(Y20*25.4/50,0)*50&amp;")"</f>
        <v>(1700)</v>
      </c>
      <c r="AA20" s="662">
        <f>Y20+6</f>
        <v>72</v>
      </c>
      <c r="AB20" s="736" t="str">
        <f>"("&amp;ROUND(AA20*25.4/50,0)*50&amp;")"</f>
        <v>(1850)</v>
      </c>
      <c r="AC20" s="654" t="s">
        <v>292</v>
      </c>
      <c r="AD20" s="550"/>
      <c r="AE20" s="553" t="s">
        <v>293</v>
      </c>
      <c r="AF20" s="553" t="s">
        <v>294</v>
      </c>
      <c r="AG20" s="584"/>
      <c r="AH20" s="554" t="s">
        <v>28</v>
      </c>
      <c r="AI20" s="554" t="s">
        <v>295</v>
      </c>
      <c r="AJ20" s="554" t="s">
        <v>296</v>
      </c>
      <c r="AK20" s="554" t="s">
        <v>297</v>
      </c>
      <c r="AL20" s="650"/>
    </row>
    <row r="21" spans="2:38" x14ac:dyDescent="0.25">
      <c r="B21" s="647"/>
      <c r="C21" s="779">
        <f>F12</f>
        <v>7.375</v>
      </c>
      <c r="D21" s="601" t="str">
        <f>"("&amp;ROUND(C21*25.4/50,0)*50&amp;")"</f>
        <v>(200)</v>
      </c>
      <c r="E21" s="604">
        <f>($E$33*$AC21)/144</f>
        <v>4.6666666666666662E-2</v>
      </c>
      <c r="F21" s="605" t="str">
        <f t="shared" ref="F21:F32" si="0">"("&amp;FIXED(E21*0.092903,2)&amp;")"</f>
        <v>(0.00)</v>
      </c>
      <c r="G21" s="777">
        <f t="shared" ref="G21:G32" si="1">($G$33*$AC21)/144</f>
        <v>6.0000000000000005E-2</v>
      </c>
      <c r="H21" s="732" t="str">
        <f t="shared" ref="H21:H32" si="2">"("&amp;FIXED(G21*0.092903,2)&amp;")"</f>
        <v>(0.01)</v>
      </c>
      <c r="I21" s="731">
        <f t="shared" ref="I21:I32" si="3">(I$33*$AC21)/144</f>
        <v>9.9999999999999992E-2</v>
      </c>
      <c r="J21" s="732" t="str">
        <f t="shared" ref="J21:J32" si="4">"("&amp;ROUND(I21*0.092903,2)&amp;")"</f>
        <v>(0.01)</v>
      </c>
      <c r="K21" s="731">
        <f t="shared" ref="K21:K32" si="5">(K$33*$AC21)/144</f>
        <v>0.14000000000000001</v>
      </c>
      <c r="L21" s="732" t="str">
        <f t="shared" ref="L21:L32" si="6">"("&amp;ROUND(K21*0.092903,2)&amp;")"</f>
        <v>(0.01)</v>
      </c>
      <c r="M21" s="731">
        <f t="shared" ref="M21:M32" si="7">(M$33*$AC21)/144</f>
        <v>0.18</v>
      </c>
      <c r="N21" s="732" t="str">
        <f t="shared" ref="N21:N32" si="8">"("&amp;ROUND(M21*0.092903,2)&amp;")"</f>
        <v>(0.02)</v>
      </c>
      <c r="O21" s="731">
        <f t="shared" ref="O21:O32" si="9">(O$33*$AC21)/144</f>
        <v>0.22</v>
      </c>
      <c r="P21" s="732" t="str">
        <f t="shared" ref="P21:P32" si="10">"("&amp;ROUND(O21*0.092903,2)&amp;")"</f>
        <v>(0.02)</v>
      </c>
      <c r="Q21" s="731">
        <f t="shared" ref="Q21:Q32" si="11">(Q$33*$AC21)/144</f>
        <v>0.26</v>
      </c>
      <c r="R21" s="732" t="str">
        <f t="shared" ref="R21:R32" si="12">"("&amp;ROUND(Q21*0.092903,2)&amp;")"</f>
        <v>(0.02)</v>
      </c>
      <c r="S21" s="731">
        <f t="shared" ref="S21:S32" si="13">(S$33*$AC21)/144</f>
        <v>0.3</v>
      </c>
      <c r="T21" s="732" t="str">
        <f t="shared" ref="T21:T32" si="14">"("&amp;ROUND(S21*0.092903,2)&amp;")"</f>
        <v>(0.03)</v>
      </c>
      <c r="U21" s="731">
        <f t="shared" ref="U21:U32" si="15">(U$33*$AC21)/144</f>
        <v>0.33333333333333331</v>
      </c>
      <c r="V21" s="732" t="str">
        <f t="shared" ref="V21:V32" si="16">"("&amp;FIXED(U21*0.092903,2)&amp;")"</f>
        <v>(0.03)</v>
      </c>
      <c r="W21" s="731">
        <f t="shared" ref="W21:W32" si="17">(W$33*$AC21)/144</f>
        <v>0.37333333333333329</v>
      </c>
      <c r="X21" s="732" t="str">
        <f t="shared" ref="X21:X32" si="18">"("&amp;FIXED(W21*0.092903,2)&amp;")"</f>
        <v>(0.03)</v>
      </c>
      <c r="Y21" s="731">
        <f t="shared" ref="Y21:Y32" si="19">(Y$33*$AC21)/144</f>
        <v>0.41333333333333333</v>
      </c>
      <c r="Z21" s="732" t="str">
        <f t="shared" ref="Z21:Z32" si="20">"("&amp;FIXED(Y21*0.092903,2)&amp;")"</f>
        <v>(0.04)</v>
      </c>
      <c r="AA21" s="731">
        <f t="shared" ref="AA21:AA32" si="21">(AA$33*$AC21)/144</f>
        <v>0.45333333333333337</v>
      </c>
      <c r="AB21" s="732" t="str">
        <f t="shared" ref="AB21:AB32" si="22">"("&amp;FIXED(AA21*0.092903,2)&amp;")"</f>
        <v>(0.04)</v>
      </c>
      <c r="AC21" s="655">
        <f xml:space="preserve"> AK21</f>
        <v>0.96</v>
      </c>
      <c r="AD21" s="550"/>
      <c r="AE21" s="551">
        <v>3</v>
      </c>
      <c r="AF21" s="551">
        <v>1</v>
      </c>
      <c r="AG21" s="584"/>
      <c r="AH21" s="581">
        <f t="shared" ref="AH21:AH32" si="23">ROUNDDOWN((C21-3.625)/2,0)</f>
        <v>1</v>
      </c>
      <c r="AI21" s="762">
        <v>2.75</v>
      </c>
      <c r="AJ21" s="582">
        <v>0</v>
      </c>
      <c r="AK21" s="783">
        <v>0.96</v>
      </c>
      <c r="AL21" s="650"/>
    </row>
    <row r="22" spans="2:38" x14ac:dyDescent="0.25">
      <c r="B22" s="647"/>
      <c r="C22" s="548">
        <v>12</v>
      </c>
      <c r="D22" s="602" t="str">
        <f>"("&amp;ROUND(C22*25.4/50,0)*50&amp;")"</f>
        <v>(300)</v>
      </c>
      <c r="E22" s="604">
        <f t="shared" ref="E22:E32" si="24">($E$33*$AC22)/144</f>
        <v>0.18093055555555557</v>
      </c>
      <c r="F22" s="605" t="str">
        <f t="shared" si="0"/>
        <v>(0.02)</v>
      </c>
      <c r="G22" s="777">
        <f t="shared" si="1"/>
        <v>0.23262500000000003</v>
      </c>
      <c r="H22" s="732" t="str">
        <f t="shared" si="2"/>
        <v>(0.02)</v>
      </c>
      <c r="I22" s="731">
        <f t="shared" si="3"/>
        <v>0.38770833333333338</v>
      </c>
      <c r="J22" s="732" t="str">
        <f t="shared" si="4"/>
        <v>(0.04)</v>
      </c>
      <c r="K22" s="731">
        <f t="shared" si="5"/>
        <v>0.54279166666666667</v>
      </c>
      <c r="L22" s="732" t="str">
        <f t="shared" si="6"/>
        <v>(0.05)</v>
      </c>
      <c r="M22" s="731">
        <f t="shared" si="7"/>
        <v>0.69787500000000013</v>
      </c>
      <c r="N22" s="732" t="str">
        <f t="shared" si="8"/>
        <v>(0.06)</v>
      </c>
      <c r="O22" s="731">
        <f t="shared" si="9"/>
        <v>0.85295833333333337</v>
      </c>
      <c r="P22" s="732" t="str">
        <f t="shared" si="10"/>
        <v>(0.08)</v>
      </c>
      <c r="Q22" s="731">
        <f t="shared" si="11"/>
        <v>1.0080416666666667</v>
      </c>
      <c r="R22" s="732" t="str">
        <f t="shared" si="12"/>
        <v>(0.09)</v>
      </c>
      <c r="S22" s="731">
        <f t="shared" si="13"/>
        <v>1.163125</v>
      </c>
      <c r="T22" s="732" t="str">
        <f t="shared" si="14"/>
        <v>(0.11)</v>
      </c>
      <c r="U22" s="731">
        <f t="shared" si="15"/>
        <v>1.2923611111111113</v>
      </c>
      <c r="V22" s="732" t="str">
        <f t="shared" si="16"/>
        <v>(0.12)</v>
      </c>
      <c r="W22" s="731">
        <f t="shared" si="17"/>
        <v>1.4474444444444445</v>
      </c>
      <c r="X22" s="732" t="str">
        <f t="shared" si="18"/>
        <v>(0.13)</v>
      </c>
      <c r="Y22" s="731">
        <f t="shared" si="19"/>
        <v>1.602527777777778</v>
      </c>
      <c r="Z22" s="732" t="str">
        <f t="shared" si="20"/>
        <v>(0.15)</v>
      </c>
      <c r="AA22" s="731">
        <f t="shared" si="21"/>
        <v>1.7576111111111112</v>
      </c>
      <c r="AB22" s="732" t="str">
        <f t="shared" si="22"/>
        <v>(0.16)</v>
      </c>
      <c r="AC22" s="656">
        <f t="shared" ref="AC22:AC32" si="25">(AH22-1)*AJ22+AK22</f>
        <v>3.7220000000000004</v>
      </c>
      <c r="AD22" s="657"/>
      <c r="AE22" s="584"/>
      <c r="AF22" s="584"/>
      <c r="AG22" s="657"/>
      <c r="AH22" s="581">
        <f t="shared" si="23"/>
        <v>4</v>
      </c>
      <c r="AI22" s="762">
        <v>2.75</v>
      </c>
      <c r="AJ22" s="582">
        <v>1.0680000000000001</v>
      </c>
      <c r="AK22" s="582">
        <v>0.51800000000000002</v>
      </c>
      <c r="AL22" s="650"/>
    </row>
    <row r="23" spans="2:38" x14ac:dyDescent="0.25">
      <c r="B23" s="647"/>
      <c r="C23" s="548">
        <f>C22+6</f>
        <v>18</v>
      </c>
      <c r="D23" s="602" t="str">
        <f t="shared" ref="D23:D32" si="26">"("&amp;ROUND(C23*25.4/50,0)*50&amp;")"</f>
        <v>(450)</v>
      </c>
      <c r="E23" s="604">
        <f t="shared" si="24"/>
        <v>0.33668055555555554</v>
      </c>
      <c r="F23" s="605" t="str">
        <f t="shared" si="0"/>
        <v>(0.03)</v>
      </c>
      <c r="G23" s="777">
        <f>($G$33*$AC23)/144</f>
        <v>0.43287500000000001</v>
      </c>
      <c r="H23" s="732" t="str">
        <f t="shared" si="2"/>
        <v>(0.04)</v>
      </c>
      <c r="I23" s="731">
        <f t="shared" si="3"/>
        <v>0.72145833333333331</v>
      </c>
      <c r="J23" s="732" t="str">
        <f t="shared" si="4"/>
        <v>(0.07)</v>
      </c>
      <c r="K23" s="731">
        <f t="shared" si="5"/>
        <v>1.0100416666666667</v>
      </c>
      <c r="L23" s="732" t="str">
        <f t="shared" si="6"/>
        <v>(0.09)</v>
      </c>
      <c r="M23" s="731">
        <f t="shared" si="7"/>
        <v>1.2986250000000001</v>
      </c>
      <c r="N23" s="732" t="str">
        <f t="shared" si="8"/>
        <v>(0.12)</v>
      </c>
      <c r="O23" s="731">
        <f t="shared" si="9"/>
        <v>1.5872083333333333</v>
      </c>
      <c r="P23" s="732" t="str">
        <f t="shared" si="10"/>
        <v>(0.15)</v>
      </c>
      <c r="Q23" s="731">
        <f t="shared" si="11"/>
        <v>1.875791666666667</v>
      </c>
      <c r="R23" s="732" t="str">
        <f t="shared" si="12"/>
        <v>(0.17)</v>
      </c>
      <c r="S23" s="731">
        <f t="shared" si="13"/>
        <v>2.1643750000000002</v>
      </c>
      <c r="T23" s="732" t="str">
        <f t="shared" si="14"/>
        <v>(0.2)</v>
      </c>
      <c r="U23" s="731">
        <f t="shared" si="15"/>
        <v>2.4048611111111113</v>
      </c>
      <c r="V23" s="732" t="str">
        <f t="shared" si="16"/>
        <v>(0.22)</v>
      </c>
      <c r="W23" s="731">
        <f t="shared" si="17"/>
        <v>2.6934444444444443</v>
      </c>
      <c r="X23" s="732" t="str">
        <f t="shared" si="18"/>
        <v>(0.25)</v>
      </c>
      <c r="Y23" s="731">
        <f t="shared" si="19"/>
        <v>2.9820277777777782</v>
      </c>
      <c r="Z23" s="732" t="str">
        <f t="shared" si="20"/>
        <v>(0.28)</v>
      </c>
      <c r="AA23" s="731">
        <f t="shared" si="21"/>
        <v>3.2706111111111111</v>
      </c>
      <c r="AB23" s="732" t="str">
        <f t="shared" si="22"/>
        <v>(0.30)</v>
      </c>
      <c r="AC23" s="656">
        <f t="shared" si="25"/>
        <v>6.9260000000000002</v>
      </c>
      <c r="AD23" s="657"/>
      <c r="AE23" s="657"/>
      <c r="AF23" s="657"/>
      <c r="AG23" s="657"/>
      <c r="AH23" s="581">
        <f t="shared" si="23"/>
        <v>7</v>
      </c>
      <c r="AI23" s="762">
        <v>2.75</v>
      </c>
      <c r="AJ23" s="582">
        <v>1.0680000000000001</v>
      </c>
      <c r="AK23" s="582">
        <v>0.51800000000000002</v>
      </c>
      <c r="AL23" s="650"/>
    </row>
    <row r="24" spans="2:38" x14ac:dyDescent="0.25">
      <c r="B24" s="647"/>
      <c r="C24" s="548">
        <f t="shared" ref="C24:C32" si="27">C23+6</f>
        <v>24</v>
      </c>
      <c r="D24" s="602" t="str">
        <f t="shared" si="26"/>
        <v>(600)</v>
      </c>
      <c r="E24" s="604">
        <f t="shared" si="24"/>
        <v>0.49243055555555565</v>
      </c>
      <c r="F24" s="605" t="str">
        <f t="shared" si="0"/>
        <v>(0.05)</v>
      </c>
      <c r="G24" s="777">
        <f t="shared" si="1"/>
        <v>0.63312500000000005</v>
      </c>
      <c r="H24" s="732" t="str">
        <f t="shared" si="2"/>
        <v>(0.06)</v>
      </c>
      <c r="I24" s="731">
        <f t="shared" si="3"/>
        <v>1.0552083333333335</v>
      </c>
      <c r="J24" s="732" t="str">
        <f t="shared" si="4"/>
        <v>(0.1)</v>
      </c>
      <c r="K24" s="731">
        <f t="shared" si="5"/>
        <v>1.4772916666666669</v>
      </c>
      <c r="L24" s="732" t="str">
        <f t="shared" si="6"/>
        <v>(0.14)</v>
      </c>
      <c r="M24" s="731">
        <f t="shared" si="7"/>
        <v>1.8993750000000003</v>
      </c>
      <c r="N24" s="732" t="str">
        <f t="shared" si="8"/>
        <v>(0.18)</v>
      </c>
      <c r="O24" s="731">
        <f t="shared" si="9"/>
        <v>2.3214583333333336</v>
      </c>
      <c r="P24" s="732" t="str">
        <f t="shared" si="10"/>
        <v>(0.22)</v>
      </c>
      <c r="Q24" s="731">
        <f t="shared" si="11"/>
        <v>2.7435416666666672</v>
      </c>
      <c r="R24" s="732" t="str">
        <f t="shared" si="12"/>
        <v>(0.25)</v>
      </c>
      <c r="S24" s="731">
        <f t="shared" si="13"/>
        <v>3.1656250000000004</v>
      </c>
      <c r="T24" s="732" t="str">
        <f t="shared" si="14"/>
        <v>(0.29)</v>
      </c>
      <c r="U24" s="731">
        <f t="shared" si="15"/>
        <v>3.5173611111111116</v>
      </c>
      <c r="V24" s="732" t="str">
        <f t="shared" si="16"/>
        <v>(0.33)</v>
      </c>
      <c r="W24" s="731">
        <f t="shared" si="17"/>
        <v>3.9394444444444452</v>
      </c>
      <c r="X24" s="732" t="str">
        <f t="shared" si="18"/>
        <v>(0.37)</v>
      </c>
      <c r="Y24" s="731">
        <f t="shared" si="19"/>
        <v>4.3615277777777779</v>
      </c>
      <c r="Z24" s="732" t="str">
        <f t="shared" si="20"/>
        <v>(0.41)</v>
      </c>
      <c r="AA24" s="731">
        <f t="shared" si="21"/>
        <v>4.783611111111111</v>
      </c>
      <c r="AB24" s="732" t="str">
        <f t="shared" si="22"/>
        <v>(0.44)</v>
      </c>
      <c r="AC24" s="656">
        <f t="shared" si="25"/>
        <v>10.130000000000001</v>
      </c>
      <c r="AD24" s="657"/>
      <c r="AE24" s="657"/>
      <c r="AF24" s="657"/>
      <c r="AG24" s="657"/>
      <c r="AH24" s="581">
        <f t="shared" si="23"/>
        <v>10</v>
      </c>
      <c r="AI24" s="762">
        <v>2.75</v>
      </c>
      <c r="AJ24" s="582">
        <v>1.0680000000000001</v>
      </c>
      <c r="AK24" s="582">
        <v>0.51800000000000002</v>
      </c>
      <c r="AL24" s="650"/>
    </row>
    <row r="25" spans="2:38" x14ac:dyDescent="0.25">
      <c r="B25" s="647"/>
      <c r="C25" s="548">
        <f t="shared" si="27"/>
        <v>30</v>
      </c>
      <c r="D25" s="602" t="str">
        <f t="shared" si="26"/>
        <v>(750)</v>
      </c>
      <c r="E25" s="604">
        <f t="shared" si="24"/>
        <v>0.64818055555555565</v>
      </c>
      <c r="F25" s="605" t="str">
        <f t="shared" si="0"/>
        <v>(0.06)</v>
      </c>
      <c r="G25" s="777">
        <f t="shared" si="1"/>
        <v>0.83337500000000009</v>
      </c>
      <c r="H25" s="732" t="str">
        <f t="shared" si="2"/>
        <v>(0.08)</v>
      </c>
      <c r="I25" s="731">
        <f t="shared" si="3"/>
        <v>1.3889583333333335</v>
      </c>
      <c r="J25" s="732" t="str">
        <f t="shared" si="4"/>
        <v>(0.13)</v>
      </c>
      <c r="K25" s="731">
        <f t="shared" si="5"/>
        <v>1.9445416666666668</v>
      </c>
      <c r="L25" s="732" t="str">
        <f t="shared" si="6"/>
        <v>(0.18)</v>
      </c>
      <c r="M25" s="731">
        <f t="shared" si="7"/>
        <v>2.5001250000000002</v>
      </c>
      <c r="N25" s="732" t="str">
        <f t="shared" si="8"/>
        <v>(0.23)</v>
      </c>
      <c r="O25" s="731">
        <f t="shared" si="9"/>
        <v>3.0557083333333335</v>
      </c>
      <c r="P25" s="732" t="str">
        <f t="shared" si="10"/>
        <v>(0.28)</v>
      </c>
      <c r="Q25" s="731">
        <f t="shared" si="11"/>
        <v>3.6112916666666672</v>
      </c>
      <c r="R25" s="732" t="str">
        <f t="shared" si="12"/>
        <v>(0.34)</v>
      </c>
      <c r="S25" s="731">
        <f t="shared" si="13"/>
        <v>4.166875000000001</v>
      </c>
      <c r="T25" s="732" t="str">
        <f t="shared" si="14"/>
        <v>(0.39)</v>
      </c>
      <c r="U25" s="731">
        <f t="shared" si="15"/>
        <v>4.6298611111111114</v>
      </c>
      <c r="V25" s="732" t="str">
        <f t="shared" si="16"/>
        <v>(0.43)</v>
      </c>
      <c r="W25" s="731">
        <f t="shared" si="17"/>
        <v>5.1854444444444452</v>
      </c>
      <c r="X25" s="732" t="str">
        <f t="shared" si="18"/>
        <v>(0.48)</v>
      </c>
      <c r="Y25" s="731">
        <f t="shared" si="19"/>
        <v>5.7410277777777781</v>
      </c>
      <c r="Z25" s="732" t="str">
        <f t="shared" si="20"/>
        <v>(0.53)</v>
      </c>
      <c r="AA25" s="731">
        <f t="shared" si="21"/>
        <v>6.2966111111111118</v>
      </c>
      <c r="AB25" s="732" t="str">
        <f t="shared" si="22"/>
        <v>(0.58)</v>
      </c>
      <c r="AC25" s="656">
        <f t="shared" si="25"/>
        <v>13.334000000000001</v>
      </c>
      <c r="AD25" s="657"/>
      <c r="AE25" s="657"/>
      <c r="AF25" s="657"/>
      <c r="AG25" s="657"/>
      <c r="AH25" s="581">
        <f t="shared" si="23"/>
        <v>13</v>
      </c>
      <c r="AI25" s="762">
        <v>2.75</v>
      </c>
      <c r="AJ25" s="582">
        <v>1.0680000000000001</v>
      </c>
      <c r="AK25" s="582">
        <v>0.51800000000000002</v>
      </c>
      <c r="AL25" s="650"/>
    </row>
    <row r="26" spans="2:38" x14ac:dyDescent="0.25">
      <c r="B26" s="647"/>
      <c r="C26" s="548">
        <f t="shared" si="27"/>
        <v>36</v>
      </c>
      <c r="D26" s="602" t="str">
        <f t="shared" si="26"/>
        <v>(900)</v>
      </c>
      <c r="E26" s="604">
        <f t="shared" si="24"/>
        <v>0.80393055555555559</v>
      </c>
      <c r="F26" s="605" t="str">
        <f t="shared" si="0"/>
        <v>(0.07)</v>
      </c>
      <c r="G26" s="777">
        <f t="shared" si="1"/>
        <v>1.033625</v>
      </c>
      <c r="H26" s="732" t="str">
        <f t="shared" si="2"/>
        <v>(0.10)</v>
      </c>
      <c r="I26" s="731">
        <f t="shared" si="3"/>
        <v>1.7227083333333333</v>
      </c>
      <c r="J26" s="732" t="str">
        <f t="shared" si="4"/>
        <v>(0.16)</v>
      </c>
      <c r="K26" s="731">
        <f t="shared" si="5"/>
        <v>2.4117916666666668</v>
      </c>
      <c r="L26" s="732" t="str">
        <f t="shared" si="6"/>
        <v>(0.22)</v>
      </c>
      <c r="M26" s="731">
        <f t="shared" si="7"/>
        <v>3.1008750000000003</v>
      </c>
      <c r="N26" s="732" t="str">
        <f t="shared" si="8"/>
        <v>(0.29)</v>
      </c>
      <c r="O26" s="731">
        <f t="shared" si="9"/>
        <v>3.7899583333333333</v>
      </c>
      <c r="P26" s="732" t="str">
        <f t="shared" si="10"/>
        <v>(0.35)</v>
      </c>
      <c r="Q26" s="731">
        <f t="shared" si="11"/>
        <v>4.4790416666666664</v>
      </c>
      <c r="R26" s="732" t="str">
        <f t="shared" si="12"/>
        <v>(0.42)</v>
      </c>
      <c r="S26" s="731">
        <f t="shared" si="13"/>
        <v>5.1681249999999999</v>
      </c>
      <c r="T26" s="732" t="str">
        <f t="shared" si="14"/>
        <v>(0.48)</v>
      </c>
      <c r="U26" s="731">
        <f t="shared" si="15"/>
        <v>5.7423611111111112</v>
      </c>
      <c r="V26" s="732" t="str">
        <f t="shared" si="16"/>
        <v>(0.53)</v>
      </c>
      <c r="W26" s="731">
        <f t="shared" si="17"/>
        <v>6.4314444444444447</v>
      </c>
      <c r="X26" s="732" t="str">
        <f t="shared" si="18"/>
        <v>(0.60)</v>
      </c>
      <c r="Y26" s="731">
        <f t="shared" si="19"/>
        <v>7.1205277777777773</v>
      </c>
      <c r="Z26" s="732" t="str">
        <f t="shared" si="20"/>
        <v>(0.66)</v>
      </c>
      <c r="AA26" s="731">
        <f t="shared" si="21"/>
        <v>7.8096111111111117</v>
      </c>
      <c r="AB26" s="732" t="str">
        <f t="shared" si="22"/>
        <v>(0.73)</v>
      </c>
      <c r="AC26" s="656">
        <f t="shared" si="25"/>
        <v>16.538</v>
      </c>
      <c r="AD26" s="657"/>
      <c r="AE26" s="657"/>
      <c r="AF26" s="657"/>
      <c r="AG26" s="657"/>
      <c r="AH26" s="581">
        <f t="shared" si="23"/>
        <v>16</v>
      </c>
      <c r="AI26" s="762">
        <v>2.75</v>
      </c>
      <c r="AJ26" s="582">
        <v>1.0680000000000001</v>
      </c>
      <c r="AK26" s="582">
        <v>0.51800000000000002</v>
      </c>
      <c r="AL26" s="650"/>
    </row>
    <row r="27" spans="2:38" x14ac:dyDescent="0.25">
      <c r="B27" s="647"/>
      <c r="C27" s="548">
        <f t="shared" si="27"/>
        <v>42</v>
      </c>
      <c r="D27" s="602" t="str">
        <f>"("&amp;ROUND(C27*25.4/50,0)*50&amp;")"</f>
        <v>(1050)</v>
      </c>
      <c r="E27" s="604">
        <f t="shared" si="24"/>
        <v>0.95968055555555565</v>
      </c>
      <c r="F27" s="605" t="str">
        <f t="shared" si="0"/>
        <v>(0.09)</v>
      </c>
      <c r="G27" s="777">
        <f t="shared" si="1"/>
        <v>1.2338750000000001</v>
      </c>
      <c r="H27" s="732" t="str">
        <f t="shared" si="2"/>
        <v>(0.11)</v>
      </c>
      <c r="I27" s="731">
        <f t="shared" si="3"/>
        <v>2.0564583333333335</v>
      </c>
      <c r="J27" s="732" t="str">
        <f t="shared" si="4"/>
        <v>(0.19)</v>
      </c>
      <c r="K27" s="731">
        <f t="shared" si="5"/>
        <v>2.8790416666666667</v>
      </c>
      <c r="L27" s="732" t="str">
        <f t="shared" si="6"/>
        <v>(0.27)</v>
      </c>
      <c r="M27" s="731">
        <f t="shared" si="7"/>
        <v>3.7016249999999999</v>
      </c>
      <c r="N27" s="732" t="str">
        <f t="shared" si="8"/>
        <v>(0.34)</v>
      </c>
      <c r="O27" s="731">
        <f t="shared" si="9"/>
        <v>4.5242083333333332</v>
      </c>
      <c r="P27" s="732" t="str">
        <f t="shared" si="10"/>
        <v>(0.42)</v>
      </c>
      <c r="Q27" s="731">
        <f t="shared" si="11"/>
        <v>5.3467916666666664</v>
      </c>
      <c r="R27" s="732" t="str">
        <f t="shared" si="12"/>
        <v>(0.5)</v>
      </c>
      <c r="S27" s="731">
        <f t="shared" si="13"/>
        <v>6.1693749999999996</v>
      </c>
      <c r="T27" s="732" t="str">
        <f t="shared" si="14"/>
        <v>(0.57)</v>
      </c>
      <c r="U27" s="731">
        <f t="shared" si="15"/>
        <v>6.8548611111111111</v>
      </c>
      <c r="V27" s="732" t="str">
        <f t="shared" si="16"/>
        <v>(0.64)</v>
      </c>
      <c r="W27" s="731">
        <f t="shared" si="17"/>
        <v>7.6774444444444452</v>
      </c>
      <c r="X27" s="732" t="str">
        <f t="shared" si="18"/>
        <v>(0.71)</v>
      </c>
      <c r="Y27" s="731">
        <f t="shared" si="19"/>
        <v>8.5000277777777793</v>
      </c>
      <c r="Z27" s="732" t="str">
        <f t="shared" si="20"/>
        <v>(0.79)</v>
      </c>
      <c r="AA27" s="731">
        <f t="shared" si="21"/>
        <v>9.3226111111111116</v>
      </c>
      <c r="AB27" s="732" t="str">
        <f t="shared" si="22"/>
        <v>(0.87)</v>
      </c>
      <c r="AC27" s="656">
        <f t="shared" si="25"/>
        <v>19.742000000000001</v>
      </c>
      <c r="AD27" s="657"/>
      <c r="AE27" s="657"/>
      <c r="AF27" s="657"/>
      <c r="AG27" s="657"/>
      <c r="AH27" s="581">
        <f t="shared" si="23"/>
        <v>19</v>
      </c>
      <c r="AI27" s="762">
        <v>2.75</v>
      </c>
      <c r="AJ27" s="582">
        <v>1.0680000000000001</v>
      </c>
      <c r="AK27" s="582">
        <v>0.51800000000000002</v>
      </c>
      <c r="AL27" s="650"/>
    </row>
    <row r="28" spans="2:38" x14ac:dyDescent="0.25">
      <c r="B28" s="647"/>
      <c r="C28" s="548">
        <f t="shared" si="27"/>
        <v>48</v>
      </c>
      <c r="D28" s="602" t="str">
        <f t="shared" si="26"/>
        <v>(1200)</v>
      </c>
      <c r="E28" s="604">
        <f t="shared" si="24"/>
        <v>1.1154305555555557</v>
      </c>
      <c r="F28" s="605" t="str">
        <f t="shared" si="0"/>
        <v>(0.10)</v>
      </c>
      <c r="G28" s="777">
        <f t="shared" si="1"/>
        <v>1.4341250000000001</v>
      </c>
      <c r="H28" s="732" t="str">
        <f t="shared" si="2"/>
        <v>(0.13)</v>
      </c>
      <c r="I28" s="731">
        <f t="shared" si="3"/>
        <v>2.3902083333333333</v>
      </c>
      <c r="J28" s="732" t="str">
        <f t="shared" si="4"/>
        <v>(0.22)</v>
      </c>
      <c r="K28" s="731">
        <f t="shared" si="5"/>
        <v>3.3462916666666671</v>
      </c>
      <c r="L28" s="732" t="str">
        <f t="shared" si="6"/>
        <v>(0.31)</v>
      </c>
      <c r="M28" s="731">
        <f t="shared" si="7"/>
        <v>4.3023750000000005</v>
      </c>
      <c r="N28" s="732" t="str">
        <f t="shared" si="8"/>
        <v>(0.4)</v>
      </c>
      <c r="O28" s="731">
        <f t="shared" si="9"/>
        <v>5.2584583333333335</v>
      </c>
      <c r="P28" s="732" t="str">
        <f t="shared" si="10"/>
        <v>(0.49)</v>
      </c>
      <c r="Q28" s="731">
        <f t="shared" si="11"/>
        <v>6.2145416666666664</v>
      </c>
      <c r="R28" s="732" t="str">
        <f t="shared" si="12"/>
        <v>(0.58)</v>
      </c>
      <c r="S28" s="731">
        <f t="shared" si="13"/>
        <v>7.1706250000000011</v>
      </c>
      <c r="T28" s="732" t="str">
        <f t="shared" si="14"/>
        <v>(0.67)</v>
      </c>
      <c r="U28" s="731">
        <f t="shared" si="15"/>
        <v>7.9673611111111127</v>
      </c>
      <c r="V28" s="732" t="str">
        <f t="shared" si="16"/>
        <v>(0.74)</v>
      </c>
      <c r="W28" s="731">
        <f t="shared" si="17"/>
        <v>8.9234444444444456</v>
      </c>
      <c r="X28" s="732" t="str">
        <f t="shared" si="18"/>
        <v>(0.83)</v>
      </c>
      <c r="Y28" s="731">
        <f t="shared" si="19"/>
        <v>9.8795277777777777</v>
      </c>
      <c r="Z28" s="732" t="str">
        <f t="shared" si="20"/>
        <v>(0.92)</v>
      </c>
      <c r="AA28" s="731">
        <f t="shared" si="21"/>
        <v>10.835611111111113</v>
      </c>
      <c r="AB28" s="732" t="str">
        <f t="shared" si="22"/>
        <v>(1.01)</v>
      </c>
      <c r="AC28" s="656">
        <f t="shared" si="25"/>
        <v>22.946000000000002</v>
      </c>
      <c r="AD28" s="657"/>
      <c r="AE28" s="657"/>
      <c r="AF28" s="657"/>
      <c r="AG28" s="657"/>
      <c r="AH28" s="581">
        <f t="shared" si="23"/>
        <v>22</v>
      </c>
      <c r="AI28" s="762">
        <v>2.75</v>
      </c>
      <c r="AJ28" s="582">
        <v>1.0680000000000001</v>
      </c>
      <c r="AK28" s="582">
        <v>0.51800000000000002</v>
      </c>
      <c r="AL28" s="650"/>
    </row>
    <row r="29" spans="2:38" x14ac:dyDescent="0.25">
      <c r="B29" s="647"/>
      <c r="C29" s="548">
        <f t="shared" si="27"/>
        <v>54</v>
      </c>
      <c r="D29" s="602" t="str">
        <f t="shared" si="26"/>
        <v>(1350)</v>
      </c>
      <c r="E29" s="604">
        <f t="shared" si="24"/>
        <v>1.2711805555555555</v>
      </c>
      <c r="F29" s="605" t="str">
        <f t="shared" si="0"/>
        <v>(0.12)</v>
      </c>
      <c r="G29" s="777">
        <f t="shared" si="1"/>
        <v>1.6343750000000001</v>
      </c>
      <c r="H29" s="732" t="str">
        <f t="shared" si="2"/>
        <v>(0.15)</v>
      </c>
      <c r="I29" s="731">
        <f t="shared" si="3"/>
        <v>2.7239583333333339</v>
      </c>
      <c r="J29" s="732" t="str">
        <f t="shared" si="4"/>
        <v>(0.25)</v>
      </c>
      <c r="K29" s="731">
        <f t="shared" si="5"/>
        <v>3.8135416666666675</v>
      </c>
      <c r="L29" s="732" t="str">
        <f t="shared" si="6"/>
        <v>(0.35)</v>
      </c>
      <c r="M29" s="731">
        <f t="shared" si="7"/>
        <v>4.9031250000000002</v>
      </c>
      <c r="N29" s="732" t="str">
        <f t="shared" si="8"/>
        <v>(0.46)</v>
      </c>
      <c r="O29" s="731">
        <f t="shared" si="9"/>
        <v>5.9927083333333337</v>
      </c>
      <c r="P29" s="732" t="str">
        <f t="shared" si="10"/>
        <v>(0.56)</v>
      </c>
      <c r="Q29" s="731">
        <f t="shared" si="11"/>
        <v>7.0822916666666673</v>
      </c>
      <c r="R29" s="732" t="str">
        <f t="shared" si="12"/>
        <v>(0.66)</v>
      </c>
      <c r="S29" s="731">
        <f t="shared" si="13"/>
        <v>8.171875</v>
      </c>
      <c r="T29" s="732" t="str">
        <f t="shared" si="14"/>
        <v>(0.76)</v>
      </c>
      <c r="U29" s="731">
        <f t="shared" si="15"/>
        <v>9.0798611111111107</v>
      </c>
      <c r="V29" s="732" t="str">
        <f t="shared" si="16"/>
        <v>(0.84)</v>
      </c>
      <c r="W29" s="731">
        <f t="shared" si="17"/>
        <v>10.169444444444444</v>
      </c>
      <c r="X29" s="732" t="str">
        <f t="shared" si="18"/>
        <v>(0.94)</v>
      </c>
      <c r="Y29" s="731">
        <f t="shared" si="19"/>
        <v>11.25902777777778</v>
      </c>
      <c r="Z29" s="732" t="str">
        <f t="shared" si="20"/>
        <v>(1.05)</v>
      </c>
      <c r="AA29" s="731">
        <f t="shared" si="21"/>
        <v>12.348611111111111</v>
      </c>
      <c r="AB29" s="732" t="str">
        <f t="shared" si="22"/>
        <v>(1.15)</v>
      </c>
      <c r="AC29" s="656">
        <f t="shared" si="25"/>
        <v>26.150000000000002</v>
      </c>
      <c r="AD29" s="657"/>
      <c r="AE29" s="657"/>
      <c r="AF29" s="657"/>
      <c r="AG29" s="657"/>
      <c r="AH29" s="581">
        <f t="shared" si="23"/>
        <v>25</v>
      </c>
      <c r="AI29" s="762">
        <v>2.75</v>
      </c>
      <c r="AJ29" s="582">
        <v>1.0680000000000001</v>
      </c>
      <c r="AK29" s="582">
        <v>0.51800000000000002</v>
      </c>
      <c r="AL29" s="650"/>
    </row>
    <row r="30" spans="2:38" x14ac:dyDescent="0.25">
      <c r="B30" s="647"/>
      <c r="C30" s="548">
        <f t="shared" si="27"/>
        <v>60</v>
      </c>
      <c r="D30" s="602" t="str">
        <f t="shared" si="26"/>
        <v>(1500)</v>
      </c>
      <c r="E30" s="604">
        <f t="shared" si="24"/>
        <v>1.4269305555555556</v>
      </c>
      <c r="F30" s="605" t="str">
        <f t="shared" si="0"/>
        <v>(0.13)</v>
      </c>
      <c r="G30" s="777">
        <f t="shared" si="1"/>
        <v>1.8346250000000002</v>
      </c>
      <c r="H30" s="732" t="str">
        <f t="shared" si="2"/>
        <v>(0.17)</v>
      </c>
      <c r="I30" s="731">
        <f t="shared" si="3"/>
        <v>3.0577083333333337</v>
      </c>
      <c r="J30" s="732" t="str">
        <f t="shared" si="4"/>
        <v>(0.28)</v>
      </c>
      <c r="K30" s="731">
        <f t="shared" si="5"/>
        <v>4.2807916666666674</v>
      </c>
      <c r="L30" s="732" t="str">
        <f t="shared" si="6"/>
        <v>(0.4)</v>
      </c>
      <c r="M30" s="731">
        <f t="shared" si="7"/>
        <v>5.5038750000000007</v>
      </c>
      <c r="N30" s="732" t="str">
        <f t="shared" si="8"/>
        <v>(0.51)</v>
      </c>
      <c r="O30" s="731">
        <f t="shared" si="9"/>
        <v>6.726958333333334</v>
      </c>
      <c r="P30" s="732" t="str">
        <f t="shared" si="10"/>
        <v>(0.62)</v>
      </c>
      <c r="Q30" s="731">
        <f t="shared" si="11"/>
        <v>7.9500416666666673</v>
      </c>
      <c r="R30" s="732" t="str">
        <f t="shared" si="12"/>
        <v>(0.74)</v>
      </c>
      <c r="S30" s="731">
        <f t="shared" si="13"/>
        <v>9.1731250000000006</v>
      </c>
      <c r="T30" s="732" t="str">
        <f t="shared" si="14"/>
        <v>(0.85)</v>
      </c>
      <c r="U30" s="731">
        <f t="shared" si="15"/>
        <v>10.192361111111111</v>
      </c>
      <c r="V30" s="732" t="str">
        <f t="shared" si="16"/>
        <v>(0.95)</v>
      </c>
      <c r="W30" s="731">
        <f t="shared" si="17"/>
        <v>11.415444444444445</v>
      </c>
      <c r="X30" s="732" t="str">
        <f t="shared" si="18"/>
        <v>(1.06)</v>
      </c>
      <c r="Y30" s="731">
        <f t="shared" si="19"/>
        <v>12.638527777777778</v>
      </c>
      <c r="Z30" s="732" t="str">
        <f t="shared" si="20"/>
        <v>(1.17)</v>
      </c>
      <c r="AA30" s="731">
        <f t="shared" si="21"/>
        <v>13.861611111111111</v>
      </c>
      <c r="AB30" s="732" t="str">
        <f t="shared" si="22"/>
        <v>(1.29)</v>
      </c>
      <c r="AC30" s="656">
        <f t="shared" si="25"/>
        <v>29.354000000000003</v>
      </c>
      <c r="AD30" s="657"/>
      <c r="AE30" s="657"/>
      <c r="AF30" s="657"/>
      <c r="AG30" s="657"/>
      <c r="AH30" s="581">
        <f t="shared" si="23"/>
        <v>28</v>
      </c>
      <c r="AI30" s="762">
        <v>2.75</v>
      </c>
      <c r="AJ30" s="582">
        <v>1.0680000000000001</v>
      </c>
      <c r="AK30" s="582">
        <v>0.51800000000000002</v>
      </c>
      <c r="AL30" s="650"/>
    </row>
    <row r="31" spans="2:38" x14ac:dyDescent="0.25">
      <c r="B31" s="647"/>
      <c r="C31" s="548">
        <f t="shared" si="27"/>
        <v>66</v>
      </c>
      <c r="D31" s="602" t="str">
        <f t="shared" si="26"/>
        <v>(1700)</v>
      </c>
      <c r="E31" s="604">
        <f t="shared" si="24"/>
        <v>1.5826805555555556</v>
      </c>
      <c r="F31" s="605" t="str">
        <f t="shared" si="0"/>
        <v>(0.15)</v>
      </c>
      <c r="G31" s="777">
        <f t="shared" si="1"/>
        <v>2.034875</v>
      </c>
      <c r="H31" s="732" t="str">
        <f t="shared" si="2"/>
        <v>(0.19)</v>
      </c>
      <c r="I31" s="731">
        <f t="shared" si="3"/>
        <v>3.3914583333333335</v>
      </c>
      <c r="J31" s="732" t="str">
        <f t="shared" si="4"/>
        <v>(0.32)</v>
      </c>
      <c r="K31" s="731">
        <f t="shared" si="5"/>
        <v>4.7480416666666665</v>
      </c>
      <c r="L31" s="732" t="str">
        <f t="shared" si="6"/>
        <v>(0.44)</v>
      </c>
      <c r="M31" s="731">
        <f t="shared" si="7"/>
        <v>6.1046250000000004</v>
      </c>
      <c r="N31" s="732" t="str">
        <f t="shared" si="8"/>
        <v>(0.57)</v>
      </c>
      <c r="O31" s="731">
        <f t="shared" si="9"/>
        <v>7.4612083333333334</v>
      </c>
      <c r="P31" s="732" t="str">
        <f t="shared" si="10"/>
        <v>(0.69)</v>
      </c>
      <c r="Q31" s="731">
        <f t="shared" si="11"/>
        <v>8.8177916666666665</v>
      </c>
      <c r="R31" s="732" t="str">
        <f t="shared" si="12"/>
        <v>(0.82)</v>
      </c>
      <c r="S31" s="731">
        <f t="shared" si="13"/>
        <v>10.174375</v>
      </c>
      <c r="T31" s="732" t="str">
        <f t="shared" si="14"/>
        <v>(0.95)</v>
      </c>
      <c r="U31" s="731">
        <f t="shared" si="15"/>
        <v>11.304861111111112</v>
      </c>
      <c r="V31" s="732" t="str">
        <f t="shared" si="16"/>
        <v>(1.05)</v>
      </c>
      <c r="W31" s="731">
        <f t="shared" si="17"/>
        <v>12.661444444444445</v>
      </c>
      <c r="X31" s="732" t="str">
        <f t="shared" si="18"/>
        <v>(1.18)</v>
      </c>
      <c r="Y31" s="731">
        <f t="shared" si="19"/>
        <v>14.018027777777778</v>
      </c>
      <c r="Z31" s="732" t="str">
        <f t="shared" si="20"/>
        <v>(1.30)</v>
      </c>
      <c r="AA31" s="731">
        <f t="shared" si="21"/>
        <v>15.374611111111111</v>
      </c>
      <c r="AB31" s="732" t="str">
        <f t="shared" si="22"/>
        <v>(1.43)</v>
      </c>
      <c r="AC31" s="656">
        <f t="shared" si="25"/>
        <v>32.558</v>
      </c>
      <c r="AD31" s="657"/>
      <c r="AE31" s="657"/>
      <c r="AF31" s="657"/>
      <c r="AG31" s="657"/>
      <c r="AH31" s="581">
        <f t="shared" si="23"/>
        <v>31</v>
      </c>
      <c r="AI31" s="762">
        <v>2.75</v>
      </c>
      <c r="AJ31" s="582">
        <v>1.0680000000000001</v>
      </c>
      <c r="AK31" s="582">
        <v>0.51800000000000002</v>
      </c>
      <c r="AL31" s="650"/>
    </row>
    <row r="32" spans="2:38" x14ac:dyDescent="0.25">
      <c r="B32" s="647"/>
      <c r="C32" s="548">
        <f t="shared" si="27"/>
        <v>72</v>
      </c>
      <c r="D32" s="602" t="str">
        <f t="shared" si="26"/>
        <v>(1850)</v>
      </c>
      <c r="E32" s="606">
        <f t="shared" si="24"/>
        <v>1.7384305555555555</v>
      </c>
      <c r="F32" s="607" t="str">
        <f t="shared" si="0"/>
        <v>(0.16)</v>
      </c>
      <c r="G32" s="778">
        <f t="shared" si="1"/>
        <v>2.235125</v>
      </c>
      <c r="H32" s="734" t="str">
        <f t="shared" si="2"/>
        <v>(0.21)</v>
      </c>
      <c r="I32" s="733">
        <f t="shared" si="3"/>
        <v>3.7252083333333337</v>
      </c>
      <c r="J32" s="734" t="str">
        <f t="shared" si="4"/>
        <v>(0.35)</v>
      </c>
      <c r="K32" s="733">
        <f t="shared" si="5"/>
        <v>5.2152916666666664</v>
      </c>
      <c r="L32" s="734" t="str">
        <f t="shared" si="6"/>
        <v>(0.48)</v>
      </c>
      <c r="M32" s="733">
        <f t="shared" si="7"/>
        <v>6.7053750000000001</v>
      </c>
      <c r="N32" s="734" t="str">
        <f t="shared" si="8"/>
        <v>(0.62)</v>
      </c>
      <c r="O32" s="733">
        <f t="shared" si="9"/>
        <v>8.1954583333333328</v>
      </c>
      <c r="P32" s="734" t="str">
        <f t="shared" si="10"/>
        <v>(0.76)</v>
      </c>
      <c r="Q32" s="733">
        <f t="shared" si="11"/>
        <v>9.6855416666666674</v>
      </c>
      <c r="R32" s="734" t="str">
        <f t="shared" si="12"/>
        <v>(0.9)</v>
      </c>
      <c r="S32" s="733">
        <f t="shared" si="13"/>
        <v>11.175625</v>
      </c>
      <c r="T32" s="734" t="str">
        <f t="shared" si="14"/>
        <v>(1.04)</v>
      </c>
      <c r="U32" s="733">
        <f t="shared" si="15"/>
        <v>12.417361111111111</v>
      </c>
      <c r="V32" s="734" t="str">
        <f t="shared" si="16"/>
        <v>(1.15)</v>
      </c>
      <c r="W32" s="733">
        <f t="shared" si="17"/>
        <v>13.907444444444444</v>
      </c>
      <c r="X32" s="734" t="str">
        <f t="shared" si="18"/>
        <v>(1.29)</v>
      </c>
      <c r="Y32" s="733">
        <f t="shared" si="19"/>
        <v>15.397527777777778</v>
      </c>
      <c r="Z32" s="734" t="str">
        <f t="shared" si="20"/>
        <v>(1.43)</v>
      </c>
      <c r="AA32" s="733">
        <f t="shared" si="21"/>
        <v>16.887611111111109</v>
      </c>
      <c r="AB32" s="734" t="str">
        <f t="shared" si="22"/>
        <v>(1.57)</v>
      </c>
      <c r="AC32" s="656">
        <f t="shared" si="25"/>
        <v>35.762</v>
      </c>
      <c r="AD32" s="657"/>
      <c r="AE32" s="657"/>
      <c r="AF32" s="657"/>
      <c r="AG32" s="657"/>
      <c r="AH32" s="581">
        <f t="shared" si="23"/>
        <v>34</v>
      </c>
      <c r="AI32" s="762">
        <v>2.75</v>
      </c>
      <c r="AJ32" s="582">
        <v>1.0680000000000001</v>
      </c>
      <c r="AK32" s="582">
        <v>0.51800000000000002</v>
      </c>
      <c r="AL32" s="650"/>
    </row>
    <row r="33" spans="2:38" x14ac:dyDescent="0.25">
      <c r="B33" s="647"/>
      <c r="C33" s="658" t="s">
        <v>298</v>
      </c>
      <c r="D33" s="658"/>
      <c r="E33" s="603">
        <f>E20-$AE$21</f>
        <v>7</v>
      </c>
      <c r="F33" s="584"/>
      <c r="G33" s="603">
        <f>G20-$AE$21</f>
        <v>9</v>
      </c>
      <c r="H33" s="603"/>
      <c r="I33" s="603">
        <f>I20-$AE$21</f>
        <v>15</v>
      </c>
      <c r="J33" s="603"/>
      <c r="K33" s="603">
        <f>K20-$AE$21</f>
        <v>21</v>
      </c>
      <c r="L33" s="603"/>
      <c r="M33" s="603">
        <f>M20-$AE$21</f>
        <v>27</v>
      </c>
      <c r="N33" s="603"/>
      <c r="O33" s="603">
        <f>O20-$AE$21</f>
        <v>33</v>
      </c>
      <c r="P33" s="603"/>
      <c r="Q33" s="603">
        <f>Q20-$AE$21</f>
        <v>39</v>
      </c>
      <c r="R33" s="603"/>
      <c r="S33" s="603">
        <f>S20-$AE$21</f>
        <v>45</v>
      </c>
      <c r="T33" s="603"/>
      <c r="U33" s="603">
        <f>U20-$AE$21-$AF$21</f>
        <v>50</v>
      </c>
      <c r="V33" s="659"/>
      <c r="W33" s="603">
        <f>W20-$AE$21-$AF$21</f>
        <v>56</v>
      </c>
      <c r="X33" s="659"/>
      <c r="Y33" s="603">
        <f>Y20-$AE$21-$AF$21</f>
        <v>62</v>
      </c>
      <c r="Z33" s="659"/>
      <c r="AA33" s="603">
        <f>AA20-$AE$21-$AF$21</f>
        <v>68</v>
      </c>
      <c r="AB33" s="659"/>
      <c r="AC33" s="648"/>
      <c r="AD33" s="648"/>
      <c r="AE33" s="648"/>
      <c r="AF33" s="648"/>
      <c r="AG33" s="648"/>
      <c r="AH33" s="648"/>
      <c r="AI33" s="648"/>
      <c r="AJ33" s="648"/>
      <c r="AK33" s="648"/>
      <c r="AL33" s="650"/>
    </row>
    <row r="34" spans="2:38" x14ac:dyDescent="0.25">
      <c r="B34" s="647"/>
      <c r="C34" s="648"/>
      <c r="D34" s="648"/>
      <c r="E34" s="584"/>
      <c r="F34" s="584"/>
      <c r="G34" s="660"/>
      <c r="H34" s="661"/>
      <c r="I34" s="660"/>
      <c r="J34" s="661"/>
      <c r="K34" s="660"/>
      <c r="L34" s="661"/>
      <c r="M34" s="660"/>
      <c r="N34" s="661"/>
      <c r="O34" s="660"/>
      <c r="P34" s="661"/>
      <c r="Q34" s="660"/>
      <c r="R34" s="661"/>
      <c r="S34" s="660"/>
      <c r="T34" s="661"/>
      <c r="U34" s="660"/>
      <c r="V34" s="661"/>
      <c r="W34" s="660"/>
      <c r="X34" s="661"/>
      <c r="Y34" s="660"/>
      <c r="Z34" s="661"/>
      <c r="AA34" s="660"/>
      <c r="AB34" s="661"/>
      <c r="AC34" s="648"/>
      <c r="AD34" s="648"/>
      <c r="AE34" s="648"/>
      <c r="AF34" s="648"/>
      <c r="AG34" s="648"/>
      <c r="AH34" s="648"/>
      <c r="AI34" s="648"/>
      <c r="AJ34" s="648"/>
      <c r="AK34" s="648"/>
      <c r="AL34" s="650"/>
    </row>
    <row r="35" spans="2:38" ht="26.25" x14ac:dyDescent="0.25">
      <c r="B35" s="647"/>
      <c r="C35" s="940" t="s">
        <v>299</v>
      </c>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941"/>
      <c r="AB35" s="942"/>
      <c r="AC35" s="648"/>
      <c r="AD35" s="648"/>
      <c r="AE35" s="648"/>
      <c r="AF35" s="648"/>
      <c r="AG35" s="648"/>
      <c r="AH35" s="648"/>
      <c r="AI35" s="648"/>
      <c r="AJ35" s="648"/>
      <c r="AK35" s="648"/>
      <c r="AL35" s="650"/>
    </row>
    <row r="36" spans="2:38" ht="15" customHeight="1" x14ac:dyDescent="0.25">
      <c r="B36" s="647"/>
      <c r="C36" s="936" t="s">
        <v>300</v>
      </c>
      <c r="D36" s="936"/>
      <c r="E36" s="933" t="s">
        <v>301</v>
      </c>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648"/>
      <c r="AD36" s="648"/>
      <c r="AE36" s="648"/>
      <c r="AF36" s="648"/>
      <c r="AG36" s="648"/>
      <c r="AH36" s="648"/>
      <c r="AI36" s="648"/>
      <c r="AJ36" s="648"/>
      <c r="AK36" s="648"/>
      <c r="AL36" s="650"/>
    </row>
    <row r="37" spans="2:38" x14ac:dyDescent="0.25">
      <c r="B37" s="647"/>
      <c r="C37" s="936"/>
      <c r="D37" s="936"/>
      <c r="E37" s="933" t="s">
        <v>302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648"/>
      <c r="AD37" s="648"/>
      <c r="AE37" s="648"/>
      <c r="AF37" s="648"/>
      <c r="AG37" s="648"/>
      <c r="AH37" s="648"/>
      <c r="AI37" s="648"/>
      <c r="AJ37" s="648"/>
      <c r="AK37" s="648"/>
      <c r="AL37" s="650"/>
    </row>
    <row r="38" spans="2:38" x14ac:dyDescent="0.25">
      <c r="B38" s="647"/>
      <c r="C38" s="936"/>
      <c r="D38" s="936"/>
      <c r="E38" s="937" t="str">
        <f>FIXED(E20,0)&amp;" "&amp;F20</f>
        <v>10 (250)</v>
      </c>
      <c r="F38" s="937"/>
      <c r="G38" s="926" t="str">
        <f>FIXED(G20,0)&amp;" "&amp;H20</f>
        <v>12 (300)</v>
      </c>
      <c r="H38" s="927"/>
      <c r="I38" s="926" t="str">
        <f>FIXED(I20,0)&amp;" "&amp;J20</f>
        <v>18 (450)</v>
      </c>
      <c r="J38" s="927"/>
      <c r="K38" s="926" t="str">
        <f>FIXED(K20,0)&amp;" "&amp;L20</f>
        <v>24 (600)</v>
      </c>
      <c r="L38" s="927"/>
      <c r="M38" s="926" t="str">
        <f>FIXED(M20,0)&amp;" "&amp;N20</f>
        <v>30 (750)</v>
      </c>
      <c r="N38" s="927"/>
      <c r="O38" s="926" t="str">
        <f>FIXED(O20,0)&amp;" "&amp;P20</f>
        <v>36 (900)</v>
      </c>
      <c r="P38" s="927"/>
      <c r="Q38" s="926" t="str">
        <f>FIXED(Q20,0)&amp;" "&amp;R20</f>
        <v>42 (1050)</v>
      </c>
      <c r="R38" s="927"/>
      <c r="S38" s="926" t="str">
        <f>FIXED(S20,0)&amp;" "&amp;T20</f>
        <v>48 (1200)</v>
      </c>
      <c r="T38" s="927"/>
      <c r="U38" s="926" t="str">
        <f>FIXED(U20,0)&amp;" "&amp;V20</f>
        <v>54 (1350)</v>
      </c>
      <c r="V38" s="927"/>
      <c r="W38" s="926" t="str">
        <f>FIXED(W20,0)&amp;" "&amp;X20</f>
        <v>60 (1500)</v>
      </c>
      <c r="X38" s="927"/>
      <c r="Y38" s="926" t="str">
        <f>FIXED(Y20,0)&amp;" "&amp;Z20</f>
        <v>66 (1700)</v>
      </c>
      <c r="Z38" s="927"/>
      <c r="AA38" s="926" t="str">
        <f>FIXED(AA20,0)&amp;" "&amp;AB20</f>
        <v>72 (1850)</v>
      </c>
      <c r="AB38" s="927"/>
      <c r="AC38" s="648"/>
      <c r="AD38" s="648"/>
      <c r="AE38" s="648"/>
      <c r="AF38" s="648"/>
      <c r="AG38" s="648"/>
      <c r="AH38" s="648"/>
      <c r="AI38" s="648"/>
      <c r="AJ38" s="648"/>
      <c r="AK38" s="648"/>
      <c r="AL38" s="650"/>
    </row>
    <row r="39" spans="2:38" x14ac:dyDescent="0.25">
      <c r="B39" s="647"/>
      <c r="C39" s="943" t="str">
        <f t="shared" ref="C39:C50" si="28">FIXED(C21,0)&amp;" "&amp;D21</f>
        <v>7 (200)</v>
      </c>
      <c r="D39" s="943"/>
      <c r="E39" s="923" t="str">
        <f t="shared" ref="E39:E50" si="29">FIXED(E21,2)&amp;" "&amp;F21</f>
        <v>0.05 (0.00)</v>
      </c>
      <c r="F39" s="923"/>
      <c r="G39" s="921" t="str">
        <f t="shared" ref="G39:G50" si="30">FIXED(G21,2)&amp;" "&amp;H21</f>
        <v>0.06 (0.01)</v>
      </c>
      <c r="H39" s="922"/>
      <c r="I39" s="923" t="str">
        <f t="shared" ref="I39" si="31">FIXED(I21,2)&amp;" "&amp;J21</f>
        <v>0.10 (0.01)</v>
      </c>
      <c r="J39" s="923"/>
      <c r="K39" s="921" t="str">
        <f t="shared" ref="K39" si="32">FIXED(K21,2)&amp;" "&amp;L21</f>
        <v>0.14 (0.01)</v>
      </c>
      <c r="L39" s="922"/>
      <c r="M39" s="923" t="str">
        <f t="shared" ref="M39" si="33">FIXED(M21,2)&amp;" "&amp;N21</f>
        <v>0.18 (0.02)</v>
      </c>
      <c r="N39" s="923"/>
      <c r="O39" s="921" t="str">
        <f t="shared" ref="O39" si="34">FIXED(O21,2)&amp;" "&amp;P21</f>
        <v>0.22 (0.02)</v>
      </c>
      <c r="P39" s="922"/>
      <c r="Q39" s="923" t="str">
        <f t="shared" ref="Q39" si="35">FIXED(Q21,2)&amp;" "&amp;R21</f>
        <v>0.26 (0.02)</v>
      </c>
      <c r="R39" s="923"/>
      <c r="S39" s="921" t="str">
        <f t="shared" ref="S39" si="36">FIXED(S21,2)&amp;" "&amp;T21</f>
        <v>0.30 (0.03)</v>
      </c>
      <c r="T39" s="922"/>
      <c r="U39" s="923" t="str">
        <f t="shared" ref="U39" si="37">FIXED(U21,2)&amp;" "&amp;V21</f>
        <v>0.33 (0.03)</v>
      </c>
      <c r="V39" s="923"/>
      <c r="W39" s="921" t="str">
        <f t="shared" ref="W39" si="38">FIXED(W21,2)&amp;" "&amp;X21</f>
        <v>0.37 (0.03)</v>
      </c>
      <c r="X39" s="922"/>
      <c r="Y39" s="923" t="str">
        <f t="shared" ref="Y39" si="39">FIXED(Y21,2)&amp;" "&amp;Z21</f>
        <v>0.41 (0.04)</v>
      </c>
      <c r="Z39" s="923"/>
      <c r="AA39" s="921" t="str">
        <f t="shared" ref="AA39" si="40">FIXED(AA21,2)&amp;" "&amp;AB21</f>
        <v>0.45 (0.04)</v>
      </c>
      <c r="AB39" s="922"/>
      <c r="AC39" s="648"/>
      <c r="AD39" s="648"/>
      <c r="AE39" s="648"/>
      <c r="AF39" s="648"/>
      <c r="AG39" s="648"/>
      <c r="AH39" s="648"/>
      <c r="AI39" s="648"/>
      <c r="AJ39" s="648"/>
      <c r="AK39" s="648"/>
      <c r="AL39" s="650"/>
    </row>
    <row r="40" spans="2:38" x14ac:dyDescent="0.25">
      <c r="B40" s="647"/>
      <c r="C40" s="937" t="str">
        <f t="shared" si="28"/>
        <v>12 (300)</v>
      </c>
      <c r="D40" s="937"/>
      <c r="E40" s="931" t="str">
        <f t="shared" si="29"/>
        <v>0.18 (0.02)</v>
      </c>
      <c r="F40" s="932"/>
      <c r="G40" s="921" t="str">
        <f t="shared" si="30"/>
        <v>0.23 (0.02)</v>
      </c>
      <c r="H40" s="922"/>
      <c r="I40" s="923" t="str">
        <f t="shared" ref="I40" si="41">FIXED(I22,2)&amp;" "&amp;J22</f>
        <v>0.39 (0.04)</v>
      </c>
      <c r="J40" s="923"/>
      <c r="K40" s="921" t="str">
        <f t="shared" ref="K40" si="42">FIXED(K22,2)&amp;" "&amp;L22</f>
        <v>0.54 (0.05)</v>
      </c>
      <c r="L40" s="922"/>
      <c r="M40" s="923" t="str">
        <f t="shared" ref="M40" si="43">FIXED(M22,2)&amp;" "&amp;N22</f>
        <v>0.70 (0.06)</v>
      </c>
      <c r="N40" s="923"/>
      <c r="O40" s="921" t="str">
        <f t="shared" ref="O40" si="44">FIXED(O22,2)&amp;" "&amp;P22</f>
        <v>0.85 (0.08)</v>
      </c>
      <c r="P40" s="922"/>
      <c r="Q40" s="923" t="str">
        <f t="shared" ref="Q40" si="45">FIXED(Q22,2)&amp;" "&amp;R22</f>
        <v>1.01 (0.09)</v>
      </c>
      <c r="R40" s="923"/>
      <c r="S40" s="921" t="str">
        <f t="shared" ref="S40" si="46">FIXED(S22,2)&amp;" "&amp;T22</f>
        <v>1.16 (0.11)</v>
      </c>
      <c r="T40" s="922"/>
      <c r="U40" s="923" t="str">
        <f t="shared" ref="U40" si="47">FIXED(U22,2)&amp;" "&amp;V22</f>
        <v>1.29 (0.12)</v>
      </c>
      <c r="V40" s="923"/>
      <c r="W40" s="921" t="str">
        <f t="shared" ref="W40" si="48">FIXED(W22,2)&amp;" "&amp;X22</f>
        <v>1.45 (0.13)</v>
      </c>
      <c r="X40" s="922"/>
      <c r="Y40" s="923" t="str">
        <f t="shared" ref="Y40" si="49">FIXED(Y22,2)&amp;" "&amp;Z22</f>
        <v>1.60 (0.15)</v>
      </c>
      <c r="Z40" s="923"/>
      <c r="AA40" s="921" t="str">
        <f t="shared" ref="AA40" si="50">FIXED(AA22,2)&amp;" "&amp;AB22</f>
        <v>1.76 (0.16)</v>
      </c>
      <c r="AB40" s="922"/>
      <c r="AC40" s="648"/>
      <c r="AD40" s="648"/>
      <c r="AE40" s="648"/>
      <c r="AF40" s="648"/>
      <c r="AG40" s="648"/>
      <c r="AH40" s="648"/>
      <c r="AI40" s="648"/>
      <c r="AJ40" s="648"/>
      <c r="AK40" s="648"/>
      <c r="AL40" s="650"/>
    </row>
    <row r="41" spans="2:38" x14ac:dyDescent="0.25">
      <c r="B41" s="647"/>
      <c r="C41" s="937" t="str">
        <f t="shared" si="28"/>
        <v>18 (450)</v>
      </c>
      <c r="D41" s="937"/>
      <c r="E41" s="931" t="str">
        <f t="shared" si="29"/>
        <v>0.34 (0.03)</v>
      </c>
      <c r="F41" s="932"/>
      <c r="G41" s="921" t="str">
        <f t="shared" si="30"/>
        <v>0.43 (0.04)</v>
      </c>
      <c r="H41" s="922"/>
      <c r="I41" s="923" t="str">
        <f t="shared" ref="I41" si="51">FIXED(I23,2)&amp;" "&amp;J23</f>
        <v>0.72 (0.07)</v>
      </c>
      <c r="J41" s="923"/>
      <c r="K41" s="921" t="str">
        <f t="shared" ref="K41" si="52">FIXED(K23,2)&amp;" "&amp;L23</f>
        <v>1.01 (0.09)</v>
      </c>
      <c r="L41" s="922"/>
      <c r="M41" s="923" t="str">
        <f t="shared" ref="M41" si="53">FIXED(M23,2)&amp;" "&amp;N23</f>
        <v>1.30 (0.12)</v>
      </c>
      <c r="N41" s="923"/>
      <c r="O41" s="921" t="str">
        <f t="shared" ref="O41" si="54">FIXED(O23,2)&amp;" "&amp;P23</f>
        <v>1.59 (0.15)</v>
      </c>
      <c r="P41" s="922"/>
      <c r="Q41" s="923" t="str">
        <f t="shared" ref="Q41" si="55">FIXED(Q23,2)&amp;" "&amp;R23</f>
        <v>1.88 (0.17)</v>
      </c>
      <c r="R41" s="923"/>
      <c r="S41" s="921" t="str">
        <f t="shared" ref="S41" si="56">FIXED(S23,2)&amp;" "&amp;T23</f>
        <v>2.16 (0.2)</v>
      </c>
      <c r="T41" s="922"/>
      <c r="U41" s="923" t="str">
        <f t="shared" ref="U41" si="57">FIXED(U23,2)&amp;" "&amp;V23</f>
        <v>2.40 (0.22)</v>
      </c>
      <c r="V41" s="923"/>
      <c r="W41" s="921" t="str">
        <f t="shared" ref="W41" si="58">FIXED(W23,2)&amp;" "&amp;X23</f>
        <v>2.69 (0.25)</v>
      </c>
      <c r="X41" s="922"/>
      <c r="Y41" s="923" t="str">
        <f t="shared" ref="Y41" si="59">FIXED(Y23,2)&amp;" "&amp;Z23</f>
        <v>2.98 (0.28)</v>
      </c>
      <c r="Z41" s="923"/>
      <c r="AA41" s="921" t="str">
        <f t="shared" ref="AA41" si="60">FIXED(AA23,2)&amp;" "&amp;AB23</f>
        <v>3.27 (0.30)</v>
      </c>
      <c r="AB41" s="922"/>
      <c r="AC41" s="648"/>
      <c r="AD41" s="648"/>
      <c r="AE41" s="648"/>
      <c r="AF41" s="648"/>
      <c r="AG41" s="648"/>
      <c r="AH41" s="648"/>
      <c r="AI41" s="648"/>
      <c r="AJ41" s="648"/>
      <c r="AK41" s="648"/>
      <c r="AL41" s="650"/>
    </row>
    <row r="42" spans="2:38" x14ac:dyDescent="0.25">
      <c r="B42" s="647"/>
      <c r="C42" s="937" t="str">
        <f t="shared" si="28"/>
        <v>24 (600)</v>
      </c>
      <c r="D42" s="937"/>
      <c r="E42" s="931" t="str">
        <f t="shared" si="29"/>
        <v>0.49 (0.05)</v>
      </c>
      <c r="F42" s="932"/>
      <c r="G42" s="921" t="str">
        <f t="shared" si="30"/>
        <v>0.63 (0.06)</v>
      </c>
      <c r="H42" s="922"/>
      <c r="I42" s="923" t="str">
        <f t="shared" ref="I42" si="61">FIXED(I24,2)&amp;" "&amp;J24</f>
        <v>1.06 (0.1)</v>
      </c>
      <c r="J42" s="923"/>
      <c r="K42" s="921" t="str">
        <f t="shared" ref="K42" si="62">FIXED(K24,2)&amp;" "&amp;L24</f>
        <v>1.48 (0.14)</v>
      </c>
      <c r="L42" s="922"/>
      <c r="M42" s="923" t="str">
        <f t="shared" ref="M42" si="63">FIXED(M24,2)&amp;" "&amp;N24</f>
        <v>1.90 (0.18)</v>
      </c>
      <c r="N42" s="923"/>
      <c r="O42" s="921" t="str">
        <f t="shared" ref="O42" si="64">FIXED(O24,2)&amp;" "&amp;P24</f>
        <v>2.32 (0.22)</v>
      </c>
      <c r="P42" s="922"/>
      <c r="Q42" s="923" t="str">
        <f t="shared" ref="Q42" si="65">FIXED(Q24,2)&amp;" "&amp;R24</f>
        <v>2.74 (0.25)</v>
      </c>
      <c r="R42" s="923"/>
      <c r="S42" s="921" t="str">
        <f t="shared" ref="S42" si="66">FIXED(S24,2)&amp;" "&amp;T24</f>
        <v>3.17 (0.29)</v>
      </c>
      <c r="T42" s="922"/>
      <c r="U42" s="923" t="str">
        <f t="shared" ref="U42" si="67">FIXED(U24,2)&amp;" "&amp;V24</f>
        <v>3.52 (0.33)</v>
      </c>
      <c r="V42" s="923"/>
      <c r="W42" s="921" t="str">
        <f t="shared" ref="W42" si="68">FIXED(W24,2)&amp;" "&amp;X24</f>
        <v>3.94 (0.37)</v>
      </c>
      <c r="X42" s="922"/>
      <c r="Y42" s="923" t="str">
        <f t="shared" ref="Y42" si="69">FIXED(Y24,2)&amp;" "&amp;Z24</f>
        <v>4.36 (0.41)</v>
      </c>
      <c r="Z42" s="923"/>
      <c r="AA42" s="921" t="str">
        <f t="shared" ref="AA42" si="70">FIXED(AA24,2)&amp;" "&amp;AB24</f>
        <v>4.78 (0.44)</v>
      </c>
      <c r="AB42" s="922"/>
      <c r="AC42" s="648"/>
      <c r="AD42" s="648"/>
      <c r="AE42" s="648"/>
      <c r="AF42" s="648"/>
      <c r="AG42" s="648"/>
      <c r="AH42" s="648"/>
      <c r="AI42" s="648"/>
      <c r="AJ42" s="648"/>
      <c r="AK42" s="648"/>
      <c r="AL42" s="650"/>
    </row>
    <row r="43" spans="2:38" x14ac:dyDescent="0.25">
      <c r="B43" s="647"/>
      <c r="C43" s="937" t="str">
        <f t="shared" si="28"/>
        <v>30 (750)</v>
      </c>
      <c r="D43" s="937"/>
      <c r="E43" s="931" t="str">
        <f t="shared" si="29"/>
        <v>0.65 (0.06)</v>
      </c>
      <c r="F43" s="932"/>
      <c r="G43" s="921" t="str">
        <f t="shared" si="30"/>
        <v>0.83 (0.08)</v>
      </c>
      <c r="H43" s="922"/>
      <c r="I43" s="923" t="str">
        <f t="shared" ref="I43" si="71">FIXED(I25,2)&amp;" "&amp;J25</f>
        <v>1.39 (0.13)</v>
      </c>
      <c r="J43" s="923"/>
      <c r="K43" s="921" t="str">
        <f t="shared" ref="K43" si="72">FIXED(K25,2)&amp;" "&amp;L25</f>
        <v>1.94 (0.18)</v>
      </c>
      <c r="L43" s="922"/>
      <c r="M43" s="923" t="str">
        <f t="shared" ref="M43" si="73">FIXED(M25,2)&amp;" "&amp;N25</f>
        <v>2.50 (0.23)</v>
      </c>
      <c r="N43" s="923"/>
      <c r="O43" s="921" t="str">
        <f t="shared" ref="O43" si="74">FIXED(O25,2)&amp;" "&amp;P25</f>
        <v>3.06 (0.28)</v>
      </c>
      <c r="P43" s="922"/>
      <c r="Q43" s="923" t="str">
        <f t="shared" ref="Q43" si="75">FIXED(Q25,2)&amp;" "&amp;R25</f>
        <v>3.61 (0.34)</v>
      </c>
      <c r="R43" s="923"/>
      <c r="S43" s="921" t="str">
        <f t="shared" ref="S43" si="76">FIXED(S25,2)&amp;" "&amp;T25</f>
        <v>4.17 (0.39)</v>
      </c>
      <c r="T43" s="922"/>
      <c r="U43" s="923" t="str">
        <f t="shared" ref="U43" si="77">FIXED(U25,2)&amp;" "&amp;V25</f>
        <v>4.63 (0.43)</v>
      </c>
      <c r="V43" s="923"/>
      <c r="W43" s="921" t="str">
        <f t="shared" ref="W43" si="78">FIXED(W25,2)&amp;" "&amp;X25</f>
        <v>5.19 (0.48)</v>
      </c>
      <c r="X43" s="922"/>
      <c r="Y43" s="923" t="str">
        <f t="shared" ref="Y43" si="79">FIXED(Y25,2)&amp;" "&amp;Z25</f>
        <v>5.74 (0.53)</v>
      </c>
      <c r="Z43" s="923"/>
      <c r="AA43" s="921" t="str">
        <f t="shared" ref="AA43" si="80">FIXED(AA25,2)&amp;" "&amp;AB25</f>
        <v>6.30 (0.58)</v>
      </c>
      <c r="AB43" s="922"/>
      <c r="AC43" s="648"/>
      <c r="AD43" s="648"/>
      <c r="AE43" s="648"/>
      <c r="AF43" s="648"/>
      <c r="AG43" s="648"/>
      <c r="AH43" s="648"/>
      <c r="AI43" s="648"/>
      <c r="AJ43" s="648"/>
      <c r="AK43" s="648"/>
      <c r="AL43" s="650"/>
    </row>
    <row r="44" spans="2:38" x14ac:dyDescent="0.25">
      <c r="B44" s="647"/>
      <c r="C44" s="937" t="str">
        <f t="shared" si="28"/>
        <v>36 (900)</v>
      </c>
      <c r="D44" s="937"/>
      <c r="E44" s="931" t="str">
        <f t="shared" si="29"/>
        <v>0.80 (0.07)</v>
      </c>
      <c r="F44" s="932"/>
      <c r="G44" s="921" t="str">
        <f t="shared" si="30"/>
        <v>1.03 (0.10)</v>
      </c>
      <c r="H44" s="922"/>
      <c r="I44" s="923" t="str">
        <f t="shared" ref="I44" si="81">FIXED(I26,2)&amp;" "&amp;J26</f>
        <v>1.72 (0.16)</v>
      </c>
      <c r="J44" s="923"/>
      <c r="K44" s="921" t="str">
        <f t="shared" ref="K44" si="82">FIXED(K26,2)&amp;" "&amp;L26</f>
        <v>2.41 (0.22)</v>
      </c>
      <c r="L44" s="922"/>
      <c r="M44" s="923" t="str">
        <f t="shared" ref="M44" si="83">FIXED(M26,2)&amp;" "&amp;N26</f>
        <v>3.10 (0.29)</v>
      </c>
      <c r="N44" s="923"/>
      <c r="O44" s="921" t="str">
        <f t="shared" ref="O44" si="84">FIXED(O26,2)&amp;" "&amp;P26</f>
        <v>3.79 (0.35)</v>
      </c>
      <c r="P44" s="922"/>
      <c r="Q44" s="923" t="str">
        <f t="shared" ref="Q44" si="85">FIXED(Q26,2)&amp;" "&amp;R26</f>
        <v>4.48 (0.42)</v>
      </c>
      <c r="R44" s="923"/>
      <c r="S44" s="921" t="str">
        <f t="shared" ref="S44" si="86">FIXED(S26,2)&amp;" "&amp;T26</f>
        <v>5.17 (0.48)</v>
      </c>
      <c r="T44" s="922"/>
      <c r="U44" s="923" t="str">
        <f t="shared" ref="U44" si="87">FIXED(U26,2)&amp;" "&amp;V26</f>
        <v>5.74 (0.53)</v>
      </c>
      <c r="V44" s="923"/>
      <c r="W44" s="921" t="str">
        <f t="shared" ref="W44" si="88">FIXED(W26,2)&amp;" "&amp;X26</f>
        <v>6.43 (0.60)</v>
      </c>
      <c r="X44" s="922"/>
      <c r="Y44" s="923" t="str">
        <f t="shared" ref="Y44" si="89">FIXED(Y26,2)&amp;" "&amp;Z26</f>
        <v>7.12 (0.66)</v>
      </c>
      <c r="Z44" s="923"/>
      <c r="AA44" s="921" t="str">
        <f t="shared" ref="AA44" si="90">FIXED(AA26,2)&amp;" "&amp;AB26</f>
        <v>7.81 (0.73)</v>
      </c>
      <c r="AB44" s="922"/>
      <c r="AC44" s="648"/>
      <c r="AD44" s="648"/>
      <c r="AE44" s="648"/>
      <c r="AF44" s="648"/>
      <c r="AG44" s="648"/>
      <c r="AH44" s="648"/>
      <c r="AI44" s="648"/>
      <c r="AJ44" s="648"/>
      <c r="AK44" s="648"/>
      <c r="AL44" s="650"/>
    </row>
    <row r="45" spans="2:38" x14ac:dyDescent="0.25">
      <c r="B45" s="647"/>
      <c r="C45" s="937" t="str">
        <f t="shared" si="28"/>
        <v>42 (1050)</v>
      </c>
      <c r="D45" s="937"/>
      <c r="E45" s="931" t="str">
        <f t="shared" si="29"/>
        <v>0.96 (0.09)</v>
      </c>
      <c r="F45" s="932"/>
      <c r="G45" s="921" t="str">
        <f t="shared" si="30"/>
        <v>1.23 (0.11)</v>
      </c>
      <c r="H45" s="922"/>
      <c r="I45" s="923" t="str">
        <f t="shared" ref="I45" si="91">FIXED(I27,2)&amp;" "&amp;J27</f>
        <v>2.06 (0.19)</v>
      </c>
      <c r="J45" s="923"/>
      <c r="K45" s="921" t="str">
        <f t="shared" ref="K45" si="92">FIXED(K27,2)&amp;" "&amp;L27</f>
        <v>2.88 (0.27)</v>
      </c>
      <c r="L45" s="922"/>
      <c r="M45" s="923" t="str">
        <f t="shared" ref="M45" si="93">FIXED(M27,2)&amp;" "&amp;N27</f>
        <v>3.70 (0.34)</v>
      </c>
      <c r="N45" s="923"/>
      <c r="O45" s="921" t="str">
        <f t="shared" ref="O45" si="94">FIXED(O27,2)&amp;" "&amp;P27</f>
        <v>4.52 (0.42)</v>
      </c>
      <c r="P45" s="922"/>
      <c r="Q45" s="923" t="str">
        <f t="shared" ref="Q45" si="95">FIXED(Q27,2)&amp;" "&amp;R27</f>
        <v>5.35 (0.5)</v>
      </c>
      <c r="R45" s="923"/>
      <c r="S45" s="921" t="str">
        <f t="shared" ref="S45" si="96">FIXED(S27,2)&amp;" "&amp;T27</f>
        <v>6.17 (0.57)</v>
      </c>
      <c r="T45" s="922"/>
      <c r="U45" s="923" t="str">
        <f t="shared" ref="U45" si="97">FIXED(U27,2)&amp;" "&amp;V27</f>
        <v>6.85 (0.64)</v>
      </c>
      <c r="V45" s="923"/>
      <c r="W45" s="921" t="str">
        <f t="shared" ref="W45" si="98">FIXED(W27,2)&amp;" "&amp;X27</f>
        <v>7.68 (0.71)</v>
      </c>
      <c r="X45" s="922"/>
      <c r="Y45" s="923" t="str">
        <f t="shared" ref="Y45" si="99">FIXED(Y27,2)&amp;" "&amp;Z27</f>
        <v>8.50 (0.79)</v>
      </c>
      <c r="Z45" s="923"/>
      <c r="AA45" s="921" t="str">
        <f t="shared" ref="AA45" si="100">FIXED(AA27,2)&amp;" "&amp;AB27</f>
        <v>9.32 (0.87)</v>
      </c>
      <c r="AB45" s="922"/>
      <c r="AC45" s="648"/>
      <c r="AD45" s="648"/>
      <c r="AE45" s="648"/>
      <c r="AF45" s="648"/>
      <c r="AG45" s="648"/>
      <c r="AH45" s="648"/>
      <c r="AI45" s="648"/>
      <c r="AJ45" s="648"/>
      <c r="AK45" s="648"/>
      <c r="AL45" s="650"/>
    </row>
    <row r="46" spans="2:38" x14ac:dyDescent="0.25">
      <c r="B46" s="647"/>
      <c r="C46" s="937" t="str">
        <f t="shared" si="28"/>
        <v>48 (1200)</v>
      </c>
      <c r="D46" s="937"/>
      <c r="E46" s="931" t="str">
        <f t="shared" si="29"/>
        <v>1.12 (0.10)</v>
      </c>
      <c r="F46" s="932"/>
      <c r="G46" s="921" t="str">
        <f t="shared" si="30"/>
        <v>1.43 (0.13)</v>
      </c>
      <c r="H46" s="922"/>
      <c r="I46" s="923" t="str">
        <f t="shared" ref="I46" si="101">FIXED(I28,2)&amp;" "&amp;J28</f>
        <v>2.39 (0.22)</v>
      </c>
      <c r="J46" s="923"/>
      <c r="K46" s="921" t="str">
        <f t="shared" ref="K46" si="102">FIXED(K28,2)&amp;" "&amp;L28</f>
        <v>3.35 (0.31)</v>
      </c>
      <c r="L46" s="922"/>
      <c r="M46" s="923" t="str">
        <f t="shared" ref="M46" si="103">FIXED(M28,2)&amp;" "&amp;N28</f>
        <v>4.30 (0.4)</v>
      </c>
      <c r="N46" s="923"/>
      <c r="O46" s="921" t="str">
        <f t="shared" ref="O46" si="104">FIXED(O28,2)&amp;" "&amp;P28</f>
        <v>5.26 (0.49)</v>
      </c>
      <c r="P46" s="922"/>
      <c r="Q46" s="923" t="str">
        <f t="shared" ref="Q46" si="105">FIXED(Q28,2)&amp;" "&amp;R28</f>
        <v>6.21 (0.58)</v>
      </c>
      <c r="R46" s="923"/>
      <c r="S46" s="921" t="str">
        <f t="shared" ref="S46" si="106">FIXED(S28,2)&amp;" "&amp;T28</f>
        <v>7.17 (0.67)</v>
      </c>
      <c r="T46" s="922"/>
      <c r="U46" s="923" t="str">
        <f t="shared" ref="U46" si="107">FIXED(U28,2)&amp;" "&amp;V28</f>
        <v>7.97 (0.74)</v>
      </c>
      <c r="V46" s="923"/>
      <c r="W46" s="921" t="str">
        <f t="shared" ref="W46" si="108">FIXED(W28,2)&amp;" "&amp;X28</f>
        <v>8.92 (0.83)</v>
      </c>
      <c r="X46" s="922"/>
      <c r="Y46" s="923" t="str">
        <f t="shared" ref="Y46" si="109">FIXED(Y28,2)&amp;" "&amp;Z28</f>
        <v>9.88 (0.92)</v>
      </c>
      <c r="Z46" s="923"/>
      <c r="AA46" s="921" t="str">
        <f t="shared" ref="AA46" si="110">FIXED(AA28,2)&amp;" "&amp;AB28</f>
        <v>10.84 (1.01)</v>
      </c>
      <c r="AB46" s="922"/>
      <c r="AC46" s="648"/>
      <c r="AD46" s="648"/>
      <c r="AE46" s="648"/>
      <c r="AF46" s="648"/>
      <c r="AG46" s="648"/>
      <c r="AH46" s="648"/>
      <c r="AI46" s="648"/>
      <c r="AJ46" s="648"/>
      <c r="AK46" s="648"/>
      <c r="AL46" s="650"/>
    </row>
    <row r="47" spans="2:38" x14ac:dyDescent="0.25">
      <c r="B47" s="647"/>
      <c r="C47" s="937" t="str">
        <f t="shared" si="28"/>
        <v>54 (1350)</v>
      </c>
      <c r="D47" s="937"/>
      <c r="E47" s="931" t="str">
        <f t="shared" si="29"/>
        <v>1.27 (0.12)</v>
      </c>
      <c r="F47" s="932"/>
      <c r="G47" s="921" t="str">
        <f t="shared" si="30"/>
        <v>1.63 (0.15)</v>
      </c>
      <c r="H47" s="922"/>
      <c r="I47" s="923" t="str">
        <f t="shared" ref="I47" si="111">FIXED(I29,2)&amp;" "&amp;J29</f>
        <v>2.72 (0.25)</v>
      </c>
      <c r="J47" s="923"/>
      <c r="K47" s="921" t="str">
        <f t="shared" ref="K47" si="112">FIXED(K29,2)&amp;" "&amp;L29</f>
        <v>3.81 (0.35)</v>
      </c>
      <c r="L47" s="922"/>
      <c r="M47" s="923" t="str">
        <f t="shared" ref="M47" si="113">FIXED(M29,2)&amp;" "&amp;N29</f>
        <v>4.90 (0.46)</v>
      </c>
      <c r="N47" s="923"/>
      <c r="O47" s="921" t="str">
        <f t="shared" ref="O47" si="114">FIXED(O29,2)&amp;" "&amp;P29</f>
        <v>5.99 (0.56)</v>
      </c>
      <c r="P47" s="922"/>
      <c r="Q47" s="923" t="str">
        <f t="shared" ref="Q47" si="115">FIXED(Q29,2)&amp;" "&amp;R29</f>
        <v>7.08 (0.66)</v>
      </c>
      <c r="R47" s="923"/>
      <c r="S47" s="921" t="str">
        <f t="shared" ref="S47" si="116">FIXED(S29,2)&amp;" "&amp;T29</f>
        <v>8.17 (0.76)</v>
      </c>
      <c r="T47" s="922"/>
      <c r="U47" s="923" t="str">
        <f t="shared" ref="U47" si="117">FIXED(U29,2)&amp;" "&amp;V29</f>
        <v>9.08 (0.84)</v>
      </c>
      <c r="V47" s="923"/>
      <c r="W47" s="921" t="str">
        <f t="shared" ref="W47" si="118">FIXED(W29,2)&amp;" "&amp;X29</f>
        <v>10.17 (0.94)</v>
      </c>
      <c r="X47" s="922"/>
      <c r="Y47" s="923" t="str">
        <f t="shared" ref="Y47" si="119">FIXED(Y29,2)&amp;" "&amp;Z29</f>
        <v>11.26 (1.05)</v>
      </c>
      <c r="Z47" s="923"/>
      <c r="AA47" s="921" t="str">
        <f t="shared" ref="AA47" si="120">FIXED(AA29,2)&amp;" "&amp;AB29</f>
        <v>12.35 (1.15)</v>
      </c>
      <c r="AB47" s="922"/>
      <c r="AC47" s="648"/>
      <c r="AD47" s="648"/>
      <c r="AE47" s="648"/>
      <c r="AF47" s="648"/>
      <c r="AG47" s="648"/>
      <c r="AH47" s="648"/>
      <c r="AI47" s="648"/>
      <c r="AJ47" s="648"/>
      <c r="AK47" s="648"/>
      <c r="AL47" s="650"/>
    </row>
    <row r="48" spans="2:38" x14ac:dyDescent="0.25">
      <c r="B48" s="647"/>
      <c r="C48" s="937" t="str">
        <f t="shared" si="28"/>
        <v>60 (1500)</v>
      </c>
      <c r="D48" s="937"/>
      <c r="E48" s="931" t="str">
        <f t="shared" si="29"/>
        <v>1.43 (0.13)</v>
      </c>
      <c r="F48" s="932"/>
      <c r="G48" s="921" t="str">
        <f t="shared" si="30"/>
        <v>1.83 (0.17)</v>
      </c>
      <c r="H48" s="922"/>
      <c r="I48" s="923" t="str">
        <f t="shared" ref="I48" si="121">FIXED(I30,2)&amp;" "&amp;J30</f>
        <v>3.06 (0.28)</v>
      </c>
      <c r="J48" s="923"/>
      <c r="K48" s="921" t="str">
        <f t="shared" ref="K48" si="122">FIXED(K30,2)&amp;" "&amp;L30</f>
        <v>4.28 (0.4)</v>
      </c>
      <c r="L48" s="922"/>
      <c r="M48" s="923" t="str">
        <f t="shared" ref="M48" si="123">FIXED(M30,2)&amp;" "&amp;N30</f>
        <v>5.50 (0.51)</v>
      </c>
      <c r="N48" s="923"/>
      <c r="O48" s="921" t="str">
        <f t="shared" ref="O48" si="124">FIXED(O30,2)&amp;" "&amp;P30</f>
        <v>6.73 (0.62)</v>
      </c>
      <c r="P48" s="922"/>
      <c r="Q48" s="923" t="str">
        <f t="shared" ref="Q48" si="125">FIXED(Q30,2)&amp;" "&amp;R30</f>
        <v>7.95 (0.74)</v>
      </c>
      <c r="R48" s="923"/>
      <c r="S48" s="921" t="str">
        <f t="shared" ref="S48" si="126">FIXED(S30,2)&amp;" "&amp;T30</f>
        <v>9.17 (0.85)</v>
      </c>
      <c r="T48" s="922"/>
      <c r="U48" s="923" t="str">
        <f t="shared" ref="U48" si="127">FIXED(U30,2)&amp;" "&amp;V30</f>
        <v>10.19 (0.95)</v>
      </c>
      <c r="V48" s="923"/>
      <c r="W48" s="921" t="str">
        <f t="shared" ref="W48" si="128">FIXED(W30,2)&amp;" "&amp;X30</f>
        <v>11.42 (1.06)</v>
      </c>
      <c r="X48" s="922"/>
      <c r="Y48" s="923" t="str">
        <f t="shared" ref="Y48" si="129">FIXED(Y30,2)&amp;" "&amp;Z30</f>
        <v>12.64 (1.17)</v>
      </c>
      <c r="Z48" s="923"/>
      <c r="AA48" s="921" t="str">
        <f t="shared" ref="AA48" si="130">FIXED(AA30,2)&amp;" "&amp;AB30</f>
        <v>13.86 (1.29)</v>
      </c>
      <c r="AB48" s="922"/>
      <c r="AC48" s="648"/>
      <c r="AD48" s="648"/>
      <c r="AE48" s="648"/>
      <c r="AF48" s="648"/>
      <c r="AG48" s="648"/>
      <c r="AH48" s="648"/>
      <c r="AI48" s="648"/>
      <c r="AJ48" s="648"/>
      <c r="AK48" s="648"/>
      <c r="AL48" s="650"/>
    </row>
    <row r="49" spans="2:43" x14ac:dyDescent="0.25">
      <c r="B49" s="647"/>
      <c r="C49" s="937" t="str">
        <f t="shared" si="28"/>
        <v>66 (1700)</v>
      </c>
      <c r="D49" s="937"/>
      <c r="E49" s="931" t="str">
        <f t="shared" si="29"/>
        <v>1.58 (0.15)</v>
      </c>
      <c r="F49" s="932"/>
      <c r="G49" s="921" t="str">
        <f t="shared" si="30"/>
        <v>2.03 (0.19)</v>
      </c>
      <c r="H49" s="922"/>
      <c r="I49" s="923" t="str">
        <f t="shared" ref="I49" si="131">FIXED(I31,2)&amp;" "&amp;J31</f>
        <v>3.39 (0.32)</v>
      </c>
      <c r="J49" s="923"/>
      <c r="K49" s="921" t="str">
        <f t="shared" ref="K49" si="132">FIXED(K31,2)&amp;" "&amp;L31</f>
        <v>4.75 (0.44)</v>
      </c>
      <c r="L49" s="922"/>
      <c r="M49" s="923" t="str">
        <f t="shared" ref="M49" si="133">FIXED(M31,2)&amp;" "&amp;N31</f>
        <v>6.10 (0.57)</v>
      </c>
      <c r="N49" s="923"/>
      <c r="O49" s="921" t="str">
        <f t="shared" ref="O49" si="134">FIXED(O31,2)&amp;" "&amp;P31</f>
        <v>7.46 (0.69)</v>
      </c>
      <c r="P49" s="922"/>
      <c r="Q49" s="923" t="str">
        <f t="shared" ref="Q49" si="135">FIXED(Q31,2)&amp;" "&amp;R31</f>
        <v>8.82 (0.82)</v>
      </c>
      <c r="R49" s="923"/>
      <c r="S49" s="921" t="str">
        <f t="shared" ref="S49" si="136">FIXED(S31,2)&amp;" "&amp;T31</f>
        <v>10.17 (0.95)</v>
      </c>
      <c r="T49" s="922"/>
      <c r="U49" s="923" t="str">
        <f t="shared" ref="U49" si="137">FIXED(U31,2)&amp;" "&amp;V31</f>
        <v>11.30 (1.05)</v>
      </c>
      <c r="V49" s="923"/>
      <c r="W49" s="921" t="str">
        <f t="shared" ref="W49" si="138">FIXED(W31,2)&amp;" "&amp;X31</f>
        <v>12.66 (1.18)</v>
      </c>
      <c r="X49" s="922"/>
      <c r="Y49" s="923" t="str">
        <f t="shared" ref="Y49" si="139">FIXED(Y31,2)&amp;" "&amp;Z31</f>
        <v>14.02 (1.30)</v>
      </c>
      <c r="Z49" s="923"/>
      <c r="AA49" s="921" t="str">
        <f t="shared" ref="AA49" si="140">FIXED(AA31,2)&amp;" "&amp;AB31</f>
        <v>15.37 (1.43)</v>
      </c>
      <c r="AB49" s="922"/>
      <c r="AC49" s="648"/>
      <c r="AD49" s="648"/>
      <c r="AE49" s="648"/>
      <c r="AF49" s="648"/>
      <c r="AG49" s="648"/>
      <c r="AH49" s="648"/>
      <c r="AI49" s="648"/>
      <c r="AJ49" s="648"/>
      <c r="AK49" s="648"/>
      <c r="AL49" s="650"/>
    </row>
    <row r="50" spans="2:43" ht="15.75" thickBot="1" x14ac:dyDescent="0.3">
      <c r="B50" s="663"/>
      <c r="C50" s="938" t="str">
        <f t="shared" si="28"/>
        <v>72 (1850)</v>
      </c>
      <c r="D50" s="938"/>
      <c r="E50" s="929" t="str">
        <f t="shared" si="29"/>
        <v>1.74 (0.16)</v>
      </c>
      <c r="F50" s="930"/>
      <c r="G50" s="924" t="str">
        <f t="shared" si="30"/>
        <v>2.24 (0.21)</v>
      </c>
      <c r="H50" s="925"/>
      <c r="I50" s="928" t="str">
        <f t="shared" ref="I50" si="141">FIXED(I32,2)&amp;" "&amp;J32</f>
        <v>3.73 (0.35)</v>
      </c>
      <c r="J50" s="928"/>
      <c r="K50" s="924" t="str">
        <f t="shared" ref="K50" si="142">FIXED(K32,2)&amp;" "&amp;L32</f>
        <v>5.22 (0.48)</v>
      </c>
      <c r="L50" s="925"/>
      <c r="M50" s="928" t="str">
        <f t="shared" ref="M50" si="143">FIXED(M32,2)&amp;" "&amp;N32</f>
        <v>6.71 (0.62)</v>
      </c>
      <c r="N50" s="928"/>
      <c r="O50" s="924" t="str">
        <f t="shared" ref="O50" si="144">FIXED(O32,2)&amp;" "&amp;P32</f>
        <v>8.20 (0.76)</v>
      </c>
      <c r="P50" s="925"/>
      <c r="Q50" s="928" t="str">
        <f t="shared" ref="Q50" si="145">FIXED(Q32,2)&amp;" "&amp;R32</f>
        <v>9.69 (0.9)</v>
      </c>
      <c r="R50" s="928"/>
      <c r="S50" s="924" t="str">
        <f t="shared" ref="S50" si="146">FIXED(S32,2)&amp;" "&amp;T32</f>
        <v>11.18 (1.04)</v>
      </c>
      <c r="T50" s="925"/>
      <c r="U50" s="928" t="str">
        <f t="shared" ref="U50" si="147">FIXED(U32,2)&amp;" "&amp;V32</f>
        <v>12.42 (1.15)</v>
      </c>
      <c r="V50" s="928"/>
      <c r="W50" s="924" t="str">
        <f t="shared" ref="W50" si="148">FIXED(W32,2)&amp;" "&amp;X32</f>
        <v>13.91 (1.29)</v>
      </c>
      <c r="X50" s="925"/>
      <c r="Y50" s="928" t="str">
        <f t="shared" ref="Y50" si="149">FIXED(Y32,2)&amp;" "&amp;Z32</f>
        <v>15.40 (1.43)</v>
      </c>
      <c r="Z50" s="928"/>
      <c r="AA50" s="924" t="str">
        <f t="shared" ref="AA50" si="150">FIXED(AA32,2)&amp;" "&amp;AB32</f>
        <v>16.89 (1.57)</v>
      </c>
      <c r="AB50" s="925"/>
      <c r="AC50" s="664"/>
      <c r="AD50" s="664"/>
      <c r="AE50" s="664"/>
      <c r="AF50" s="664"/>
      <c r="AG50" s="664"/>
      <c r="AH50" s="664"/>
      <c r="AI50" s="664"/>
      <c r="AJ50" s="664"/>
      <c r="AK50" s="664"/>
      <c r="AL50" s="665"/>
    </row>
    <row r="52" spans="2:43" ht="15" customHeight="1" x14ac:dyDescent="0.25">
      <c r="P52" s="947" t="s">
        <v>310</v>
      </c>
      <c r="Q52" s="789"/>
      <c r="R52" s="784" t="str">
        <f xml:space="preserve"> R67&amp;" - "&amp;Q67</f>
        <v>12 - 10</v>
      </c>
      <c r="S52" s="785" t="str">
        <f t="shared" ref="S52:AB52" si="151" xml:space="preserve"> S67&amp;" - "&amp;R67</f>
        <v>18 - 12</v>
      </c>
      <c r="T52" s="785" t="str">
        <f t="shared" si="151"/>
        <v>24 - 18</v>
      </c>
      <c r="U52" s="785" t="str">
        <f t="shared" si="151"/>
        <v>30 - 24</v>
      </c>
      <c r="V52" s="785" t="str">
        <f t="shared" si="151"/>
        <v>36 - 30</v>
      </c>
      <c r="W52" s="785" t="str">
        <f t="shared" si="151"/>
        <v>42 - 36</v>
      </c>
      <c r="X52" s="785" t="str">
        <f t="shared" si="151"/>
        <v>48 - 42</v>
      </c>
      <c r="Y52" s="785" t="str">
        <f t="shared" si="151"/>
        <v>54 - 48</v>
      </c>
      <c r="Z52" s="785" t="str">
        <f t="shared" si="151"/>
        <v>60 - 54</v>
      </c>
      <c r="AA52" s="785" t="str">
        <f t="shared" si="151"/>
        <v>66 - 60</v>
      </c>
      <c r="AB52" s="786" t="str">
        <f t="shared" si="151"/>
        <v>72 - 66</v>
      </c>
      <c r="AD52" s="947" t="s">
        <v>311</v>
      </c>
      <c r="AE52" s="795"/>
      <c r="AF52" s="796">
        <v>10</v>
      </c>
      <c r="AG52" s="796">
        <v>12</v>
      </c>
      <c r="AH52" s="796">
        <v>18</v>
      </c>
      <c r="AI52" s="796">
        <v>24</v>
      </c>
      <c r="AJ52" s="796">
        <v>30</v>
      </c>
      <c r="AK52" s="796">
        <v>36</v>
      </c>
      <c r="AL52" s="796">
        <v>42</v>
      </c>
      <c r="AM52" s="796">
        <v>48</v>
      </c>
      <c r="AN52" s="796">
        <v>54</v>
      </c>
      <c r="AO52" s="796">
        <v>60</v>
      </c>
      <c r="AP52" s="796">
        <v>66</v>
      </c>
      <c r="AQ52" s="796">
        <v>72</v>
      </c>
    </row>
    <row r="53" spans="2:43" x14ac:dyDescent="0.25">
      <c r="P53" s="948"/>
      <c r="Q53" s="787">
        <v>7.375</v>
      </c>
      <c r="R53" s="797">
        <f t="shared" ref="R53:AB53" si="152" xml:space="preserve"> R69-Q69</f>
        <v>0.43000000000000016</v>
      </c>
      <c r="S53" s="798">
        <f t="shared" si="152"/>
        <v>1.27</v>
      </c>
      <c r="T53" s="798">
        <f t="shared" si="152"/>
        <v>1.2800000000000002</v>
      </c>
      <c r="U53" s="798">
        <f t="shared" si="152"/>
        <v>1.2699999999999996</v>
      </c>
      <c r="V53" s="798">
        <f t="shared" si="152"/>
        <v>1.2699999999999996</v>
      </c>
      <c r="W53" s="798">
        <f t="shared" si="152"/>
        <v>1.2800000000000011</v>
      </c>
      <c r="X53" s="798">
        <f t="shared" si="152"/>
        <v>1.2699999999999996</v>
      </c>
      <c r="Y53" s="798">
        <f t="shared" si="152"/>
        <v>1.2799999999999994</v>
      </c>
      <c r="Z53" s="798">
        <f t="shared" si="152"/>
        <v>1.2699999999999996</v>
      </c>
      <c r="AA53" s="798">
        <f t="shared" si="152"/>
        <v>1.2800000000000011</v>
      </c>
      <c r="AB53" s="801">
        <f t="shared" si="152"/>
        <v>1.2699999999999996</v>
      </c>
      <c r="AD53" s="948"/>
      <c r="AE53" s="793" t="str">
        <f xml:space="preserve"> O70&amp;" - "&amp;O69</f>
        <v>12 - 7.375</v>
      </c>
      <c r="AF53" s="803">
        <f xml:space="preserve"> Q70-Q69</f>
        <v>1.48</v>
      </c>
      <c r="AG53" s="803">
        <f t="shared" ref="AG53:AQ63" si="153" xml:space="preserve"> R70-R69</f>
        <v>1.7099999999999995</v>
      </c>
      <c r="AH53" s="803">
        <f t="shared" si="153"/>
        <v>2.4299999999999997</v>
      </c>
      <c r="AI53" s="803">
        <f t="shared" si="153"/>
        <v>3.1399999999999988</v>
      </c>
      <c r="AJ53" s="803">
        <f t="shared" si="153"/>
        <v>3.8599999999999994</v>
      </c>
      <c r="AK53" s="803">
        <f t="shared" si="153"/>
        <v>4.58</v>
      </c>
      <c r="AL53" s="803">
        <f t="shared" si="153"/>
        <v>5.2899999999999991</v>
      </c>
      <c r="AM53" s="803">
        <f t="shared" si="153"/>
        <v>6.009999999999998</v>
      </c>
      <c r="AN53" s="803">
        <f t="shared" si="153"/>
        <v>6.7199999999999971</v>
      </c>
      <c r="AO53" s="803">
        <f t="shared" si="153"/>
        <v>7.4399999999999959</v>
      </c>
      <c r="AP53" s="803">
        <f t="shared" si="153"/>
        <v>8.1499999999999932</v>
      </c>
      <c r="AQ53" s="803">
        <f t="shared" si="153"/>
        <v>8.8699999999999921</v>
      </c>
    </row>
    <row r="54" spans="2:43" x14ac:dyDescent="0.25">
      <c r="P54" s="948"/>
      <c r="Q54" s="788">
        <v>12</v>
      </c>
      <c r="R54" s="799">
        <f t="shared" ref="R54:AB54" si="154" xml:space="preserve"> R70-Q70</f>
        <v>0.6599999999999997</v>
      </c>
      <c r="S54" s="800">
        <f t="shared" si="154"/>
        <v>1.9900000000000002</v>
      </c>
      <c r="T54" s="800">
        <f t="shared" si="154"/>
        <v>1.9899999999999993</v>
      </c>
      <c r="U54" s="800">
        <f t="shared" si="154"/>
        <v>1.9900000000000002</v>
      </c>
      <c r="V54" s="800">
        <f t="shared" si="154"/>
        <v>1.9900000000000002</v>
      </c>
      <c r="W54" s="800">
        <f t="shared" si="154"/>
        <v>1.9900000000000002</v>
      </c>
      <c r="X54" s="800">
        <f t="shared" si="154"/>
        <v>1.9899999999999984</v>
      </c>
      <c r="Y54" s="800">
        <f t="shared" si="154"/>
        <v>1.9899999999999984</v>
      </c>
      <c r="Z54" s="800">
        <f t="shared" si="154"/>
        <v>1.9899999999999984</v>
      </c>
      <c r="AA54" s="800">
        <f t="shared" si="154"/>
        <v>1.9899999999999984</v>
      </c>
      <c r="AB54" s="802">
        <f t="shared" si="154"/>
        <v>1.9899999999999984</v>
      </c>
      <c r="AC54" s="716"/>
      <c r="AD54" s="948"/>
      <c r="AE54" s="793" t="str">
        <f t="shared" ref="AE54:AE63" si="155" xml:space="preserve"> O71&amp;" - "&amp;O70</f>
        <v>18 - 12</v>
      </c>
      <c r="AF54" s="804">
        <f t="shared" ref="AF54:AF63" si="156" xml:space="preserve"> Q71-Q70</f>
        <v>1.7100000000000004</v>
      </c>
      <c r="AG54" s="804">
        <f t="shared" si="153"/>
        <v>1.9700000000000006</v>
      </c>
      <c r="AH54" s="804">
        <f t="shared" si="153"/>
        <v>2.71</v>
      </c>
      <c r="AI54" s="804">
        <f t="shared" si="153"/>
        <v>3.4600000000000009</v>
      </c>
      <c r="AJ54" s="804">
        <f t="shared" si="153"/>
        <v>4.2100000000000009</v>
      </c>
      <c r="AK54" s="804">
        <f t="shared" si="153"/>
        <v>4.9599999999999991</v>
      </c>
      <c r="AL54" s="804">
        <f t="shared" si="153"/>
        <v>5.7099999999999973</v>
      </c>
      <c r="AM54" s="804">
        <f t="shared" si="153"/>
        <v>6.4599999999999973</v>
      </c>
      <c r="AN54" s="804">
        <f t="shared" si="153"/>
        <v>7.2099999999999973</v>
      </c>
      <c r="AO54" s="804">
        <f t="shared" si="153"/>
        <v>7.9599999999999973</v>
      </c>
      <c r="AP54" s="804">
        <f t="shared" si="153"/>
        <v>8.7099999999999973</v>
      </c>
      <c r="AQ54" s="804">
        <f t="shared" si="153"/>
        <v>9.4600000000000009</v>
      </c>
    </row>
    <row r="55" spans="2:43" x14ac:dyDescent="0.25">
      <c r="P55" s="948"/>
      <c r="Q55" s="788">
        <v>18</v>
      </c>
      <c r="R55" s="799">
        <f t="shared" ref="R55:AB55" si="157" xml:space="preserve"> R71-Q71</f>
        <v>0.91999999999999993</v>
      </c>
      <c r="S55" s="800">
        <f t="shared" si="157"/>
        <v>2.7299999999999995</v>
      </c>
      <c r="T55" s="800">
        <f t="shared" si="157"/>
        <v>2.74</v>
      </c>
      <c r="U55" s="800">
        <f t="shared" si="157"/>
        <v>2.74</v>
      </c>
      <c r="V55" s="800">
        <f t="shared" si="157"/>
        <v>2.7399999999999984</v>
      </c>
      <c r="W55" s="800">
        <f t="shared" si="157"/>
        <v>2.7399999999999984</v>
      </c>
      <c r="X55" s="800">
        <f t="shared" si="157"/>
        <v>2.7399999999999984</v>
      </c>
      <c r="Y55" s="800">
        <f t="shared" si="157"/>
        <v>2.7399999999999984</v>
      </c>
      <c r="Z55" s="800">
        <f t="shared" si="157"/>
        <v>2.7399999999999984</v>
      </c>
      <c r="AA55" s="800">
        <f t="shared" si="157"/>
        <v>2.7399999999999984</v>
      </c>
      <c r="AB55" s="802">
        <f t="shared" si="157"/>
        <v>2.740000000000002</v>
      </c>
      <c r="AC55" s="716"/>
      <c r="AD55" s="948"/>
      <c r="AE55" s="793" t="str">
        <f t="shared" si="155"/>
        <v>24 - 18</v>
      </c>
      <c r="AF55" s="804">
        <f t="shared" si="156"/>
        <v>1.7199999999999998</v>
      </c>
      <c r="AG55" s="804">
        <f t="shared" si="153"/>
        <v>1.96</v>
      </c>
      <c r="AH55" s="804">
        <f t="shared" si="153"/>
        <v>2.7200000000000006</v>
      </c>
      <c r="AI55" s="804">
        <f t="shared" si="153"/>
        <v>3.4599999999999991</v>
      </c>
      <c r="AJ55" s="804">
        <f t="shared" si="153"/>
        <v>4.2099999999999973</v>
      </c>
      <c r="AK55" s="804">
        <f t="shared" si="153"/>
        <v>4.9599999999999973</v>
      </c>
      <c r="AL55" s="804">
        <f t="shared" si="153"/>
        <v>5.7099999999999973</v>
      </c>
      <c r="AM55" s="804">
        <f t="shared" si="153"/>
        <v>6.4599999999999973</v>
      </c>
      <c r="AN55" s="804">
        <f t="shared" si="153"/>
        <v>7.2100000000000009</v>
      </c>
      <c r="AO55" s="804">
        <f t="shared" si="153"/>
        <v>7.9600000000000044</v>
      </c>
      <c r="AP55" s="804">
        <f t="shared" si="153"/>
        <v>8.710000000000008</v>
      </c>
      <c r="AQ55" s="804">
        <f t="shared" si="153"/>
        <v>9.460000000000008</v>
      </c>
    </row>
    <row r="56" spans="2:43" x14ac:dyDescent="0.25">
      <c r="P56" s="948"/>
      <c r="Q56" s="788">
        <v>24</v>
      </c>
      <c r="R56" s="797">
        <f t="shared" ref="R56:AB56" si="158" xml:space="preserve"> R72-Q72</f>
        <v>1.1600000000000001</v>
      </c>
      <c r="S56" s="798">
        <f t="shared" si="158"/>
        <v>3.49</v>
      </c>
      <c r="T56" s="798">
        <f t="shared" si="158"/>
        <v>3.4799999999999986</v>
      </c>
      <c r="U56" s="798">
        <f t="shared" si="158"/>
        <v>3.4899999999999984</v>
      </c>
      <c r="V56" s="798">
        <f t="shared" si="158"/>
        <v>3.4899999999999984</v>
      </c>
      <c r="W56" s="798">
        <f t="shared" si="158"/>
        <v>3.4899999999999984</v>
      </c>
      <c r="X56" s="798">
        <f t="shared" si="158"/>
        <v>3.4899999999999984</v>
      </c>
      <c r="Y56" s="798">
        <f t="shared" si="158"/>
        <v>3.490000000000002</v>
      </c>
      <c r="Z56" s="798">
        <f t="shared" si="158"/>
        <v>3.490000000000002</v>
      </c>
      <c r="AA56" s="798">
        <f t="shared" si="158"/>
        <v>3.490000000000002</v>
      </c>
      <c r="AB56" s="801">
        <f t="shared" si="158"/>
        <v>3.490000000000002</v>
      </c>
      <c r="AC56" s="716"/>
      <c r="AD56" s="948"/>
      <c r="AE56" s="793" t="str">
        <f t="shared" si="155"/>
        <v>30 - 24</v>
      </c>
      <c r="AF56" s="804">
        <f t="shared" si="156"/>
        <v>1.7099999999999991</v>
      </c>
      <c r="AG56" s="804">
        <f t="shared" si="153"/>
        <v>1.9599999999999991</v>
      </c>
      <c r="AH56" s="804">
        <f t="shared" si="153"/>
        <v>2.7099999999999991</v>
      </c>
      <c r="AI56" s="804">
        <f t="shared" si="153"/>
        <v>3.4700000000000024</v>
      </c>
      <c r="AJ56" s="804">
        <f t="shared" si="153"/>
        <v>4.2200000000000024</v>
      </c>
      <c r="AK56" s="804">
        <f t="shared" si="153"/>
        <v>4.970000000000006</v>
      </c>
      <c r="AL56" s="804">
        <f t="shared" si="153"/>
        <v>5.7200000000000095</v>
      </c>
      <c r="AM56" s="804">
        <f t="shared" si="153"/>
        <v>6.4700000000000131</v>
      </c>
      <c r="AN56" s="804">
        <f t="shared" si="153"/>
        <v>7.2200000000000131</v>
      </c>
      <c r="AO56" s="804">
        <f t="shared" si="153"/>
        <v>7.9700000000000131</v>
      </c>
      <c r="AP56" s="804">
        <f t="shared" si="153"/>
        <v>8.7200000000000131</v>
      </c>
      <c r="AQ56" s="804">
        <f t="shared" si="153"/>
        <v>9.4700000000000131</v>
      </c>
    </row>
    <row r="57" spans="2:43" x14ac:dyDescent="0.25">
      <c r="P57" s="948"/>
      <c r="Q57" s="788">
        <v>30</v>
      </c>
      <c r="R57" s="799">
        <f t="shared" ref="R57:AB57" si="159" xml:space="preserve"> R73-Q73</f>
        <v>1.4100000000000001</v>
      </c>
      <c r="S57" s="800">
        <f t="shared" si="159"/>
        <v>4.24</v>
      </c>
      <c r="T57" s="800">
        <f t="shared" si="159"/>
        <v>4.240000000000002</v>
      </c>
      <c r="U57" s="800">
        <f t="shared" si="159"/>
        <v>4.2399999999999984</v>
      </c>
      <c r="V57" s="800">
        <f t="shared" si="159"/>
        <v>4.240000000000002</v>
      </c>
      <c r="W57" s="800">
        <f t="shared" si="159"/>
        <v>4.240000000000002</v>
      </c>
      <c r="X57" s="800">
        <f t="shared" si="159"/>
        <v>4.240000000000002</v>
      </c>
      <c r="Y57" s="800">
        <f t="shared" si="159"/>
        <v>4.240000000000002</v>
      </c>
      <c r="Z57" s="800">
        <f t="shared" si="159"/>
        <v>4.240000000000002</v>
      </c>
      <c r="AA57" s="800">
        <f t="shared" si="159"/>
        <v>4.240000000000002</v>
      </c>
      <c r="AB57" s="802">
        <f t="shared" si="159"/>
        <v>4.240000000000002</v>
      </c>
      <c r="AC57" s="716"/>
      <c r="AD57" s="948"/>
      <c r="AE57" s="793" t="str">
        <f t="shared" si="155"/>
        <v>36 - 30</v>
      </c>
      <c r="AF57" s="804">
        <f t="shared" si="156"/>
        <v>1.7100000000000009</v>
      </c>
      <c r="AG57" s="804">
        <f t="shared" si="153"/>
        <v>1.9716666666667013</v>
      </c>
      <c r="AH57" s="804">
        <f t="shared" si="153"/>
        <v>2.7100000000000009</v>
      </c>
      <c r="AI57" s="804">
        <f t="shared" si="153"/>
        <v>3.4599999999999973</v>
      </c>
      <c r="AJ57" s="804">
        <f t="shared" si="153"/>
        <v>4.2100000000000009</v>
      </c>
      <c r="AK57" s="804">
        <f t="shared" si="153"/>
        <v>4.9600000000000009</v>
      </c>
      <c r="AL57" s="804">
        <f t="shared" si="153"/>
        <v>5.7100000000000009</v>
      </c>
      <c r="AM57" s="804">
        <f t="shared" si="153"/>
        <v>6.4600000000000009</v>
      </c>
      <c r="AN57" s="804">
        <f t="shared" si="153"/>
        <v>7.2100000000000009</v>
      </c>
      <c r="AO57" s="804">
        <f t="shared" si="153"/>
        <v>7.9600000000000009</v>
      </c>
      <c r="AP57" s="804">
        <f t="shared" si="153"/>
        <v>8.7100000000000009</v>
      </c>
      <c r="AQ57" s="804">
        <f t="shared" si="153"/>
        <v>9.4600000000000009</v>
      </c>
    </row>
    <row r="58" spans="2:43" x14ac:dyDescent="0.25">
      <c r="P58" s="948"/>
      <c r="Q58" s="788">
        <v>36</v>
      </c>
      <c r="R58" s="799">
        <f t="shared" ref="R58:AB58" si="160" xml:space="preserve"> R74-Q74</f>
        <v>1.6716666666667006</v>
      </c>
      <c r="S58" s="800">
        <f t="shared" si="160"/>
        <v>4.9783333333332997</v>
      </c>
      <c r="T58" s="800">
        <f t="shared" si="160"/>
        <v>4.9899999999999984</v>
      </c>
      <c r="U58" s="800">
        <f t="shared" si="160"/>
        <v>4.990000000000002</v>
      </c>
      <c r="V58" s="800">
        <f t="shared" si="160"/>
        <v>4.990000000000002</v>
      </c>
      <c r="W58" s="800">
        <f t="shared" si="160"/>
        <v>4.990000000000002</v>
      </c>
      <c r="X58" s="800">
        <f t="shared" si="160"/>
        <v>4.990000000000002</v>
      </c>
      <c r="Y58" s="800">
        <f t="shared" si="160"/>
        <v>4.990000000000002</v>
      </c>
      <c r="Z58" s="800">
        <f t="shared" si="160"/>
        <v>4.990000000000002</v>
      </c>
      <c r="AA58" s="800">
        <f t="shared" si="160"/>
        <v>4.990000000000002</v>
      </c>
      <c r="AB58" s="802">
        <f t="shared" si="160"/>
        <v>4.990000000000002</v>
      </c>
      <c r="AC58" s="716"/>
      <c r="AD58" s="948"/>
      <c r="AE58" s="793" t="str">
        <f t="shared" si="155"/>
        <v>42 - 36</v>
      </c>
      <c r="AF58" s="804">
        <f t="shared" si="156"/>
        <v>1.7149999999999999</v>
      </c>
      <c r="AG58" s="804">
        <f t="shared" si="153"/>
        <v>1.9583333333333002</v>
      </c>
      <c r="AH58" s="804">
        <f t="shared" si="153"/>
        <v>2.7100000000000009</v>
      </c>
      <c r="AI58" s="804">
        <f t="shared" si="153"/>
        <v>3.4600000000000009</v>
      </c>
      <c r="AJ58" s="804">
        <f t="shared" si="153"/>
        <v>4.2100000000000009</v>
      </c>
      <c r="AK58" s="804">
        <f t="shared" si="153"/>
        <v>4.9600000000000009</v>
      </c>
      <c r="AL58" s="804">
        <f t="shared" si="153"/>
        <v>5.7100000000000009</v>
      </c>
      <c r="AM58" s="804">
        <f t="shared" si="153"/>
        <v>6.4600000000000009</v>
      </c>
      <c r="AN58" s="804">
        <f t="shared" si="153"/>
        <v>7.2100000000000009</v>
      </c>
      <c r="AO58" s="804">
        <f t="shared" si="153"/>
        <v>7.9600000000000009</v>
      </c>
      <c r="AP58" s="804">
        <f t="shared" si="153"/>
        <v>8.7100000000000009</v>
      </c>
      <c r="AQ58" s="804">
        <f t="shared" si="153"/>
        <v>9.4599999999999937</v>
      </c>
    </row>
    <row r="59" spans="2:43" x14ac:dyDescent="0.25">
      <c r="P59" s="948"/>
      <c r="Q59" s="788">
        <v>42</v>
      </c>
      <c r="R59" s="797">
        <f t="shared" ref="R59:AB59" si="161" xml:space="preserve"> R75-Q75</f>
        <v>1.9150000000000009</v>
      </c>
      <c r="S59" s="798">
        <f t="shared" si="161"/>
        <v>5.73</v>
      </c>
      <c r="T59" s="798">
        <f t="shared" si="161"/>
        <v>5.7399999999999984</v>
      </c>
      <c r="U59" s="798">
        <f t="shared" si="161"/>
        <v>5.740000000000002</v>
      </c>
      <c r="V59" s="798">
        <f t="shared" si="161"/>
        <v>5.740000000000002</v>
      </c>
      <c r="W59" s="798">
        <f t="shared" si="161"/>
        <v>5.740000000000002</v>
      </c>
      <c r="X59" s="798">
        <f t="shared" si="161"/>
        <v>5.740000000000002</v>
      </c>
      <c r="Y59" s="798">
        <f t="shared" si="161"/>
        <v>5.740000000000002</v>
      </c>
      <c r="Z59" s="798">
        <f t="shared" si="161"/>
        <v>5.740000000000002</v>
      </c>
      <c r="AA59" s="798">
        <f t="shared" si="161"/>
        <v>5.740000000000002</v>
      </c>
      <c r="AB59" s="801">
        <f t="shared" si="161"/>
        <v>5.7399999999999949</v>
      </c>
      <c r="AC59" s="716"/>
      <c r="AD59" s="948"/>
      <c r="AE59" s="793" t="str">
        <f t="shared" si="155"/>
        <v>48 - 42</v>
      </c>
      <c r="AF59" s="804">
        <f t="shared" si="156"/>
        <v>1.7129999999999992</v>
      </c>
      <c r="AG59" s="804">
        <f t="shared" si="153"/>
        <v>1.9600000000000009</v>
      </c>
      <c r="AH59" s="804">
        <f t="shared" si="153"/>
        <v>2.7199999999999989</v>
      </c>
      <c r="AI59" s="804">
        <f t="shared" si="153"/>
        <v>3.4600000000000009</v>
      </c>
      <c r="AJ59" s="804">
        <f t="shared" si="153"/>
        <v>4.2100000000000009</v>
      </c>
      <c r="AK59" s="804">
        <f t="shared" si="153"/>
        <v>4.9600000000000009</v>
      </c>
      <c r="AL59" s="804">
        <f t="shared" si="153"/>
        <v>5.7100000000000009</v>
      </c>
      <c r="AM59" s="804">
        <f t="shared" si="153"/>
        <v>6.4600000000000009</v>
      </c>
      <c r="AN59" s="804">
        <f t="shared" si="153"/>
        <v>7.2100000000000009</v>
      </c>
      <c r="AO59" s="804">
        <f t="shared" si="153"/>
        <v>7.9600000000000009</v>
      </c>
      <c r="AP59" s="804">
        <f t="shared" si="153"/>
        <v>8.7099999999999937</v>
      </c>
      <c r="AQ59" s="804">
        <f t="shared" si="153"/>
        <v>9.4599999999999937</v>
      </c>
    </row>
    <row r="60" spans="2:43" x14ac:dyDescent="0.25">
      <c r="P60" s="948"/>
      <c r="Q60" s="788">
        <v>48</v>
      </c>
      <c r="R60" s="799">
        <f t="shared" ref="R60:AB60" si="162" xml:space="preserve"> R76-Q76</f>
        <v>2.1620000000000026</v>
      </c>
      <c r="S60" s="800">
        <f t="shared" si="162"/>
        <v>6.4899999999999984</v>
      </c>
      <c r="T60" s="800">
        <f t="shared" si="162"/>
        <v>6.48</v>
      </c>
      <c r="U60" s="800">
        <f t="shared" si="162"/>
        <v>6.490000000000002</v>
      </c>
      <c r="V60" s="800">
        <f t="shared" si="162"/>
        <v>6.490000000000002</v>
      </c>
      <c r="W60" s="800">
        <f t="shared" si="162"/>
        <v>6.490000000000002</v>
      </c>
      <c r="X60" s="800">
        <f t="shared" si="162"/>
        <v>6.490000000000002</v>
      </c>
      <c r="Y60" s="800">
        <f t="shared" si="162"/>
        <v>6.490000000000002</v>
      </c>
      <c r="Z60" s="800">
        <f t="shared" si="162"/>
        <v>6.490000000000002</v>
      </c>
      <c r="AA60" s="800">
        <f t="shared" si="162"/>
        <v>6.4899999999999949</v>
      </c>
      <c r="AB60" s="802">
        <f t="shared" si="162"/>
        <v>6.4899999999999949</v>
      </c>
      <c r="AC60" s="716"/>
      <c r="AD60" s="948"/>
      <c r="AE60" s="793" t="str">
        <f t="shared" si="155"/>
        <v>54 - 48</v>
      </c>
      <c r="AF60" s="804">
        <f t="shared" si="156"/>
        <v>1.7220000000000013</v>
      </c>
      <c r="AG60" s="804">
        <f t="shared" si="153"/>
        <v>1.9699999999999989</v>
      </c>
      <c r="AH60" s="804">
        <f t="shared" si="153"/>
        <v>2.7100000000000009</v>
      </c>
      <c r="AI60" s="804">
        <f t="shared" si="153"/>
        <v>3.4642857142857011</v>
      </c>
      <c r="AJ60" s="804">
        <f t="shared" si="153"/>
        <v>4.2142857142857011</v>
      </c>
      <c r="AK60" s="804">
        <f t="shared" si="153"/>
        <v>4.9642857142857011</v>
      </c>
      <c r="AL60" s="804">
        <f t="shared" si="153"/>
        <v>5.7142857142857011</v>
      </c>
      <c r="AM60" s="804">
        <f t="shared" si="153"/>
        <v>6.4642857142857011</v>
      </c>
      <c r="AN60" s="804">
        <f t="shared" si="153"/>
        <v>7.2142857142857011</v>
      </c>
      <c r="AO60" s="804">
        <f t="shared" si="153"/>
        <v>7.964285714285694</v>
      </c>
      <c r="AP60" s="804">
        <f t="shared" si="153"/>
        <v>8.714285714285694</v>
      </c>
      <c r="AQ60" s="804">
        <f t="shared" si="153"/>
        <v>9.464285714285694</v>
      </c>
    </row>
    <row r="61" spans="2:43" x14ac:dyDescent="0.25">
      <c r="P61" s="948"/>
      <c r="Q61" s="788">
        <v>54</v>
      </c>
      <c r="R61" s="799">
        <f t="shared" ref="R61:AB61" si="163" xml:space="preserve"> R77-Q77</f>
        <v>2.41</v>
      </c>
      <c r="S61" s="800">
        <f t="shared" si="163"/>
        <v>7.23</v>
      </c>
      <c r="T61" s="800">
        <f t="shared" si="163"/>
        <v>7.2342857142857007</v>
      </c>
      <c r="U61" s="800">
        <f t="shared" si="163"/>
        <v>7.240000000000002</v>
      </c>
      <c r="V61" s="800">
        <f t="shared" si="163"/>
        <v>7.240000000000002</v>
      </c>
      <c r="W61" s="800">
        <f t="shared" si="163"/>
        <v>7.240000000000002</v>
      </c>
      <c r="X61" s="800">
        <f t="shared" si="163"/>
        <v>7.240000000000002</v>
      </c>
      <c r="Y61" s="800">
        <f t="shared" si="163"/>
        <v>7.240000000000002</v>
      </c>
      <c r="Z61" s="800">
        <f t="shared" si="163"/>
        <v>7.2399999999999949</v>
      </c>
      <c r="AA61" s="800">
        <f t="shared" si="163"/>
        <v>7.2399999999999949</v>
      </c>
      <c r="AB61" s="802">
        <f t="shared" si="163"/>
        <v>7.2399999999999949</v>
      </c>
      <c r="AC61" s="716"/>
      <c r="AD61" s="948"/>
      <c r="AE61" s="793" t="str">
        <f t="shared" si="155"/>
        <v>60 - 54</v>
      </c>
      <c r="AF61" s="804">
        <f t="shared" si="156"/>
        <v>1.7100000000000009</v>
      </c>
      <c r="AG61" s="804">
        <f t="shared" si="153"/>
        <v>1.9602380952381004</v>
      </c>
      <c r="AH61" s="804">
        <f t="shared" si="153"/>
        <v>2.7099999999999973</v>
      </c>
      <c r="AI61" s="804">
        <f t="shared" si="153"/>
        <v>3.4557142857143006</v>
      </c>
      <c r="AJ61" s="804">
        <f t="shared" si="153"/>
        <v>4.1957142857142955</v>
      </c>
      <c r="AK61" s="804">
        <f t="shared" si="153"/>
        <v>4.9357142857142904</v>
      </c>
      <c r="AL61" s="804">
        <f t="shared" si="153"/>
        <v>5.6757142857142853</v>
      </c>
      <c r="AM61" s="804">
        <f t="shared" si="153"/>
        <v>6.4157142857142802</v>
      </c>
      <c r="AN61" s="804">
        <f t="shared" si="153"/>
        <v>7.1557142857142821</v>
      </c>
      <c r="AO61" s="804">
        <f t="shared" si="153"/>
        <v>7.8957142857142912</v>
      </c>
      <c r="AP61" s="804">
        <f t="shared" si="153"/>
        <v>8.6357142857143003</v>
      </c>
      <c r="AQ61" s="804">
        <f t="shared" si="153"/>
        <v>9.3757142857143094</v>
      </c>
    </row>
    <row r="62" spans="2:43" x14ac:dyDescent="0.25">
      <c r="P62" s="948"/>
      <c r="Q62" s="788">
        <v>60</v>
      </c>
      <c r="R62" s="797">
        <f t="shared" ref="R62:AB62" si="164" xml:space="preserve"> R78-Q78</f>
        <v>2.6602380952380997</v>
      </c>
      <c r="S62" s="798">
        <f t="shared" si="164"/>
        <v>7.9797619047618973</v>
      </c>
      <c r="T62" s="798">
        <f t="shared" si="164"/>
        <v>7.980000000000004</v>
      </c>
      <c r="U62" s="798">
        <f t="shared" si="164"/>
        <v>7.9799999999999969</v>
      </c>
      <c r="V62" s="798">
        <f t="shared" si="164"/>
        <v>7.9799999999999969</v>
      </c>
      <c r="W62" s="798">
        <f t="shared" si="164"/>
        <v>7.9799999999999969</v>
      </c>
      <c r="X62" s="798">
        <f t="shared" si="164"/>
        <v>7.9799999999999969</v>
      </c>
      <c r="Y62" s="798">
        <f t="shared" si="164"/>
        <v>7.980000000000004</v>
      </c>
      <c r="Z62" s="798">
        <f t="shared" si="164"/>
        <v>7.980000000000004</v>
      </c>
      <c r="AA62" s="798">
        <f t="shared" si="164"/>
        <v>7.980000000000004</v>
      </c>
      <c r="AB62" s="801">
        <f t="shared" si="164"/>
        <v>7.980000000000004</v>
      </c>
      <c r="AC62" s="716"/>
      <c r="AD62" s="948"/>
      <c r="AE62" s="793" t="str">
        <f t="shared" si="155"/>
        <v>66 - 60</v>
      </c>
      <c r="AF62" s="804">
        <f t="shared" si="156"/>
        <v>1.7069999999999972</v>
      </c>
      <c r="AG62" s="804">
        <f t="shared" si="153"/>
        <v>1.9597619047618977</v>
      </c>
      <c r="AH62" s="804">
        <f t="shared" si="153"/>
        <v>2.7100000000000009</v>
      </c>
      <c r="AI62" s="804">
        <f t="shared" si="153"/>
        <v>3.4699999999999989</v>
      </c>
      <c r="AJ62" s="804">
        <f t="shared" si="153"/>
        <v>4.230000000000004</v>
      </c>
      <c r="AK62" s="804">
        <f t="shared" si="153"/>
        <v>4.9900000000000091</v>
      </c>
      <c r="AL62" s="804">
        <f t="shared" si="153"/>
        <v>5.7500000000000071</v>
      </c>
      <c r="AM62" s="804">
        <f t="shared" si="153"/>
        <v>6.5100000000000051</v>
      </c>
      <c r="AN62" s="804">
        <f t="shared" si="153"/>
        <v>7.269999999999996</v>
      </c>
      <c r="AO62" s="804">
        <f t="shared" si="153"/>
        <v>8.0299999999999869</v>
      </c>
      <c r="AP62" s="804">
        <f t="shared" si="153"/>
        <v>8.7899999999999778</v>
      </c>
      <c r="AQ62" s="804">
        <f t="shared" si="153"/>
        <v>9.5499999999999687</v>
      </c>
    </row>
    <row r="63" spans="2:43" x14ac:dyDescent="0.25">
      <c r="P63" s="948"/>
      <c r="Q63" s="788">
        <v>66</v>
      </c>
      <c r="R63" s="799">
        <f t="shared" ref="R63:AB63" si="165" xml:space="preserve"> R79-Q79</f>
        <v>2.9130000000000003</v>
      </c>
      <c r="S63" s="800">
        <f t="shared" si="165"/>
        <v>8.73</v>
      </c>
      <c r="T63" s="800">
        <f t="shared" si="165"/>
        <v>8.740000000000002</v>
      </c>
      <c r="U63" s="800">
        <f t="shared" si="165"/>
        <v>8.740000000000002</v>
      </c>
      <c r="V63" s="800">
        <f t="shared" si="165"/>
        <v>8.740000000000002</v>
      </c>
      <c r="W63" s="800">
        <f t="shared" si="165"/>
        <v>8.7399999999999949</v>
      </c>
      <c r="X63" s="800">
        <f t="shared" si="165"/>
        <v>8.7399999999999949</v>
      </c>
      <c r="Y63" s="800">
        <f t="shared" si="165"/>
        <v>8.7399999999999949</v>
      </c>
      <c r="Z63" s="800">
        <f t="shared" si="165"/>
        <v>8.7399999999999949</v>
      </c>
      <c r="AA63" s="800">
        <f t="shared" si="165"/>
        <v>8.7399999999999949</v>
      </c>
      <c r="AB63" s="802">
        <f t="shared" si="165"/>
        <v>8.7399999999999949</v>
      </c>
      <c r="AC63" s="716"/>
      <c r="AD63" s="949"/>
      <c r="AE63" s="794" t="str">
        <f t="shared" si="155"/>
        <v>72 - 66</v>
      </c>
      <c r="AF63" s="805">
        <f t="shared" si="156"/>
        <v>1.7230000000000025</v>
      </c>
      <c r="AG63" s="805">
        <f t="shared" si="153"/>
        <v>1.9700000000000024</v>
      </c>
      <c r="AH63" s="805">
        <f t="shared" si="153"/>
        <v>2.7185714285714013</v>
      </c>
      <c r="AI63" s="805">
        <f t="shared" si="153"/>
        <v>3.4600000000000009</v>
      </c>
      <c r="AJ63" s="805">
        <f t="shared" si="153"/>
        <v>4.1999999999999957</v>
      </c>
      <c r="AK63" s="805">
        <f t="shared" si="153"/>
        <v>4.9399999999999977</v>
      </c>
      <c r="AL63" s="805">
        <f t="shared" si="153"/>
        <v>5.6800000000000068</v>
      </c>
      <c r="AM63" s="805">
        <f t="shared" si="153"/>
        <v>6.4200000000000159</v>
      </c>
      <c r="AN63" s="805">
        <f t="shared" si="153"/>
        <v>7.160000000000025</v>
      </c>
      <c r="AO63" s="805">
        <f t="shared" si="153"/>
        <v>7.9000000000000341</v>
      </c>
      <c r="AP63" s="805">
        <f t="shared" si="153"/>
        <v>8.6400000000000432</v>
      </c>
      <c r="AQ63" s="805">
        <f t="shared" si="153"/>
        <v>9.3800000000000523</v>
      </c>
    </row>
    <row r="64" spans="2:43" x14ac:dyDescent="0.25">
      <c r="P64" s="949"/>
      <c r="Q64" s="790">
        <v>72</v>
      </c>
      <c r="R64" s="799">
        <f t="shared" ref="R64:AB64" si="166" xml:space="preserve"> R80-Q80</f>
        <v>3.16</v>
      </c>
      <c r="S64" s="800">
        <f t="shared" si="166"/>
        <v>9.4785714285713993</v>
      </c>
      <c r="T64" s="800">
        <f t="shared" si="166"/>
        <v>9.4814285714286015</v>
      </c>
      <c r="U64" s="800">
        <f t="shared" si="166"/>
        <v>9.4799999999999969</v>
      </c>
      <c r="V64" s="800">
        <f t="shared" si="166"/>
        <v>9.480000000000004</v>
      </c>
      <c r="W64" s="800">
        <f t="shared" si="166"/>
        <v>9.480000000000004</v>
      </c>
      <c r="X64" s="800">
        <f t="shared" si="166"/>
        <v>9.480000000000004</v>
      </c>
      <c r="Y64" s="800">
        <f t="shared" si="166"/>
        <v>9.480000000000004</v>
      </c>
      <c r="Z64" s="800">
        <f t="shared" si="166"/>
        <v>9.480000000000004</v>
      </c>
      <c r="AA64" s="800">
        <f t="shared" si="166"/>
        <v>9.480000000000004</v>
      </c>
      <c r="AB64" s="802">
        <f t="shared" si="166"/>
        <v>9.480000000000004</v>
      </c>
      <c r="AC64" s="716"/>
      <c r="AD64" s="791"/>
      <c r="AE64" s="792"/>
      <c r="AF64" s="599"/>
      <c r="AG64" s="599"/>
      <c r="AH64" s="599"/>
      <c r="AI64" s="599"/>
      <c r="AJ64" s="599"/>
      <c r="AK64" s="599"/>
      <c r="AL64" s="599"/>
      <c r="AM64" s="599"/>
      <c r="AN64" s="599"/>
      <c r="AO64" s="599"/>
      <c r="AP64" s="599"/>
    </row>
    <row r="65" spans="2:46" ht="15.75" thickBot="1" x14ac:dyDescent="0.3">
      <c r="Q65" s="725"/>
      <c r="S65" s="725"/>
      <c r="T65" s="725"/>
      <c r="U65" s="725"/>
      <c r="V65" s="725"/>
      <c r="W65" s="725"/>
      <c r="X65" s="725"/>
      <c r="Y65" s="725"/>
      <c r="Z65" s="725"/>
      <c r="AA65" s="725"/>
      <c r="AB65" s="725"/>
      <c r="AC65" s="725"/>
      <c r="AD65" s="725"/>
      <c r="AE65" s="725"/>
      <c r="AF65" s="725"/>
      <c r="AG65" s="725"/>
      <c r="AH65" s="725"/>
      <c r="AI65" s="725"/>
      <c r="AJ65" s="725"/>
    </row>
    <row r="66" spans="2:46" ht="28.5" customHeight="1" thickBot="1" x14ac:dyDescent="0.3">
      <c r="B66" s="666" t="s">
        <v>84</v>
      </c>
      <c r="C66" s="667"/>
      <c r="D66" s="667"/>
      <c r="E66" s="667"/>
      <c r="F66" s="667"/>
      <c r="G66" s="667"/>
      <c r="H66" s="667"/>
      <c r="I66" s="667"/>
      <c r="J66" s="667"/>
      <c r="K66" s="667"/>
      <c r="L66" s="668"/>
      <c r="N66" s="753" t="s">
        <v>188</v>
      </c>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c r="AN66" s="738"/>
    </row>
    <row r="67" spans="2:46" ht="25.5" customHeight="1" thickBot="1" x14ac:dyDescent="0.3">
      <c r="B67" s="672" t="s">
        <v>41</v>
      </c>
      <c r="C67" s="673" t="e">
        <f>C9</f>
        <v>#VALUE!</v>
      </c>
      <c r="D67" s="674"/>
      <c r="E67" s="674"/>
      <c r="F67" s="674"/>
      <c r="G67" s="674"/>
      <c r="H67" s="674"/>
      <c r="I67" s="674"/>
      <c r="J67" s="674"/>
      <c r="K67" s="674"/>
      <c r="L67" s="675"/>
      <c r="N67" s="956" t="s">
        <v>312</v>
      </c>
      <c r="O67" s="739"/>
      <c r="P67" s="740"/>
      <c r="Q67" s="758">
        <f>F11</f>
        <v>10</v>
      </c>
      <c r="R67" s="759">
        <v>12</v>
      </c>
      <c r="S67" s="759">
        <f t="shared" ref="S67:AJ67" si="167">R67+6</f>
        <v>18</v>
      </c>
      <c r="T67" s="759">
        <f t="shared" si="167"/>
        <v>24</v>
      </c>
      <c r="U67" s="759">
        <f t="shared" si="167"/>
        <v>30</v>
      </c>
      <c r="V67" s="759">
        <f t="shared" si="167"/>
        <v>36</v>
      </c>
      <c r="W67" s="759">
        <f t="shared" si="167"/>
        <v>42</v>
      </c>
      <c r="X67" s="759">
        <f t="shared" si="167"/>
        <v>48</v>
      </c>
      <c r="Y67" s="759">
        <f t="shared" si="167"/>
        <v>54</v>
      </c>
      <c r="Z67" s="759">
        <f t="shared" si="167"/>
        <v>60</v>
      </c>
      <c r="AA67" s="759">
        <f t="shared" si="167"/>
        <v>66</v>
      </c>
      <c r="AB67" s="759">
        <f t="shared" si="167"/>
        <v>72</v>
      </c>
      <c r="AC67" s="759">
        <f t="shared" si="167"/>
        <v>78</v>
      </c>
      <c r="AD67" s="759">
        <f t="shared" si="167"/>
        <v>84</v>
      </c>
      <c r="AE67" s="759">
        <f t="shared" si="167"/>
        <v>90</v>
      </c>
      <c r="AF67" s="759">
        <f t="shared" si="167"/>
        <v>96</v>
      </c>
      <c r="AG67" s="759">
        <f t="shared" si="167"/>
        <v>102</v>
      </c>
      <c r="AH67" s="759">
        <f t="shared" si="167"/>
        <v>108</v>
      </c>
      <c r="AI67" s="759">
        <f t="shared" si="167"/>
        <v>114</v>
      </c>
      <c r="AJ67" s="759">
        <f t="shared" si="167"/>
        <v>120</v>
      </c>
      <c r="AK67" s="918" t="s">
        <v>71</v>
      </c>
      <c r="AL67" s="919"/>
      <c r="AM67" s="919"/>
      <c r="AN67" s="920"/>
    </row>
    <row r="68" spans="2:46" ht="19.5" thickBot="1" x14ac:dyDescent="0.3">
      <c r="B68" s="676" t="s">
        <v>42</v>
      </c>
      <c r="C68" s="677" t="e">
        <f>F9</f>
        <v>#VALUE!</v>
      </c>
      <c r="E68" s="678"/>
      <c r="F68" s="678"/>
      <c r="G68" s="678"/>
      <c r="H68" s="678"/>
      <c r="I68" s="678"/>
      <c r="J68" s="678"/>
      <c r="K68" s="678"/>
      <c r="L68" s="679"/>
      <c r="N68" s="957"/>
      <c r="O68" s="741"/>
      <c r="P68" s="580">
        <v>1</v>
      </c>
      <c r="Q68" s="741">
        <v>2</v>
      </c>
      <c r="R68" s="579">
        <v>3</v>
      </c>
      <c r="S68" s="579">
        <v>4</v>
      </c>
      <c r="T68" s="579">
        <v>5</v>
      </c>
      <c r="U68" s="579">
        <v>6</v>
      </c>
      <c r="V68" s="579">
        <v>7</v>
      </c>
      <c r="W68" s="579">
        <v>8</v>
      </c>
      <c r="X68" s="579">
        <v>9</v>
      </c>
      <c r="Y68" s="579">
        <v>10</v>
      </c>
      <c r="Z68" s="579">
        <v>11</v>
      </c>
      <c r="AA68" s="579">
        <v>12</v>
      </c>
      <c r="AB68" s="579">
        <v>13</v>
      </c>
      <c r="AC68" s="579">
        <v>14</v>
      </c>
      <c r="AD68" s="579">
        <v>15</v>
      </c>
      <c r="AE68" s="579">
        <v>16</v>
      </c>
      <c r="AF68" s="579">
        <v>17</v>
      </c>
      <c r="AG68" s="579">
        <v>18</v>
      </c>
      <c r="AH68" s="579">
        <v>19</v>
      </c>
      <c r="AI68" s="579">
        <v>20</v>
      </c>
      <c r="AJ68" s="579">
        <v>21</v>
      </c>
      <c r="AK68" s="742"/>
      <c r="AL68" s="742"/>
      <c r="AM68" s="742"/>
      <c r="AN68" s="743"/>
    </row>
    <row r="69" spans="2:46" ht="16.5" customHeight="1" thickBot="1" x14ac:dyDescent="0.3">
      <c r="B69" s="681" t="s">
        <v>77</v>
      </c>
      <c r="C69" s="678"/>
      <c r="D69" s="678"/>
      <c r="E69" s="678"/>
      <c r="F69" s="678"/>
      <c r="G69" s="678"/>
      <c r="H69" s="678"/>
      <c r="I69" s="678"/>
      <c r="J69" s="678"/>
      <c r="K69" s="678"/>
      <c r="L69" s="679"/>
      <c r="N69" s="680"/>
      <c r="O69" s="755">
        <f>F12</f>
        <v>7.375</v>
      </c>
      <c r="P69" s="576">
        <v>2</v>
      </c>
      <c r="Q69" s="827">
        <v>2.5</v>
      </c>
      <c r="R69" s="829">
        <v>2.93</v>
      </c>
      <c r="S69" s="829">
        <v>4.2</v>
      </c>
      <c r="T69" s="829">
        <v>5.48</v>
      </c>
      <c r="U69" s="831">
        <v>6.75</v>
      </c>
      <c r="V69" s="831">
        <v>8.02</v>
      </c>
      <c r="W69" s="831">
        <v>9.3000000000000007</v>
      </c>
      <c r="X69" s="831">
        <v>10.57</v>
      </c>
      <c r="Y69" s="831">
        <v>11.85</v>
      </c>
      <c r="Z69" s="831">
        <v>13.12</v>
      </c>
      <c r="AA69" s="831">
        <v>14.4</v>
      </c>
      <c r="AB69" s="831">
        <v>15.67</v>
      </c>
      <c r="AC69" s="815">
        <v>16.944727272727299</v>
      </c>
      <c r="AD69" s="815">
        <v>18.219000000000001</v>
      </c>
      <c r="AE69" s="815">
        <v>19.493272727272799</v>
      </c>
      <c r="AF69" s="816">
        <v>20.767545454545498</v>
      </c>
      <c r="AG69" s="816">
        <v>22.041818181818201</v>
      </c>
      <c r="AH69" s="816">
        <v>23.316090909090899</v>
      </c>
      <c r="AI69" s="816">
        <v>24.590363636363701</v>
      </c>
      <c r="AJ69" s="816">
        <v>25.8646363636364</v>
      </c>
      <c r="AK69" s="913" t="s">
        <v>306</v>
      </c>
      <c r="AL69" s="914"/>
      <c r="AM69" s="589" t="s">
        <v>305</v>
      </c>
      <c r="AN69" s="573"/>
      <c r="AO69" s="574"/>
      <c r="AP69" s="574"/>
      <c r="AQ69" s="574"/>
      <c r="AR69" s="574"/>
    </row>
    <row r="70" spans="2:46" ht="16.5" thickBot="1" x14ac:dyDescent="0.3">
      <c r="B70" s="682"/>
      <c r="D70" s="678"/>
      <c r="E70" s="678"/>
      <c r="F70" s="678"/>
      <c r="G70" s="678"/>
      <c r="H70" s="678"/>
      <c r="I70" s="678"/>
      <c r="J70" s="678"/>
      <c r="K70" s="678"/>
      <c r="L70" s="679"/>
      <c r="M70" s="725"/>
      <c r="N70" s="752">
        <f xml:space="preserve"> ROUNDUP(AVERAGE(S70-R70, T70-S70), 2)</f>
        <v>1.99</v>
      </c>
      <c r="O70" s="756">
        <v>12</v>
      </c>
      <c r="P70" s="578">
        <v>3</v>
      </c>
      <c r="Q70" s="828">
        <f xml:space="preserve"> 3.98</f>
        <v>3.98</v>
      </c>
      <c r="R70" s="826">
        <v>4.6399999999999997</v>
      </c>
      <c r="S70" s="826">
        <v>6.63</v>
      </c>
      <c r="T70" s="826">
        <v>8.6199999999999992</v>
      </c>
      <c r="U70" s="837">
        <f t="shared" ref="U70:AB74" si="168">T70+$N70</f>
        <v>10.61</v>
      </c>
      <c r="V70" s="838">
        <f t="shared" si="168"/>
        <v>12.6</v>
      </c>
      <c r="W70" s="838">
        <f t="shared" si="168"/>
        <v>14.59</v>
      </c>
      <c r="X70" s="838">
        <f t="shared" si="168"/>
        <v>16.579999999999998</v>
      </c>
      <c r="Y70" s="838">
        <f t="shared" si="168"/>
        <v>18.569999999999997</v>
      </c>
      <c r="Z70" s="838">
        <f t="shared" si="168"/>
        <v>20.559999999999995</v>
      </c>
      <c r="AA70" s="838">
        <f t="shared" si="168"/>
        <v>22.549999999999994</v>
      </c>
      <c r="AB70" s="839">
        <f>AA70+$N70</f>
        <v>24.539999999999992</v>
      </c>
      <c r="AC70" s="807">
        <f t="shared" ref="AC70:AC88" si="169">AB70+$N70</f>
        <v>26.52999999999999</v>
      </c>
      <c r="AD70" s="808">
        <f t="shared" ref="AD70:AD79" si="170">AC70+$N70</f>
        <v>28.519999999999989</v>
      </c>
      <c r="AE70" s="808">
        <f t="shared" ref="AE70:AE88" si="171">AD70+$N70</f>
        <v>30.509999999999987</v>
      </c>
      <c r="AF70" s="808">
        <f t="shared" ref="AF70:AF88" si="172">AE70+$N70</f>
        <v>32.499999999999986</v>
      </c>
      <c r="AG70" s="808">
        <f t="shared" ref="AG70:AG88" si="173">AF70+$N70</f>
        <v>34.489999999999988</v>
      </c>
      <c r="AH70" s="808">
        <f t="shared" ref="AH70:AH88" si="174">AG70+$N70</f>
        <v>36.47999999999999</v>
      </c>
      <c r="AI70" s="808">
        <f t="shared" ref="AI70:AI88" si="175">AH70+$N70</f>
        <v>38.469999999999992</v>
      </c>
      <c r="AJ70" s="809">
        <f>AI70+$N70</f>
        <v>40.459999999999994</v>
      </c>
      <c r="AK70" s="589" t="s">
        <v>35</v>
      </c>
      <c r="AL70" s="593" t="e">
        <f xml:space="preserve"> C67</f>
        <v>#VALUE!</v>
      </c>
      <c r="AM70" s="600" t="e">
        <f xml:space="preserve"> MATCH(AL70, Q67:AJ67, 1)</f>
        <v>#VALUE!</v>
      </c>
      <c r="AN70" s="596"/>
    </row>
    <row r="71" spans="2:46" ht="16.5" thickBot="1" x14ac:dyDescent="0.3">
      <c r="B71" s="682"/>
      <c r="C71" s="555"/>
      <c r="D71" s="556" t="s">
        <v>35</v>
      </c>
      <c r="E71" s="557"/>
      <c r="F71" s="557"/>
      <c r="G71" s="558"/>
      <c r="H71" s="556" t="s">
        <v>36</v>
      </c>
      <c r="I71" s="559"/>
      <c r="J71" s="560"/>
      <c r="K71" s="678"/>
      <c r="L71" s="679"/>
      <c r="M71" s="725"/>
      <c r="N71" s="752">
        <f t="shared" ref="N71:N88" si="176" xml:space="preserve"> ROUNDUP(AVERAGE(S71-R71, T71-S71), 2)</f>
        <v>2.7399999999999998</v>
      </c>
      <c r="O71" s="756">
        <f t="shared" ref="O71:O88" si="177">O70+6</f>
        <v>18</v>
      </c>
      <c r="P71" s="578">
        <v>4</v>
      </c>
      <c r="Q71" s="828">
        <v>5.69</v>
      </c>
      <c r="R71" s="826">
        <v>6.61</v>
      </c>
      <c r="S71" s="826">
        <v>9.34</v>
      </c>
      <c r="T71" s="826">
        <v>12.08</v>
      </c>
      <c r="U71" s="840">
        <f t="shared" si="168"/>
        <v>14.82</v>
      </c>
      <c r="V71" s="830">
        <f t="shared" si="168"/>
        <v>17.559999999999999</v>
      </c>
      <c r="W71" s="830">
        <f t="shared" si="168"/>
        <v>20.299999999999997</v>
      </c>
      <c r="X71" s="830">
        <f t="shared" si="168"/>
        <v>23.039999999999996</v>
      </c>
      <c r="Y71" s="830">
        <f t="shared" si="168"/>
        <v>25.779999999999994</v>
      </c>
      <c r="Z71" s="830">
        <f t="shared" si="168"/>
        <v>28.519999999999992</v>
      </c>
      <c r="AA71" s="830">
        <f t="shared" si="168"/>
        <v>31.259999999999991</v>
      </c>
      <c r="AB71" s="841">
        <f t="shared" si="168"/>
        <v>33.999999999999993</v>
      </c>
      <c r="AC71" s="811">
        <f t="shared" si="169"/>
        <v>36.739999999999995</v>
      </c>
      <c r="AD71" s="812">
        <f t="shared" si="170"/>
        <v>39.479999999999997</v>
      </c>
      <c r="AE71" s="812">
        <f t="shared" si="171"/>
        <v>42.22</v>
      </c>
      <c r="AF71" s="812">
        <f t="shared" si="172"/>
        <v>44.96</v>
      </c>
      <c r="AG71" s="812">
        <f t="shared" si="173"/>
        <v>47.7</v>
      </c>
      <c r="AH71" s="812">
        <f t="shared" si="174"/>
        <v>50.440000000000005</v>
      </c>
      <c r="AI71" s="812">
        <f t="shared" si="175"/>
        <v>53.180000000000007</v>
      </c>
      <c r="AJ71" s="813">
        <f t="shared" ref="AJ71:AJ80" si="178">AI71+$N71</f>
        <v>55.920000000000009</v>
      </c>
      <c r="AK71" s="588" t="s">
        <v>36</v>
      </c>
      <c r="AL71" s="593" t="e">
        <f xml:space="preserve"> C68</f>
        <v>#VALUE!</v>
      </c>
      <c r="AM71" s="600" t="e">
        <f xml:space="preserve"> MATCH(AL71, O69:O88, 1)</f>
        <v>#VALUE!</v>
      </c>
      <c r="AN71" s="596"/>
    </row>
    <row r="72" spans="2:46" ht="15.75" thickBot="1" x14ac:dyDescent="0.3">
      <c r="B72" s="682"/>
      <c r="C72" s="561"/>
      <c r="D72" s="562" t="s">
        <v>78</v>
      </c>
      <c r="E72" s="563" t="s">
        <v>79</v>
      </c>
      <c r="F72" s="563"/>
      <c r="G72" s="564"/>
      <c r="H72" s="562" t="s">
        <v>78</v>
      </c>
      <c r="I72" s="565" t="s">
        <v>79</v>
      </c>
      <c r="J72" s="560"/>
      <c r="K72" s="678"/>
      <c r="L72" s="679"/>
      <c r="M72" s="725"/>
      <c r="N72" s="752">
        <f t="shared" si="176"/>
        <v>3.4899999999999998</v>
      </c>
      <c r="O72" s="757">
        <f t="shared" si="177"/>
        <v>24</v>
      </c>
      <c r="P72" s="754">
        <v>5</v>
      </c>
      <c r="Q72" s="828">
        <v>7.41</v>
      </c>
      <c r="R72" s="826">
        <v>8.57</v>
      </c>
      <c r="S72" s="826">
        <v>12.06</v>
      </c>
      <c r="T72" s="826">
        <v>15.54</v>
      </c>
      <c r="U72" s="835">
        <f t="shared" si="168"/>
        <v>19.029999999999998</v>
      </c>
      <c r="V72" s="830">
        <f t="shared" si="168"/>
        <v>22.519999999999996</v>
      </c>
      <c r="W72" s="830">
        <f t="shared" si="168"/>
        <v>26.009999999999994</v>
      </c>
      <c r="X72" s="830">
        <f t="shared" si="168"/>
        <v>29.499999999999993</v>
      </c>
      <c r="Y72" s="830">
        <f t="shared" si="168"/>
        <v>32.989999999999995</v>
      </c>
      <c r="Z72" s="830">
        <f t="shared" si="168"/>
        <v>36.479999999999997</v>
      </c>
      <c r="AA72" s="830">
        <f t="shared" si="168"/>
        <v>39.97</v>
      </c>
      <c r="AB72" s="841">
        <f t="shared" si="168"/>
        <v>43.46</v>
      </c>
      <c r="AC72" s="811">
        <f t="shared" si="169"/>
        <v>46.95</v>
      </c>
      <c r="AD72" s="812">
        <f t="shared" si="170"/>
        <v>50.440000000000005</v>
      </c>
      <c r="AE72" s="812">
        <f t="shared" si="171"/>
        <v>53.930000000000007</v>
      </c>
      <c r="AF72" s="812">
        <f t="shared" si="172"/>
        <v>57.420000000000009</v>
      </c>
      <c r="AG72" s="812">
        <f t="shared" si="173"/>
        <v>60.910000000000011</v>
      </c>
      <c r="AH72" s="812">
        <f t="shared" si="174"/>
        <v>64.400000000000006</v>
      </c>
      <c r="AI72" s="812">
        <f t="shared" si="175"/>
        <v>67.89</v>
      </c>
      <c r="AJ72" s="813">
        <f t="shared" si="178"/>
        <v>71.38</v>
      </c>
      <c r="AK72" s="552"/>
      <c r="AL72" s="552"/>
      <c r="AM72" s="552"/>
      <c r="AN72" s="573"/>
    </row>
    <row r="73" spans="2:46" ht="15.75" thickBot="1" x14ac:dyDescent="0.3">
      <c r="B73" s="682"/>
      <c r="C73" s="561"/>
      <c r="D73" s="562" t="e">
        <f>IF(FLOOR(C67/6,1)*6&lt;&gt;6, FLOOR(C67/6,1)*6, F11)</f>
        <v>#VALUE!</v>
      </c>
      <c r="E73" s="563" t="e">
        <f>IF(CEILING(C67/6,1)*6=D73,D73,CEILING(C67/6,1)*6)</f>
        <v>#VALUE!</v>
      </c>
      <c r="F73" s="563"/>
      <c r="G73" s="564"/>
      <c r="H73" s="562" t="e">
        <f>IF(FLOOR(C68/6,1)*6&lt;&gt;6, FLOOR(C68/6,1)*6, F12)</f>
        <v>#VALUE!</v>
      </c>
      <c r="I73" s="565" t="e">
        <f>IF(CEILING(C68/6,1)*6=H73,H73,CEILING(C68/6,1)*6)</f>
        <v>#VALUE!</v>
      </c>
      <c r="J73" s="560"/>
      <c r="K73" s="678"/>
      <c r="L73" s="679"/>
      <c r="M73" s="725"/>
      <c r="N73" s="752">
        <f t="shared" si="176"/>
        <v>4.24</v>
      </c>
      <c r="O73" s="757">
        <f t="shared" si="177"/>
        <v>30</v>
      </c>
      <c r="P73" s="754">
        <v>6</v>
      </c>
      <c r="Q73" s="828">
        <v>9.1199999999999992</v>
      </c>
      <c r="R73" s="826">
        <v>10.53</v>
      </c>
      <c r="S73" s="826">
        <v>14.77</v>
      </c>
      <c r="T73" s="826">
        <v>19.010000000000002</v>
      </c>
      <c r="U73" s="840">
        <f t="shared" si="168"/>
        <v>23.25</v>
      </c>
      <c r="V73" s="830">
        <f t="shared" si="168"/>
        <v>27.490000000000002</v>
      </c>
      <c r="W73" s="830">
        <f t="shared" si="168"/>
        <v>31.730000000000004</v>
      </c>
      <c r="X73" s="830">
        <f t="shared" si="168"/>
        <v>35.970000000000006</v>
      </c>
      <c r="Y73" s="830">
        <f t="shared" si="168"/>
        <v>40.210000000000008</v>
      </c>
      <c r="Z73" s="830">
        <f t="shared" si="168"/>
        <v>44.45000000000001</v>
      </c>
      <c r="AA73" s="826">
        <f t="shared" si="168"/>
        <v>48.690000000000012</v>
      </c>
      <c r="AB73" s="841">
        <f t="shared" si="168"/>
        <v>52.930000000000014</v>
      </c>
      <c r="AC73" s="811">
        <f t="shared" si="169"/>
        <v>57.170000000000016</v>
      </c>
      <c r="AD73" s="812">
        <f t="shared" si="170"/>
        <v>61.410000000000018</v>
      </c>
      <c r="AE73" s="812">
        <f t="shared" si="171"/>
        <v>65.65000000000002</v>
      </c>
      <c r="AF73" s="812">
        <f t="shared" si="172"/>
        <v>69.890000000000015</v>
      </c>
      <c r="AG73" s="812">
        <f t="shared" si="173"/>
        <v>74.13000000000001</v>
      </c>
      <c r="AH73" s="812">
        <f t="shared" si="174"/>
        <v>78.37</v>
      </c>
      <c r="AI73" s="812">
        <f t="shared" si="175"/>
        <v>82.61</v>
      </c>
      <c r="AJ73" s="813">
        <f t="shared" si="178"/>
        <v>86.85</v>
      </c>
      <c r="AK73" s="552"/>
      <c r="AL73" s="552"/>
      <c r="AM73" s="913" t="s">
        <v>35</v>
      </c>
      <c r="AN73" s="917"/>
    </row>
    <row r="74" spans="2:46" ht="16.5" thickBot="1" x14ac:dyDescent="0.3">
      <c r="B74" s="682"/>
      <c r="C74" s="566"/>
      <c r="D74" s="567"/>
      <c r="E74" s="568"/>
      <c r="F74" s="568"/>
      <c r="G74" s="569"/>
      <c r="H74" s="567"/>
      <c r="I74" s="570"/>
      <c r="J74" s="560"/>
      <c r="K74" s="678"/>
      <c r="L74" s="679"/>
      <c r="M74" s="725"/>
      <c r="N74" s="752">
        <f t="shared" si="176"/>
        <v>4.99</v>
      </c>
      <c r="O74" s="756">
        <f t="shared" si="177"/>
        <v>36</v>
      </c>
      <c r="P74" s="578">
        <v>7</v>
      </c>
      <c r="Q74" s="828">
        <v>10.83</v>
      </c>
      <c r="R74" s="826">
        <v>12.501666666666701</v>
      </c>
      <c r="S74" s="826">
        <v>17.48</v>
      </c>
      <c r="T74" s="826">
        <v>22.47</v>
      </c>
      <c r="U74" s="840">
        <f t="shared" si="168"/>
        <v>27.46</v>
      </c>
      <c r="V74" s="826">
        <f t="shared" si="168"/>
        <v>32.450000000000003</v>
      </c>
      <c r="W74" s="830">
        <f t="shared" si="168"/>
        <v>37.440000000000005</v>
      </c>
      <c r="X74" s="830">
        <f t="shared" si="168"/>
        <v>42.430000000000007</v>
      </c>
      <c r="Y74" s="830">
        <f t="shared" si="168"/>
        <v>47.420000000000009</v>
      </c>
      <c r="Z74" s="830">
        <f t="shared" si="168"/>
        <v>52.410000000000011</v>
      </c>
      <c r="AA74" s="830">
        <f t="shared" si="168"/>
        <v>57.400000000000013</v>
      </c>
      <c r="AB74" s="841">
        <f t="shared" si="168"/>
        <v>62.390000000000015</v>
      </c>
      <c r="AC74" s="811">
        <f t="shared" si="169"/>
        <v>67.38000000000001</v>
      </c>
      <c r="AD74" s="812">
        <f t="shared" si="170"/>
        <v>72.37</v>
      </c>
      <c r="AE74" s="812">
        <f t="shared" si="171"/>
        <v>77.36</v>
      </c>
      <c r="AF74" s="812">
        <f t="shared" si="172"/>
        <v>82.35</v>
      </c>
      <c r="AG74" s="812">
        <f t="shared" si="173"/>
        <v>87.339999999999989</v>
      </c>
      <c r="AH74" s="812">
        <f t="shared" si="174"/>
        <v>92.329999999999984</v>
      </c>
      <c r="AI74" s="812">
        <f t="shared" si="175"/>
        <v>97.319999999999979</v>
      </c>
      <c r="AJ74" s="813">
        <f t="shared" si="178"/>
        <v>102.30999999999997</v>
      </c>
      <c r="AK74" s="552"/>
      <c r="AL74" s="552"/>
      <c r="AM74" s="595" t="e" cm="1">
        <f t="array" ref="AM74" xml:space="preserve"> INDEX(Q67:AJ67, 1, AM70)</f>
        <v>#VALUE!</v>
      </c>
      <c r="AN74" s="597" t="e" cm="1">
        <f t="array" ref="AN74" xml:space="preserve"> INDEX(Q67:AJ67, 1, AM70+1)</f>
        <v>#VALUE!</v>
      </c>
    </row>
    <row r="75" spans="2:46" ht="15.75" customHeight="1" thickBot="1" x14ac:dyDescent="0.3">
      <c r="B75" s="682"/>
      <c r="C75" s="678"/>
      <c r="D75" s="678"/>
      <c r="E75" s="678"/>
      <c r="F75" s="678"/>
      <c r="G75" s="678"/>
      <c r="H75" s="678"/>
      <c r="I75" s="678"/>
      <c r="J75" s="678"/>
      <c r="K75" s="678"/>
      <c r="L75" s="679"/>
      <c r="N75" s="752">
        <f t="shared" si="176"/>
        <v>5.74</v>
      </c>
      <c r="O75" s="756">
        <f t="shared" si="177"/>
        <v>42</v>
      </c>
      <c r="P75" s="578">
        <v>8</v>
      </c>
      <c r="Q75" s="828">
        <v>12.545</v>
      </c>
      <c r="R75" s="826">
        <v>14.46</v>
      </c>
      <c r="S75" s="826">
        <v>20.190000000000001</v>
      </c>
      <c r="T75" s="826">
        <v>25.93</v>
      </c>
      <c r="U75" s="837">
        <f t="shared" ref="U75:U85" si="179">T75+$N75</f>
        <v>31.67</v>
      </c>
      <c r="V75" s="838">
        <f t="shared" ref="V75:V79" si="180">U75+$N75</f>
        <v>37.410000000000004</v>
      </c>
      <c r="W75" s="838">
        <f t="shared" ref="W75:W85" si="181">V75+$N75</f>
        <v>43.150000000000006</v>
      </c>
      <c r="X75" s="838">
        <f t="shared" ref="X75:X85" si="182">W75+$N75</f>
        <v>48.890000000000008</v>
      </c>
      <c r="Y75" s="838">
        <f t="shared" ref="Y75:Y85" si="183">X75+$N75</f>
        <v>54.63000000000001</v>
      </c>
      <c r="Z75" s="838">
        <f t="shared" ref="Z75:Z85" si="184">Y75+$N75</f>
        <v>60.370000000000012</v>
      </c>
      <c r="AA75" s="838">
        <f t="shared" ref="AA75:AA85" si="185">Z75+$N75</f>
        <v>66.110000000000014</v>
      </c>
      <c r="AB75" s="839">
        <f t="shared" ref="AB75:AB80" si="186">AA75+$N75</f>
        <v>71.850000000000009</v>
      </c>
      <c r="AC75" s="807">
        <f t="shared" si="169"/>
        <v>77.59</v>
      </c>
      <c r="AD75" s="808">
        <f t="shared" si="170"/>
        <v>83.33</v>
      </c>
      <c r="AE75" s="808">
        <f t="shared" si="171"/>
        <v>89.07</v>
      </c>
      <c r="AF75" s="808">
        <f t="shared" si="172"/>
        <v>94.809999999999988</v>
      </c>
      <c r="AG75" s="808">
        <f t="shared" si="173"/>
        <v>100.54999999999998</v>
      </c>
      <c r="AH75" s="808">
        <f t="shared" si="174"/>
        <v>106.28999999999998</v>
      </c>
      <c r="AI75" s="808">
        <f t="shared" si="175"/>
        <v>112.02999999999997</v>
      </c>
      <c r="AJ75" s="809">
        <f t="shared" si="178"/>
        <v>117.76999999999997</v>
      </c>
      <c r="AK75" s="915" t="s">
        <v>36</v>
      </c>
      <c r="AL75" s="588" t="e" cm="1">
        <f t="array" ref="AL75" xml:space="preserve"> INDEX(O69:O88, AM71, 1)</f>
        <v>#VALUE!</v>
      </c>
      <c r="AM75" s="582" t="e" cm="1">
        <f t="array" ref="AM75" xml:space="preserve"> INDEX(Q69:AJ88, AM71, AM70)</f>
        <v>#VALUE!</v>
      </c>
      <c r="AN75" s="592" t="e" cm="1">
        <f t="array" ref="AN75" xml:space="preserve"> INDEX(Q69:AJ88, AM71, AM70+1)</f>
        <v>#VALUE!</v>
      </c>
      <c r="AT75" s="683"/>
    </row>
    <row r="76" spans="2:46" ht="16.5" customHeight="1" thickBot="1" x14ac:dyDescent="0.3">
      <c r="B76" s="684" t="s">
        <v>71</v>
      </c>
      <c r="C76" s="678"/>
      <c r="E76" s="950" t="s">
        <v>41</v>
      </c>
      <c r="F76" s="951"/>
      <c r="G76" s="952"/>
      <c r="H76" s="678"/>
      <c r="I76" s="678"/>
      <c r="J76" s="678"/>
      <c r="K76" s="678"/>
      <c r="L76" s="679"/>
      <c r="N76" s="752">
        <f t="shared" si="176"/>
        <v>6.49</v>
      </c>
      <c r="O76" s="756">
        <f t="shared" si="177"/>
        <v>48</v>
      </c>
      <c r="P76" s="578">
        <v>9</v>
      </c>
      <c r="Q76" s="828">
        <v>14.257999999999999</v>
      </c>
      <c r="R76" s="826">
        <v>16.420000000000002</v>
      </c>
      <c r="S76" s="826">
        <v>22.91</v>
      </c>
      <c r="T76" s="826">
        <v>29.39</v>
      </c>
      <c r="U76" s="840">
        <f t="shared" si="179"/>
        <v>35.880000000000003</v>
      </c>
      <c r="V76" s="830">
        <f t="shared" si="180"/>
        <v>42.370000000000005</v>
      </c>
      <c r="W76" s="830">
        <f t="shared" si="181"/>
        <v>48.860000000000007</v>
      </c>
      <c r="X76" s="826">
        <f t="shared" si="182"/>
        <v>55.350000000000009</v>
      </c>
      <c r="Y76" s="830">
        <f t="shared" si="183"/>
        <v>61.840000000000011</v>
      </c>
      <c r="Z76" s="826">
        <f t="shared" si="184"/>
        <v>68.330000000000013</v>
      </c>
      <c r="AA76" s="830">
        <f t="shared" si="185"/>
        <v>74.820000000000007</v>
      </c>
      <c r="AB76" s="841">
        <f t="shared" si="186"/>
        <v>81.31</v>
      </c>
      <c r="AC76" s="811">
        <f t="shared" si="169"/>
        <v>87.8</v>
      </c>
      <c r="AD76" s="812">
        <f t="shared" si="170"/>
        <v>94.289999999999992</v>
      </c>
      <c r="AE76" s="812">
        <f t="shared" si="171"/>
        <v>100.77999999999999</v>
      </c>
      <c r="AF76" s="812">
        <f t="shared" si="172"/>
        <v>107.26999999999998</v>
      </c>
      <c r="AG76" s="812">
        <f t="shared" si="173"/>
        <v>113.75999999999998</v>
      </c>
      <c r="AH76" s="812">
        <f t="shared" si="174"/>
        <v>120.24999999999997</v>
      </c>
      <c r="AI76" s="812">
        <f t="shared" si="175"/>
        <v>126.73999999999997</v>
      </c>
      <c r="AJ76" s="813">
        <f t="shared" si="178"/>
        <v>133.22999999999996</v>
      </c>
      <c r="AK76" s="916"/>
      <c r="AL76" s="588" t="e" cm="1">
        <f t="array" ref="AL76" xml:space="preserve"> INDEX(O69:O88, AM71+1, 1)</f>
        <v>#VALUE!</v>
      </c>
      <c r="AM76" s="582" t="e" cm="1">
        <f t="array" ref="AM76" xml:space="preserve"> INDEX(Q69:AJ88, AM71+1, AM70)</f>
        <v>#VALUE!</v>
      </c>
      <c r="AN76" s="592" t="e" cm="1">
        <f t="array" ref="AN76" xml:space="preserve"> INDEX(Q69:AJ88, AM71+1, AM70+1)</f>
        <v>#VALUE!</v>
      </c>
    </row>
    <row r="77" spans="2:46" ht="16.5" thickBot="1" x14ac:dyDescent="0.3">
      <c r="B77" s="682"/>
      <c r="C77" s="678"/>
      <c r="D77" s="685"/>
      <c r="E77" s="686" t="e">
        <f>D73</f>
        <v>#VALUE!</v>
      </c>
      <c r="F77" s="686" t="e">
        <f>C67</f>
        <v>#VALUE!</v>
      </c>
      <c r="G77" s="686" t="e">
        <f>E73</f>
        <v>#VALUE!</v>
      </c>
      <c r="H77" s="678"/>
      <c r="I77" s="678"/>
      <c r="J77" s="678"/>
      <c r="K77" s="678"/>
      <c r="L77" s="679"/>
      <c r="N77" s="752">
        <f t="shared" si="176"/>
        <v>7.24</v>
      </c>
      <c r="O77" s="756">
        <f t="shared" si="177"/>
        <v>54</v>
      </c>
      <c r="P77" s="578">
        <v>10</v>
      </c>
      <c r="Q77" s="828">
        <v>15.98</v>
      </c>
      <c r="R77" s="826">
        <v>18.39</v>
      </c>
      <c r="S77" s="826">
        <v>25.62</v>
      </c>
      <c r="T77" s="826">
        <v>32.854285714285702</v>
      </c>
      <c r="U77" s="840">
        <f t="shared" si="179"/>
        <v>40.094285714285704</v>
      </c>
      <c r="V77" s="830">
        <f t="shared" si="180"/>
        <v>47.334285714285706</v>
      </c>
      <c r="W77" s="830">
        <f t="shared" si="181"/>
        <v>54.574285714285708</v>
      </c>
      <c r="X77" s="830">
        <f t="shared" si="182"/>
        <v>61.81428571428571</v>
      </c>
      <c r="Y77" s="830">
        <f t="shared" si="183"/>
        <v>69.054285714285712</v>
      </c>
      <c r="Z77" s="830">
        <f t="shared" si="184"/>
        <v>76.294285714285706</v>
      </c>
      <c r="AA77" s="830">
        <f t="shared" si="185"/>
        <v>83.534285714285701</v>
      </c>
      <c r="AB77" s="841">
        <f t="shared" si="186"/>
        <v>90.774285714285696</v>
      </c>
      <c r="AC77" s="811">
        <f t="shared" si="169"/>
        <v>98.014285714285691</v>
      </c>
      <c r="AD77" s="812">
        <f t="shared" si="170"/>
        <v>105.25428571428569</v>
      </c>
      <c r="AE77" s="812">
        <f t="shared" si="171"/>
        <v>112.49428571428568</v>
      </c>
      <c r="AF77" s="812">
        <f t="shared" si="172"/>
        <v>119.73428571428568</v>
      </c>
      <c r="AG77" s="812">
        <f t="shared" si="173"/>
        <v>126.97428571428567</v>
      </c>
      <c r="AH77" s="812">
        <f t="shared" si="174"/>
        <v>134.21428571428567</v>
      </c>
      <c r="AI77" s="812">
        <f t="shared" si="175"/>
        <v>141.45428571428567</v>
      </c>
      <c r="AJ77" s="813">
        <f t="shared" si="178"/>
        <v>148.69428571428568</v>
      </c>
      <c r="AK77" s="552"/>
      <c r="AL77" s="552"/>
      <c r="AM77" s="552"/>
      <c r="AN77" s="573"/>
    </row>
    <row r="78" spans="2:46" ht="16.5" thickBot="1" x14ac:dyDescent="0.3">
      <c r="B78" s="682"/>
      <c r="C78" s="953" t="s">
        <v>42</v>
      </c>
      <c r="D78" s="686" t="e">
        <f>H73</f>
        <v>#VALUE!</v>
      </c>
      <c r="E78" s="687" t="e">
        <f>INDEX(E21:AB32, MATCH(D78,C21:C32,0),MATCH(E77,E20:AB20,0))</f>
        <v>#VALUE!</v>
      </c>
      <c r="F78" s="687" t="e">
        <f>IF(E77&lt;&gt;G77,(((G78-E78)/((G77-E77)))*(F77-E77))+E78,E78)</f>
        <v>#VALUE!</v>
      </c>
      <c r="G78" s="687" t="e">
        <f>INDEX(E21:AB32, MATCH(D78,C21:C32,0),MATCH(G77,E20:AB20,0))</f>
        <v>#VALUE!</v>
      </c>
      <c r="H78" s="678"/>
      <c r="I78" s="678"/>
      <c r="J78" s="678"/>
      <c r="K78" s="678"/>
      <c r="L78" s="679"/>
      <c r="N78" s="752">
        <f t="shared" si="176"/>
        <v>7.9799999999999995</v>
      </c>
      <c r="O78" s="756">
        <f t="shared" si="177"/>
        <v>60</v>
      </c>
      <c r="P78" s="578">
        <v>11</v>
      </c>
      <c r="Q78" s="828">
        <v>17.690000000000001</v>
      </c>
      <c r="R78" s="826">
        <v>20.350238095238101</v>
      </c>
      <c r="S78" s="826">
        <v>28.33</v>
      </c>
      <c r="T78" s="826">
        <v>36.31</v>
      </c>
      <c r="U78" s="840">
        <f t="shared" si="179"/>
        <v>44.29</v>
      </c>
      <c r="V78" s="830">
        <f t="shared" si="180"/>
        <v>52.269999999999996</v>
      </c>
      <c r="W78" s="830">
        <f t="shared" si="181"/>
        <v>60.249999999999993</v>
      </c>
      <c r="X78" s="830">
        <f t="shared" si="182"/>
        <v>68.22999999999999</v>
      </c>
      <c r="Y78" s="826">
        <f t="shared" si="183"/>
        <v>76.209999999999994</v>
      </c>
      <c r="Z78" s="830">
        <f t="shared" si="184"/>
        <v>84.19</v>
      </c>
      <c r="AA78" s="830">
        <f t="shared" si="185"/>
        <v>92.17</v>
      </c>
      <c r="AB78" s="841">
        <f t="shared" si="186"/>
        <v>100.15</v>
      </c>
      <c r="AC78" s="811">
        <f t="shared" si="169"/>
        <v>108.13000000000001</v>
      </c>
      <c r="AD78" s="812">
        <f t="shared" si="170"/>
        <v>116.11000000000001</v>
      </c>
      <c r="AE78" s="812">
        <f t="shared" si="171"/>
        <v>124.09000000000002</v>
      </c>
      <c r="AF78" s="812">
        <f t="shared" si="172"/>
        <v>132.07000000000002</v>
      </c>
      <c r="AG78" s="812">
        <f t="shared" si="173"/>
        <v>140.05000000000001</v>
      </c>
      <c r="AH78" s="812">
        <f t="shared" si="174"/>
        <v>148.03</v>
      </c>
      <c r="AI78" s="812">
        <f t="shared" si="175"/>
        <v>156.01</v>
      </c>
      <c r="AJ78" s="813">
        <f t="shared" si="178"/>
        <v>163.98999999999998</v>
      </c>
      <c r="AK78" s="552"/>
      <c r="AL78" s="552"/>
      <c r="AM78" s="588" t="e">
        <f xml:space="preserve"> AM74</f>
        <v>#VALUE!</v>
      </c>
      <c r="AN78" s="594" t="e">
        <f xml:space="preserve"> AN74</f>
        <v>#VALUE!</v>
      </c>
    </row>
    <row r="79" spans="2:46" ht="16.5" thickBot="1" x14ac:dyDescent="0.3">
      <c r="B79" s="682"/>
      <c r="C79" s="954"/>
      <c r="D79" s="686" t="e">
        <f>C68</f>
        <v>#VALUE!</v>
      </c>
      <c r="E79" s="687" t="e">
        <f>IF(D78&lt;&gt;D80, (((E80-E78)/((D80-D78)))*(D79-D78))+E78, E78)</f>
        <v>#VALUE!</v>
      </c>
      <c r="F79" s="687" t="e">
        <f>IF(E77&lt;&gt;G77,(((G79-E79)/((G78-E78)))*(F78-E78))+E79,E79)</f>
        <v>#VALUE!</v>
      </c>
      <c r="G79" s="687" t="e">
        <f>IF(D78&lt;&gt;D80,(((G80-G78)/((D80-D78)))*(D79-D78))+G78,G78)</f>
        <v>#VALUE!</v>
      </c>
      <c r="H79" s="678"/>
      <c r="I79" s="678"/>
      <c r="J79" s="678"/>
      <c r="K79" s="678"/>
      <c r="L79" s="679"/>
      <c r="N79" s="752">
        <f t="shared" si="176"/>
        <v>8.74</v>
      </c>
      <c r="O79" s="756">
        <f t="shared" si="177"/>
        <v>66</v>
      </c>
      <c r="P79" s="578">
        <v>12</v>
      </c>
      <c r="Q79" s="828">
        <v>19.396999999999998</v>
      </c>
      <c r="R79" s="826">
        <v>22.31</v>
      </c>
      <c r="S79" s="826">
        <v>31.04</v>
      </c>
      <c r="T79" s="826">
        <v>39.78</v>
      </c>
      <c r="U79" s="840">
        <f t="shared" si="179"/>
        <v>48.52</v>
      </c>
      <c r="V79" s="830">
        <f t="shared" si="180"/>
        <v>57.260000000000005</v>
      </c>
      <c r="W79" s="830">
        <f t="shared" si="181"/>
        <v>66</v>
      </c>
      <c r="X79" s="830">
        <f t="shared" si="182"/>
        <v>74.739999999999995</v>
      </c>
      <c r="Y79" s="830">
        <f t="shared" si="183"/>
        <v>83.47999999999999</v>
      </c>
      <c r="Z79" s="830">
        <f t="shared" si="184"/>
        <v>92.219999999999985</v>
      </c>
      <c r="AA79" s="830">
        <f t="shared" si="185"/>
        <v>100.95999999999998</v>
      </c>
      <c r="AB79" s="841">
        <f t="shared" si="186"/>
        <v>109.69999999999997</v>
      </c>
      <c r="AC79" s="811">
        <f t="shared" si="169"/>
        <v>118.43999999999997</v>
      </c>
      <c r="AD79" s="812">
        <f t="shared" si="170"/>
        <v>127.17999999999996</v>
      </c>
      <c r="AE79" s="812">
        <f t="shared" si="171"/>
        <v>135.91999999999996</v>
      </c>
      <c r="AF79" s="812">
        <f t="shared" si="172"/>
        <v>144.65999999999997</v>
      </c>
      <c r="AG79" s="812">
        <f t="shared" si="173"/>
        <v>153.39999999999998</v>
      </c>
      <c r="AH79" s="812">
        <f t="shared" si="174"/>
        <v>162.13999999999999</v>
      </c>
      <c r="AI79" s="812">
        <f t="shared" si="175"/>
        <v>170.88</v>
      </c>
      <c r="AJ79" s="813">
        <f t="shared" si="178"/>
        <v>179.62</v>
      </c>
      <c r="AK79" s="552"/>
      <c r="AL79" s="589" t="e">
        <f xml:space="preserve"> AL75&amp;" to "&amp;AL76</f>
        <v>#VALUE!</v>
      </c>
      <c r="AM79" s="582" t="e">
        <f xml:space="preserve"> _xlfn.FORECAST.LINEAR(AL71, AM75:AM76, AL75:AL76)</f>
        <v>#VALUE!</v>
      </c>
      <c r="AN79" s="592" t="e">
        <f xml:space="preserve"> _xlfn.FORECAST.LINEAR(AL71, AN75:AN76, AL75:AL76)</f>
        <v>#VALUE!</v>
      </c>
      <c r="AO79" s="574"/>
      <c r="AP79" s="598"/>
      <c r="AQ79" s="574"/>
      <c r="AR79" s="574"/>
    </row>
    <row r="80" spans="2:46" ht="16.5" thickBot="1" x14ac:dyDescent="0.3">
      <c r="B80" s="682"/>
      <c r="C80" s="955"/>
      <c r="D80" s="686" t="e">
        <f>I73</f>
        <v>#VALUE!</v>
      </c>
      <c r="E80" s="687" t="e">
        <f>INDEX(E21:AB32, MATCH(D80,C21:C32,0),MATCH(E77,E20:AB20,0))</f>
        <v>#VALUE!</v>
      </c>
      <c r="F80" s="687" t="e">
        <f>IF(E77&lt;&gt;G77,(((G80-E80)/((G77-E77)))*(F77-E77))+E80,E80)</f>
        <v>#VALUE!</v>
      </c>
      <c r="G80" s="687" t="e">
        <f>INDEX(G22:AB32, MATCH(D80,C22:C32,0),MATCH(G77,G20:AB20,0))</f>
        <v>#VALUE!</v>
      </c>
      <c r="H80" s="678"/>
      <c r="I80" s="678"/>
      <c r="J80" s="678"/>
      <c r="K80" s="678"/>
      <c r="L80" s="679"/>
      <c r="N80" s="752">
        <f t="shared" si="176"/>
        <v>9.48</v>
      </c>
      <c r="O80" s="756">
        <f t="shared" si="177"/>
        <v>72</v>
      </c>
      <c r="P80" s="578">
        <v>13</v>
      </c>
      <c r="Q80" s="828">
        <v>21.12</v>
      </c>
      <c r="R80" s="826">
        <v>24.28</v>
      </c>
      <c r="S80" s="826">
        <v>33.7585714285714</v>
      </c>
      <c r="T80" s="826">
        <v>43.24</v>
      </c>
      <c r="U80" s="842">
        <f t="shared" si="179"/>
        <v>52.72</v>
      </c>
      <c r="V80" s="843">
        <f>U80+$N80</f>
        <v>62.2</v>
      </c>
      <c r="W80" s="843">
        <f t="shared" si="181"/>
        <v>71.680000000000007</v>
      </c>
      <c r="X80" s="843">
        <f t="shared" si="182"/>
        <v>81.160000000000011</v>
      </c>
      <c r="Y80" s="843">
        <f t="shared" si="183"/>
        <v>90.640000000000015</v>
      </c>
      <c r="Z80" s="843">
        <f t="shared" si="184"/>
        <v>100.12000000000002</v>
      </c>
      <c r="AA80" s="843">
        <f t="shared" si="185"/>
        <v>109.60000000000002</v>
      </c>
      <c r="AB80" s="836">
        <f t="shared" si="186"/>
        <v>119.08000000000003</v>
      </c>
      <c r="AC80" s="807">
        <f t="shared" si="169"/>
        <v>128.56000000000003</v>
      </c>
      <c r="AD80" s="808">
        <f>AC80+$N80</f>
        <v>138.04000000000002</v>
      </c>
      <c r="AE80" s="808">
        <f t="shared" si="171"/>
        <v>147.52000000000001</v>
      </c>
      <c r="AF80" s="808">
        <f t="shared" si="172"/>
        <v>157</v>
      </c>
      <c r="AG80" s="808">
        <f t="shared" si="173"/>
        <v>166.48</v>
      </c>
      <c r="AH80" s="808">
        <f t="shared" si="174"/>
        <v>175.95999999999998</v>
      </c>
      <c r="AI80" s="808">
        <f t="shared" si="175"/>
        <v>185.43999999999997</v>
      </c>
      <c r="AJ80" s="809">
        <f t="shared" si="178"/>
        <v>194.91999999999996</v>
      </c>
      <c r="AK80" s="552"/>
      <c r="AL80" s="552"/>
      <c r="AM80" s="552"/>
      <c r="AN80" s="573"/>
      <c r="AO80" s="574"/>
      <c r="AP80" s="574"/>
      <c r="AQ80" s="574"/>
      <c r="AR80" s="574"/>
    </row>
    <row r="81" spans="2:44" ht="15.75" thickBot="1" x14ac:dyDescent="0.3">
      <c r="B81" s="682"/>
      <c r="C81" s="678"/>
      <c r="D81" s="678"/>
      <c r="E81" s="678"/>
      <c r="F81" s="678"/>
      <c r="G81" s="678"/>
      <c r="H81" s="678"/>
      <c r="I81" s="678"/>
      <c r="J81" s="678"/>
      <c r="K81" s="678"/>
      <c r="L81" s="679"/>
      <c r="N81" s="752">
        <f t="shared" si="176"/>
        <v>10.24</v>
      </c>
      <c r="O81" s="756">
        <f t="shared" si="177"/>
        <v>78</v>
      </c>
      <c r="P81" s="578">
        <v>14</v>
      </c>
      <c r="Q81" s="810">
        <v>22.843</v>
      </c>
      <c r="R81" s="806">
        <v>26.240848484848499</v>
      </c>
      <c r="S81" s="806">
        <v>36.471428571428604</v>
      </c>
      <c r="T81" s="806">
        <v>46.702857142857098</v>
      </c>
      <c r="U81" s="832">
        <f t="shared" si="179"/>
        <v>56.9428571428571</v>
      </c>
      <c r="V81" s="833">
        <f t="shared" ref="V81:V88" si="187">U81+$N81</f>
        <v>67.182857142857102</v>
      </c>
      <c r="W81" s="833">
        <f t="shared" si="181"/>
        <v>77.422857142857097</v>
      </c>
      <c r="X81" s="833">
        <f t="shared" si="182"/>
        <v>87.662857142857092</v>
      </c>
      <c r="Y81" s="833">
        <f t="shared" si="183"/>
        <v>97.902857142857087</v>
      </c>
      <c r="Z81" s="833">
        <f t="shared" si="184"/>
        <v>108.14285714285708</v>
      </c>
      <c r="AA81" s="833">
        <f t="shared" si="185"/>
        <v>118.38285714285708</v>
      </c>
      <c r="AB81" s="834">
        <f>AA81+$N81</f>
        <v>128.62285714285707</v>
      </c>
      <c r="AC81" s="807">
        <f t="shared" si="169"/>
        <v>138.86285714285708</v>
      </c>
      <c r="AD81" s="808">
        <f t="shared" ref="AD81:AD88" si="188">AC81+$N81</f>
        <v>149.10285714285709</v>
      </c>
      <c r="AE81" s="808">
        <f t="shared" si="171"/>
        <v>159.3428571428571</v>
      </c>
      <c r="AF81" s="808">
        <f t="shared" si="172"/>
        <v>169.58285714285711</v>
      </c>
      <c r="AG81" s="808">
        <f t="shared" si="173"/>
        <v>179.82285714285712</v>
      </c>
      <c r="AH81" s="808">
        <f t="shared" si="174"/>
        <v>190.06285714285713</v>
      </c>
      <c r="AI81" s="808">
        <f t="shared" si="175"/>
        <v>200.30285714285714</v>
      </c>
      <c r="AJ81" s="809">
        <f>AI81+$N81</f>
        <v>210.54285714285714</v>
      </c>
      <c r="AK81" s="552"/>
      <c r="AL81" s="913" t="s">
        <v>314</v>
      </c>
      <c r="AM81" s="914"/>
      <c r="AN81" s="592" t="e">
        <f xml:space="preserve"> _xlfn.FORECAST.LINEAR(AL70, AM79:AN79, AM78:AN78)</f>
        <v>#VALUE!</v>
      </c>
      <c r="AO81" s="574"/>
      <c r="AP81" s="574"/>
      <c r="AQ81" s="574"/>
      <c r="AR81" s="574"/>
    </row>
    <row r="82" spans="2:44" ht="15.75" thickBot="1" x14ac:dyDescent="0.3">
      <c r="B82" s="682"/>
      <c r="C82" s="678"/>
      <c r="D82" s="678"/>
      <c r="E82" s="678"/>
      <c r="F82" s="678"/>
      <c r="G82" s="678"/>
      <c r="H82" s="678"/>
      <c r="I82" s="678"/>
      <c r="J82" s="678"/>
      <c r="K82" s="678"/>
      <c r="L82" s="679"/>
      <c r="N82" s="752">
        <f t="shared" si="176"/>
        <v>10.99</v>
      </c>
      <c r="O82" s="756">
        <f t="shared" si="177"/>
        <v>84</v>
      </c>
      <c r="P82" s="578">
        <v>15</v>
      </c>
      <c r="Q82" s="810">
        <v>24.565999999999999</v>
      </c>
      <c r="R82" s="806">
        <v>28.204294372294299</v>
      </c>
      <c r="S82" s="806">
        <v>39.1842857142857</v>
      </c>
      <c r="T82" s="806">
        <v>50.164999999999999</v>
      </c>
      <c r="U82" s="811">
        <f t="shared" si="179"/>
        <v>61.155000000000001</v>
      </c>
      <c r="V82" s="812">
        <f t="shared" si="187"/>
        <v>72.144999999999996</v>
      </c>
      <c r="W82" s="812">
        <f t="shared" si="181"/>
        <v>83.134999999999991</v>
      </c>
      <c r="X82" s="812">
        <f t="shared" si="182"/>
        <v>94.124999999999986</v>
      </c>
      <c r="Y82" s="812">
        <f t="shared" si="183"/>
        <v>105.11499999999998</v>
      </c>
      <c r="Z82" s="812">
        <f t="shared" si="184"/>
        <v>116.10499999999998</v>
      </c>
      <c r="AA82" s="812">
        <f t="shared" si="185"/>
        <v>127.09499999999997</v>
      </c>
      <c r="AB82" s="813">
        <f t="shared" ref="AB82:AB88" si="189">AA82+$N82</f>
        <v>138.08499999999998</v>
      </c>
      <c r="AC82" s="811">
        <f t="shared" si="169"/>
        <v>149.07499999999999</v>
      </c>
      <c r="AD82" s="812">
        <f t="shared" si="188"/>
        <v>160.065</v>
      </c>
      <c r="AE82" s="812">
        <f t="shared" si="171"/>
        <v>171.05500000000001</v>
      </c>
      <c r="AF82" s="812">
        <f t="shared" si="172"/>
        <v>182.04500000000002</v>
      </c>
      <c r="AG82" s="812">
        <f t="shared" si="173"/>
        <v>193.03500000000003</v>
      </c>
      <c r="AH82" s="812">
        <f t="shared" si="174"/>
        <v>204.02500000000003</v>
      </c>
      <c r="AI82" s="812">
        <f t="shared" si="175"/>
        <v>215.01500000000004</v>
      </c>
      <c r="AJ82" s="813">
        <f t="shared" ref="AJ82:AJ88" si="190">AI82+$N82</f>
        <v>226.00500000000005</v>
      </c>
      <c r="AK82" s="552"/>
      <c r="AL82" s="913" t="s">
        <v>315</v>
      </c>
      <c r="AM82" s="914"/>
      <c r="AN82" s="582" t="e">
        <f xml:space="preserve"> AN81*C11</f>
        <v>#VALUE!</v>
      </c>
      <c r="AO82" s="574"/>
      <c r="AP82" s="574"/>
      <c r="AQ82" s="574"/>
      <c r="AR82" s="599"/>
    </row>
    <row r="83" spans="2:44" ht="15.75" thickBot="1" x14ac:dyDescent="0.3">
      <c r="B83" s="682"/>
      <c r="C83" s="678"/>
      <c r="D83" s="678"/>
      <c r="E83" s="678"/>
      <c r="F83" s="678"/>
      <c r="G83" s="678"/>
      <c r="H83" s="678"/>
      <c r="I83" s="678"/>
      <c r="J83" s="678"/>
      <c r="K83" s="678"/>
      <c r="L83" s="679"/>
      <c r="N83" s="752">
        <f t="shared" si="176"/>
        <v>11.73</v>
      </c>
      <c r="O83" s="756">
        <f t="shared" si="177"/>
        <v>90</v>
      </c>
      <c r="P83" s="578">
        <v>16</v>
      </c>
      <c r="Q83" s="810">
        <v>26.289000000000001</v>
      </c>
      <c r="R83" s="806">
        <v>30.167740259740199</v>
      </c>
      <c r="S83" s="806">
        <v>41.897142857142903</v>
      </c>
      <c r="T83" s="806">
        <v>53.6271428571428</v>
      </c>
      <c r="U83" s="814">
        <f t="shared" si="179"/>
        <v>65.357142857142804</v>
      </c>
      <c r="V83" s="812">
        <f t="shared" si="187"/>
        <v>77.087142857142808</v>
      </c>
      <c r="W83" s="812">
        <f t="shared" si="181"/>
        <v>88.817142857142812</v>
      </c>
      <c r="X83" s="812">
        <f t="shared" si="182"/>
        <v>100.54714285714282</v>
      </c>
      <c r="Y83" s="812">
        <f t="shared" si="183"/>
        <v>112.27714285714282</v>
      </c>
      <c r="Z83" s="812">
        <f t="shared" si="184"/>
        <v>124.00714285714282</v>
      </c>
      <c r="AA83" s="812">
        <f t="shared" si="185"/>
        <v>135.73714285714283</v>
      </c>
      <c r="AB83" s="813">
        <f t="shared" si="189"/>
        <v>147.46714285714282</v>
      </c>
      <c r="AC83" s="811">
        <f t="shared" si="169"/>
        <v>159.19714285714281</v>
      </c>
      <c r="AD83" s="812">
        <f t="shared" si="188"/>
        <v>170.9271428571428</v>
      </c>
      <c r="AE83" s="812">
        <f t="shared" si="171"/>
        <v>182.65714285714279</v>
      </c>
      <c r="AF83" s="812">
        <f t="shared" si="172"/>
        <v>194.38714285714278</v>
      </c>
      <c r="AG83" s="812">
        <f t="shared" si="173"/>
        <v>206.11714285714277</v>
      </c>
      <c r="AH83" s="812">
        <f t="shared" si="174"/>
        <v>217.84714285714276</v>
      </c>
      <c r="AI83" s="812">
        <f t="shared" si="175"/>
        <v>229.57714285714275</v>
      </c>
      <c r="AJ83" s="813">
        <f t="shared" si="190"/>
        <v>241.30714285714274</v>
      </c>
      <c r="AK83" s="552"/>
      <c r="AL83" s="552"/>
      <c r="AM83" s="552"/>
      <c r="AN83" s="573"/>
      <c r="AO83" s="574"/>
      <c r="AP83" s="574"/>
      <c r="AQ83" s="574"/>
      <c r="AR83" s="599"/>
    </row>
    <row r="84" spans="2:44" ht="21.75" thickBot="1" x14ac:dyDescent="0.3">
      <c r="B84" s="684" t="s">
        <v>80</v>
      </c>
      <c r="C84" s="678"/>
      <c r="D84" s="678"/>
      <c r="E84" s="678"/>
      <c r="F84" s="678"/>
      <c r="G84" s="678"/>
      <c r="H84" s="678"/>
      <c r="I84" s="678"/>
      <c r="J84" s="678"/>
      <c r="K84" s="678"/>
      <c r="L84" s="679"/>
      <c r="N84" s="752">
        <f t="shared" si="176"/>
        <v>12.48</v>
      </c>
      <c r="O84" s="756">
        <f t="shared" si="177"/>
        <v>96</v>
      </c>
      <c r="P84" s="578">
        <v>17</v>
      </c>
      <c r="Q84" s="810">
        <v>28.012</v>
      </c>
      <c r="R84" s="806">
        <v>32.131186147186099</v>
      </c>
      <c r="S84" s="806">
        <v>44.61</v>
      </c>
      <c r="T84" s="806">
        <v>57.089285714285701</v>
      </c>
      <c r="U84" s="811">
        <f t="shared" si="179"/>
        <v>69.569285714285698</v>
      </c>
      <c r="V84" s="812">
        <f t="shared" si="187"/>
        <v>82.049285714285702</v>
      </c>
      <c r="W84" s="812">
        <f t="shared" si="181"/>
        <v>94.529285714285706</v>
      </c>
      <c r="X84" s="812">
        <f t="shared" si="182"/>
        <v>107.00928571428571</v>
      </c>
      <c r="Y84" s="812">
        <f t="shared" si="183"/>
        <v>119.48928571428571</v>
      </c>
      <c r="Z84" s="812">
        <f t="shared" si="184"/>
        <v>131.96928571428572</v>
      </c>
      <c r="AA84" s="812">
        <f t="shared" si="185"/>
        <v>144.44928571428571</v>
      </c>
      <c r="AB84" s="813">
        <f t="shared" si="189"/>
        <v>156.9292857142857</v>
      </c>
      <c r="AC84" s="811">
        <f t="shared" si="169"/>
        <v>169.40928571428569</v>
      </c>
      <c r="AD84" s="812">
        <f t="shared" si="188"/>
        <v>181.88928571428568</v>
      </c>
      <c r="AE84" s="812">
        <f t="shared" si="171"/>
        <v>194.36928571428567</v>
      </c>
      <c r="AF84" s="812">
        <f t="shared" si="172"/>
        <v>206.84928571428566</v>
      </c>
      <c r="AG84" s="812">
        <f t="shared" si="173"/>
        <v>219.32928571428565</v>
      </c>
      <c r="AH84" s="812">
        <f t="shared" si="174"/>
        <v>231.80928571428564</v>
      </c>
      <c r="AI84" s="812">
        <f t="shared" si="175"/>
        <v>244.28928571428563</v>
      </c>
      <c r="AJ84" s="813">
        <f t="shared" si="190"/>
        <v>256.76928571428562</v>
      </c>
      <c r="AK84" s="552"/>
      <c r="AL84" s="552"/>
      <c r="AM84" s="552"/>
      <c r="AN84" s="573"/>
      <c r="AO84" s="574"/>
      <c r="AP84" s="574"/>
      <c r="AQ84" s="574"/>
      <c r="AR84" s="599"/>
    </row>
    <row r="85" spans="2:44" ht="19.5" thickBot="1" x14ac:dyDescent="0.3">
      <c r="B85" s="688" t="s">
        <v>46</v>
      </c>
      <c r="C85" s="678"/>
      <c r="D85" s="689" t="e">
        <f>F79*$C$11</f>
        <v>#VALUE!</v>
      </c>
      <c r="E85" s="690" t="s">
        <v>45</v>
      </c>
      <c r="F85" s="610" t="s">
        <v>303</v>
      </c>
      <c r="G85" s="678"/>
      <c r="H85" s="678"/>
      <c r="I85" s="678"/>
      <c r="J85" s="678"/>
      <c r="K85" s="678"/>
      <c r="L85" s="679"/>
      <c r="N85" s="752">
        <f t="shared" si="176"/>
        <v>13.23</v>
      </c>
      <c r="O85" s="756">
        <f t="shared" si="177"/>
        <v>102</v>
      </c>
      <c r="P85" s="578">
        <v>18</v>
      </c>
      <c r="Q85" s="810">
        <v>29.734999999999999</v>
      </c>
      <c r="R85" s="806">
        <v>34.094632034631999</v>
      </c>
      <c r="S85" s="806">
        <v>47.322857142857103</v>
      </c>
      <c r="T85" s="806">
        <v>60.551428571428502</v>
      </c>
      <c r="U85" s="811">
        <f t="shared" si="179"/>
        <v>73.781428571428506</v>
      </c>
      <c r="V85" s="806">
        <f t="shared" si="187"/>
        <v>87.01142857142851</v>
      </c>
      <c r="W85" s="812">
        <f t="shared" si="181"/>
        <v>100.24142857142851</v>
      </c>
      <c r="X85" s="812">
        <f t="shared" si="182"/>
        <v>113.47142857142852</v>
      </c>
      <c r="Y85" s="812">
        <f t="shared" si="183"/>
        <v>126.70142857142852</v>
      </c>
      <c r="Z85" s="812">
        <f t="shared" si="184"/>
        <v>139.93142857142851</v>
      </c>
      <c r="AA85" s="812">
        <f t="shared" si="185"/>
        <v>153.1614285714285</v>
      </c>
      <c r="AB85" s="813">
        <f t="shared" si="189"/>
        <v>166.39142857142849</v>
      </c>
      <c r="AC85" s="811">
        <f t="shared" si="169"/>
        <v>179.62142857142848</v>
      </c>
      <c r="AD85" s="812">
        <f t="shared" si="188"/>
        <v>192.85142857142847</v>
      </c>
      <c r="AE85" s="812">
        <f t="shared" si="171"/>
        <v>206.08142857142846</v>
      </c>
      <c r="AF85" s="812">
        <f t="shared" si="172"/>
        <v>219.31142857142845</v>
      </c>
      <c r="AG85" s="812">
        <f t="shared" si="173"/>
        <v>232.54142857142844</v>
      </c>
      <c r="AH85" s="812">
        <f t="shared" si="174"/>
        <v>245.77142857142843</v>
      </c>
      <c r="AI85" s="812">
        <f t="shared" si="175"/>
        <v>259.00142857142845</v>
      </c>
      <c r="AJ85" s="813">
        <f t="shared" si="190"/>
        <v>272.23142857142847</v>
      </c>
      <c r="AK85" s="552"/>
      <c r="AL85" s="552"/>
      <c r="AM85" s="552"/>
      <c r="AN85" s="573"/>
      <c r="AO85" s="574"/>
      <c r="AP85" s="574"/>
      <c r="AQ85" s="574"/>
      <c r="AR85" s="599"/>
    </row>
    <row r="86" spans="2:44" ht="19.5" thickBot="1" x14ac:dyDescent="0.3">
      <c r="B86" s="688" t="s">
        <v>47</v>
      </c>
      <c r="C86" s="678"/>
      <c r="D86" s="689" t="e">
        <f>(D3*D4)/144</f>
        <v>#VALUE!</v>
      </c>
      <c r="E86" s="690" t="s">
        <v>45</v>
      </c>
      <c r="F86" s="678"/>
      <c r="G86" s="678"/>
      <c r="H86" s="678"/>
      <c r="I86" s="678"/>
      <c r="J86" s="678"/>
      <c r="K86" s="678"/>
      <c r="L86" s="679"/>
      <c r="N86" s="752">
        <f t="shared" si="176"/>
        <v>13.98</v>
      </c>
      <c r="O86" s="756">
        <f t="shared" si="177"/>
        <v>108</v>
      </c>
      <c r="P86" s="578">
        <v>19</v>
      </c>
      <c r="Q86" s="810">
        <v>31.457999999999998</v>
      </c>
      <c r="R86" s="806">
        <v>36.058077922077899</v>
      </c>
      <c r="S86" s="806">
        <v>50.035714285714299</v>
      </c>
      <c r="T86" s="806">
        <v>64.013571428571396</v>
      </c>
      <c r="U86" s="807">
        <f t="shared" ref="U86:U88" si="191">T86+$N86</f>
        <v>77.9935714285714</v>
      </c>
      <c r="V86" s="808">
        <f t="shared" si="187"/>
        <v>91.973571428571404</v>
      </c>
      <c r="W86" s="808">
        <f t="shared" ref="W86:W88" si="192">V86+$N86</f>
        <v>105.95357142857141</v>
      </c>
      <c r="X86" s="808">
        <f t="shared" ref="X86:X88" si="193">W86+$N86</f>
        <v>119.93357142857141</v>
      </c>
      <c r="Y86" s="808">
        <f t="shared" ref="Y86:Y88" si="194">X86+$N86</f>
        <v>133.9135714285714</v>
      </c>
      <c r="Z86" s="808">
        <f t="shared" ref="Z86:Z88" si="195">Y86+$N86</f>
        <v>147.89357142857139</v>
      </c>
      <c r="AA86" s="808">
        <f t="shared" ref="AA86:AA88" si="196">Z86+$N86</f>
        <v>161.87357142857138</v>
      </c>
      <c r="AB86" s="809">
        <f t="shared" si="189"/>
        <v>175.85357142857137</v>
      </c>
      <c r="AC86" s="807">
        <f t="shared" si="169"/>
        <v>189.83357142857136</v>
      </c>
      <c r="AD86" s="808">
        <f t="shared" si="188"/>
        <v>203.81357142857135</v>
      </c>
      <c r="AE86" s="808">
        <f t="shared" si="171"/>
        <v>217.79357142857134</v>
      </c>
      <c r="AF86" s="808">
        <f t="shared" si="172"/>
        <v>231.77357142857133</v>
      </c>
      <c r="AG86" s="808">
        <f t="shared" si="173"/>
        <v>245.75357142857132</v>
      </c>
      <c r="AH86" s="808">
        <f t="shared" si="174"/>
        <v>259.73357142857134</v>
      </c>
      <c r="AI86" s="808">
        <f t="shared" si="175"/>
        <v>273.71357142857136</v>
      </c>
      <c r="AJ86" s="809">
        <f t="shared" si="190"/>
        <v>287.69357142857137</v>
      </c>
      <c r="AK86" s="552"/>
      <c r="AL86" s="552"/>
      <c r="AM86" s="583"/>
      <c r="AN86" s="585"/>
      <c r="AO86" s="574"/>
      <c r="AP86" s="574"/>
      <c r="AQ86" s="574"/>
      <c r="AR86" s="599"/>
    </row>
    <row r="87" spans="2:44" ht="19.5" thickBot="1" x14ac:dyDescent="0.3">
      <c r="B87" s="688" t="s">
        <v>81</v>
      </c>
      <c r="C87" s="678"/>
      <c r="D87" s="689" t="e">
        <f>D85/D86*100</f>
        <v>#VALUE!</v>
      </c>
      <c r="E87" s="690" t="s">
        <v>16</v>
      </c>
      <c r="F87" s="678"/>
      <c r="G87" s="678"/>
      <c r="H87" s="678"/>
      <c r="I87" s="678"/>
      <c r="J87" s="678"/>
      <c r="K87" s="678"/>
      <c r="L87" s="679"/>
      <c r="N87" s="752">
        <f t="shared" si="176"/>
        <v>14.73</v>
      </c>
      <c r="O87" s="756">
        <f t="shared" si="177"/>
        <v>114</v>
      </c>
      <c r="P87" s="578">
        <v>20</v>
      </c>
      <c r="Q87" s="810">
        <v>33.180999999999997</v>
      </c>
      <c r="R87" s="806">
        <v>38.021523809523799</v>
      </c>
      <c r="S87" s="806">
        <v>52.748571428571402</v>
      </c>
      <c r="T87" s="806">
        <v>67.475714285714304</v>
      </c>
      <c r="U87" s="811">
        <f t="shared" si="191"/>
        <v>82.205714285714308</v>
      </c>
      <c r="V87" s="812">
        <f t="shared" si="187"/>
        <v>96.935714285714312</v>
      </c>
      <c r="W87" s="812">
        <f t="shared" si="192"/>
        <v>111.66571428571432</v>
      </c>
      <c r="X87" s="806">
        <f t="shared" si="193"/>
        <v>126.39571428571432</v>
      </c>
      <c r="Y87" s="812">
        <f t="shared" si="194"/>
        <v>141.12571428571431</v>
      </c>
      <c r="Z87" s="806">
        <f t="shared" si="195"/>
        <v>155.8557142857143</v>
      </c>
      <c r="AA87" s="812">
        <f t="shared" si="196"/>
        <v>170.58571428571429</v>
      </c>
      <c r="AB87" s="813">
        <f t="shared" si="189"/>
        <v>185.31571428571428</v>
      </c>
      <c r="AC87" s="811">
        <f t="shared" si="169"/>
        <v>200.04571428571427</v>
      </c>
      <c r="AD87" s="812">
        <f t="shared" si="188"/>
        <v>214.77571428571426</v>
      </c>
      <c r="AE87" s="812">
        <f t="shared" si="171"/>
        <v>229.50571428571425</v>
      </c>
      <c r="AF87" s="812">
        <f t="shared" si="172"/>
        <v>244.23571428571424</v>
      </c>
      <c r="AG87" s="812">
        <f t="shared" si="173"/>
        <v>258.96571428571423</v>
      </c>
      <c r="AH87" s="812">
        <f t="shared" si="174"/>
        <v>273.69571428571425</v>
      </c>
      <c r="AI87" s="812">
        <f t="shared" si="175"/>
        <v>288.42571428571426</v>
      </c>
      <c r="AJ87" s="813">
        <f t="shared" si="190"/>
        <v>303.15571428571428</v>
      </c>
      <c r="AK87" s="552"/>
      <c r="AL87" s="552"/>
      <c r="AM87" s="552"/>
      <c r="AN87" s="573"/>
      <c r="AO87" s="574"/>
      <c r="AP87" s="574"/>
      <c r="AQ87" s="574"/>
      <c r="AR87" s="599"/>
    </row>
    <row r="88" spans="2:44" ht="19.5" thickBot="1" x14ac:dyDescent="0.3">
      <c r="B88" s="682"/>
      <c r="C88" s="691"/>
      <c r="D88" s="692"/>
      <c r="E88" s="690"/>
      <c r="F88" s="678"/>
      <c r="G88" s="678"/>
      <c r="H88" s="678"/>
      <c r="I88" s="678"/>
      <c r="J88" s="678"/>
      <c r="K88" s="678"/>
      <c r="L88" s="679"/>
      <c r="N88" s="752">
        <f t="shared" si="176"/>
        <v>15.48</v>
      </c>
      <c r="O88" s="756">
        <f t="shared" si="177"/>
        <v>120</v>
      </c>
      <c r="P88" s="578">
        <v>21</v>
      </c>
      <c r="Q88" s="810">
        <v>34.904000000000003</v>
      </c>
      <c r="R88" s="806">
        <v>39.984969696969699</v>
      </c>
      <c r="S88" s="806">
        <v>55.461428571428598</v>
      </c>
      <c r="T88" s="806">
        <v>70.937857142857098</v>
      </c>
      <c r="U88" s="811">
        <f t="shared" si="191"/>
        <v>86.417857142857102</v>
      </c>
      <c r="V88" s="812">
        <f t="shared" si="187"/>
        <v>101.89785714285711</v>
      </c>
      <c r="W88" s="812">
        <f t="shared" si="192"/>
        <v>117.37785714285711</v>
      </c>
      <c r="X88" s="812">
        <f t="shared" si="193"/>
        <v>132.85785714285711</v>
      </c>
      <c r="Y88" s="812">
        <f t="shared" si="194"/>
        <v>148.3378571428571</v>
      </c>
      <c r="Z88" s="812">
        <f t="shared" si="195"/>
        <v>163.81785714285709</v>
      </c>
      <c r="AA88" s="812">
        <f t="shared" si="196"/>
        <v>179.29785714285708</v>
      </c>
      <c r="AB88" s="813">
        <f t="shared" si="189"/>
        <v>194.77785714285707</v>
      </c>
      <c r="AC88" s="811">
        <f t="shared" si="169"/>
        <v>210.25785714285706</v>
      </c>
      <c r="AD88" s="812">
        <f t="shared" si="188"/>
        <v>225.73785714285705</v>
      </c>
      <c r="AE88" s="812">
        <f t="shared" si="171"/>
        <v>241.21785714285704</v>
      </c>
      <c r="AF88" s="812">
        <f t="shared" si="172"/>
        <v>256.69785714285706</v>
      </c>
      <c r="AG88" s="812">
        <f t="shared" si="173"/>
        <v>272.17785714285708</v>
      </c>
      <c r="AH88" s="812">
        <f t="shared" si="174"/>
        <v>287.6578571428571</v>
      </c>
      <c r="AI88" s="812">
        <f t="shared" si="175"/>
        <v>303.13785714285711</v>
      </c>
      <c r="AJ88" s="813">
        <f t="shared" si="190"/>
        <v>318.61785714285713</v>
      </c>
      <c r="AK88" s="552"/>
      <c r="AL88" s="552"/>
      <c r="AM88" s="552"/>
      <c r="AN88" s="573"/>
      <c r="AO88" s="574"/>
      <c r="AP88" s="574"/>
      <c r="AQ88" s="574"/>
      <c r="AR88" s="599"/>
    </row>
    <row r="89" spans="2:44" ht="19.5" thickBot="1" x14ac:dyDescent="0.3">
      <c r="B89" s="693" t="s">
        <v>82</v>
      </c>
      <c r="D89" s="689" t="e">
        <f>C5/D85</f>
        <v>#VALUE!</v>
      </c>
      <c r="E89" s="690" t="s">
        <v>48</v>
      </c>
      <c r="F89" s="694"/>
      <c r="G89" s="694"/>
      <c r="H89" s="694"/>
      <c r="I89" s="694"/>
      <c r="J89" s="694"/>
      <c r="K89" s="694"/>
      <c r="L89" s="695"/>
      <c r="N89" s="744"/>
      <c r="O89" s="745"/>
      <c r="P89" s="578"/>
      <c r="Q89" s="746"/>
      <c r="R89" s="577"/>
      <c r="S89" s="577"/>
      <c r="T89" s="577"/>
      <c r="U89" s="577"/>
      <c r="V89" s="577"/>
      <c r="W89" s="577"/>
      <c r="X89" s="577"/>
      <c r="Y89" s="577"/>
      <c r="Z89" s="577"/>
      <c r="AA89" s="577"/>
      <c r="AB89" s="577"/>
      <c r="AC89" s="577"/>
      <c r="AD89" s="577"/>
      <c r="AE89" s="577"/>
      <c r="AF89" s="577"/>
      <c r="AG89" s="577"/>
      <c r="AH89" s="577"/>
      <c r="AI89" s="577"/>
      <c r="AJ89" s="747"/>
      <c r="AK89" s="552"/>
      <c r="AL89" s="552"/>
      <c r="AM89" s="552"/>
      <c r="AN89" s="573"/>
      <c r="AO89" s="574"/>
      <c r="AP89" s="574"/>
      <c r="AQ89" s="574"/>
      <c r="AR89" s="574"/>
    </row>
    <row r="90" spans="2:44" ht="19.5" thickBot="1" x14ac:dyDescent="0.3">
      <c r="B90" s="697" t="s">
        <v>83</v>
      </c>
      <c r="C90" s="698" t="s">
        <v>9</v>
      </c>
      <c r="D90" s="689"/>
      <c r="E90" s="690" t="s">
        <v>99</v>
      </c>
      <c r="F90" s="694"/>
      <c r="G90" s="694"/>
      <c r="H90" s="694"/>
      <c r="I90" s="694"/>
      <c r="J90" s="694"/>
      <c r="K90" s="694"/>
      <c r="L90" s="695"/>
      <c r="N90" s="744"/>
      <c r="O90" s="745"/>
      <c r="P90" s="578"/>
      <c r="Q90" s="746"/>
      <c r="R90" s="577"/>
      <c r="S90" s="577"/>
      <c r="T90" s="577"/>
      <c r="U90" s="577"/>
      <c r="V90" s="577"/>
      <c r="W90" s="577"/>
      <c r="X90" s="577"/>
      <c r="Y90" s="577"/>
      <c r="Z90" s="577"/>
      <c r="AA90" s="577"/>
      <c r="AB90" s="577"/>
      <c r="AC90" s="577"/>
      <c r="AD90" s="577"/>
      <c r="AE90" s="577"/>
      <c r="AF90" s="577"/>
      <c r="AG90" s="577"/>
      <c r="AH90" s="577"/>
      <c r="AI90" s="577"/>
      <c r="AJ90" s="747"/>
      <c r="AK90" s="552"/>
      <c r="AL90" s="552"/>
      <c r="AM90" s="552"/>
      <c r="AN90" s="573"/>
      <c r="AO90" s="574"/>
      <c r="AP90" s="574"/>
      <c r="AQ90" s="574"/>
      <c r="AR90" s="574"/>
    </row>
    <row r="91" spans="2:44" ht="19.5" thickBot="1" x14ac:dyDescent="0.3">
      <c r="B91" s="699"/>
      <c r="C91" s="698" t="s">
        <v>10</v>
      </c>
      <c r="D91" s="689" t="e">
        <f>0.000000145823849*D89^2 - 2.24971951E-18*D89 + 2.07472928E-15</f>
        <v>#VALUE!</v>
      </c>
      <c r="E91" s="690" t="s">
        <v>99</v>
      </c>
      <c r="F91" s="694"/>
      <c r="G91" s="694"/>
      <c r="H91" s="694"/>
      <c r="I91" s="694"/>
      <c r="J91" s="694"/>
      <c r="K91" s="694"/>
      <c r="L91" s="695"/>
      <c r="N91" s="748"/>
      <c r="O91" s="749"/>
      <c r="P91" s="580"/>
      <c r="Q91" s="741"/>
      <c r="R91" s="579"/>
      <c r="S91" s="579"/>
      <c r="T91" s="579"/>
      <c r="U91" s="579"/>
      <c r="V91" s="579"/>
      <c r="W91" s="579"/>
      <c r="X91" s="579"/>
      <c r="Y91" s="579"/>
      <c r="Z91" s="579"/>
      <c r="AA91" s="579"/>
      <c r="AB91" s="579"/>
      <c r="AC91" s="579"/>
      <c r="AD91" s="579"/>
      <c r="AE91" s="579"/>
      <c r="AF91" s="579"/>
      <c r="AG91" s="579"/>
      <c r="AH91" s="579"/>
      <c r="AI91" s="579"/>
      <c r="AJ91" s="750"/>
      <c r="AK91" s="586"/>
      <c r="AL91" s="586"/>
      <c r="AM91" s="586"/>
      <c r="AN91" s="587"/>
      <c r="AO91" s="574"/>
      <c r="AP91" s="574"/>
      <c r="AQ91" s="574"/>
      <c r="AR91" s="574"/>
    </row>
    <row r="92" spans="2:44" ht="18.75" customHeight="1" thickBot="1" x14ac:dyDescent="0.3">
      <c r="B92" s="700"/>
      <c r="C92" s="701"/>
      <c r="D92" s="701"/>
      <c r="E92" s="701"/>
      <c r="F92" s="701"/>
      <c r="G92" s="701"/>
      <c r="H92" s="701"/>
      <c r="I92" s="701"/>
      <c r="J92" s="701"/>
      <c r="K92" s="701"/>
      <c r="L92" s="702"/>
    </row>
    <row r="93" spans="2:44" ht="15.75" customHeight="1" thickBot="1" x14ac:dyDescent="0.3"/>
    <row r="94" spans="2:44" ht="22.5" customHeight="1" thickBot="1" x14ac:dyDescent="0.3">
      <c r="N94" s="669" t="s">
        <v>209</v>
      </c>
      <c r="O94" s="670"/>
      <c r="P94" s="670"/>
      <c r="Q94" s="670"/>
      <c r="R94" s="670"/>
      <c r="S94" s="670"/>
      <c r="T94" s="670"/>
      <c r="U94" s="670"/>
      <c r="V94" s="670"/>
      <c r="W94" s="671"/>
      <c r="Y94" s="703" t="s">
        <v>98</v>
      </c>
      <c r="Z94" s="704"/>
      <c r="AA94" s="618"/>
      <c r="AB94" s="618"/>
      <c r="AC94" s="618"/>
      <c r="AD94" s="618"/>
      <c r="AE94" s="618"/>
      <c r="AF94" s="618"/>
      <c r="AG94" s="618"/>
      <c r="AH94" s="618"/>
      <c r="AI94" s="618"/>
      <c r="AJ94" s="619"/>
    </row>
    <row r="95" spans="2:44" ht="15" customHeight="1" x14ac:dyDescent="0.25">
      <c r="N95" s="705"/>
      <c r="O95" s="618"/>
      <c r="P95" s="618"/>
      <c r="Q95" s="706"/>
      <c r="R95" s="706"/>
      <c r="S95" s="706"/>
      <c r="T95" s="706"/>
      <c r="U95" s="706"/>
      <c r="V95" s="706"/>
      <c r="W95" s="707"/>
      <c r="X95" s="708"/>
      <c r="Y95" s="622"/>
      <c r="Z95" s="584"/>
      <c r="AA95" s="584"/>
      <c r="AB95" s="584"/>
      <c r="AC95" s="584"/>
      <c r="AD95" s="584"/>
      <c r="AE95" s="584"/>
      <c r="AF95" s="584"/>
      <c r="AG95" s="584"/>
      <c r="AH95" s="584"/>
      <c r="AI95" s="584"/>
      <c r="AJ95" s="591"/>
    </row>
    <row r="96" spans="2:44" ht="15.75" thickBot="1" x14ac:dyDescent="0.3">
      <c r="N96" s="709"/>
      <c r="O96" s="710" t="s">
        <v>194</v>
      </c>
      <c r="P96" s="552"/>
      <c r="Q96" s="584"/>
      <c r="R96" s="584"/>
      <c r="S96" s="584"/>
      <c r="T96" s="584"/>
      <c r="U96" s="584"/>
      <c r="V96" s="584"/>
      <c r="W96" s="591"/>
      <c r="Y96" s="622"/>
      <c r="Z96" s="584" t="s">
        <v>193</v>
      </c>
      <c r="AA96" s="584"/>
      <c r="AB96" s="711" t="e">
        <f xml:space="preserve"> AN82</f>
        <v>#VALUE!</v>
      </c>
      <c r="AC96" s="584" t="s">
        <v>184</v>
      </c>
      <c r="AD96" s="584"/>
      <c r="AE96" s="584"/>
      <c r="AF96" s="584"/>
      <c r="AG96" s="584"/>
      <c r="AH96" s="584"/>
      <c r="AI96" s="584"/>
      <c r="AJ96" s="591"/>
    </row>
    <row r="97" spans="14:44" ht="15.75" thickBot="1" x14ac:dyDescent="0.3">
      <c r="N97" s="712"/>
      <c r="O97" s="584" t="s">
        <v>185</v>
      </c>
      <c r="P97" s="696">
        <v>1.9E-2</v>
      </c>
      <c r="Q97" s="584" t="s">
        <v>182</v>
      </c>
      <c r="R97" s="584"/>
      <c r="S97" s="584"/>
      <c r="T97" s="584"/>
      <c r="U97" s="584"/>
      <c r="V97" s="584"/>
      <c r="W97" s="591"/>
      <c r="Y97" s="622"/>
      <c r="Z97" s="584" t="s">
        <v>194</v>
      </c>
      <c r="AA97" s="584"/>
      <c r="AB97" s="713" t="e">
        <f>P100</f>
        <v>#VALUE!</v>
      </c>
      <c r="AC97" s="584" t="s">
        <v>184</v>
      </c>
      <c r="AD97" s="584"/>
      <c r="AE97" s="584"/>
      <c r="AF97" s="584"/>
      <c r="AG97" s="584"/>
      <c r="AH97" s="584"/>
      <c r="AI97" s="584"/>
      <c r="AJ97" s="591"/>
    </row>
    <row r="98" spans="14:44" ht="16.5" thickBot="1" x14ac:dyDescent="0.3">
      <c r="N98" s="709"/>
      <c r="O98" s="584" t="s">
        <v>195</v>
      </c>
      <c r="P98" s="696" t="e">
        <f>((2*D3)+(2*D4))</f>
        <v>#VALUE!</v>
      </c>
      <c r="Q98" s="584" t="s">
        <v>196</v>
      </c>
      <c r="R98" s="584"/>
      <c r="S98" s="584"/>
      <c r="T98" s="584"/>
      <c r="U98" s="584"/>
      <c r="V98" s="584"/>
      <c r="W98" s="591"/>
      <c r="Y98" s="622"/>
      <c r="Z98" s="584" t="s">
        <v>192</v>
      </c>
      <c r="AA98" s="584"/>
      <c r="AB98" s="713" t="e">
        <f>P107</f>
        <v>#VALUE!</v>
      </c>
      <c r="AC98" s="584" t="s">
        <v>184</v>
      </c>
      <c r="AD98" s="584"/>
      <c r="AE98" s="584"/>
      <c r="AF98" s="584"/>
      <c r="AG98" s="584"/>
      <c r="AH98" s="584"/>
      <c r="AI98" s="584"/>
      <c r="AJ98" s="591"/>
      <c r="AL98" s="714"/>
      <c r="AM98" s="714"/>
      <c r="AN98" s="714"/>
      <c r="AO98" s="715"/>
      <c r="AP98" s="714"/>
    </row>
    <row r="99" spans="14:44" ht="16.5" thickBot="1" x14ac:dyDescent="0.3">
      <c r="N99" s="622"/>
      <c r="O99" s="584"/>
      <c r="P99" s="584"/>
      <c r="Q99" s="584"/>
      <c r="R99" s="584"/>
      <c r="S99" s="584"/>
      <c r="T99" s="584"/>
      <c r="U99" s="584"/>
      <c r="V99" s="584"/>
      <c r="W99" s="591"/>
      <c r="Y99" s="622"/>
      <c r="Z99" s="584"/>
      <c r="AA99" s="584"/>
      <c r="AB99" s="584"/>
      <c r="AC99" s="584"/>
      <c r="AD99" s="584"/>
      <c r="AE99" s="584"/>
      <c r="AF99" s="584"/>
      <c r="AG99" s="584"/>
      <c r="AH99" s="584"/>
      <c r="AI99" s="584"/>
      <c r="AJ99" s="591"/>
      <c r="AK99" s="716"/>
      <c r="AL99" s="714"/>
      <c r="AM99" s="715"/>
      <c r="AN99" s="715"/>
      <c r="AO99" s="715"/>
      <c r="AP99" s="715"/>
    </row>
    <row r="100" spans="14:44" ht="16.5" thickBot="1" x14ac:dyDescent="0.3">
      <c r="N100" s="622"/>
      <c r="O100" s="717" t="s">
        <v>183</v>
      </c>
      <c r="P100" s="718" t="e">
        <f xml:space="preserve"> P97 * P98</f>
        <v>#VALUE!</v>
      </c>
      <c r="Q100" s="584" t="s">
        <v>184</v>
      </c>
      <c r="S100" s="584"/>
      <c r="T100" s="584"/>
      <c r="U100" s="584"/>
      <c r="V100" s="584"/>
      <c r="W100" s="591"/>
      <c r="Y100" s="622"/>
      <c r="Z100" s="584" t="s">
        <v>91</v>
      </c>
      <c r="AA100" s="584"/>
      <c r="AB100" s="713" t="e">
        <f>AB96+AB97+AB98</f>
        <v>#VALUE!</v>
      </c>
      <c r="AC100" s="584" t="s">
        <v>184</v>
      </c>
      <c r="AD100" s="584"/>
      <c r="AE100" s="584"/>
      <c r="AF100" s="584"/>
      <c r="AG100" s="584"/>
      <c r="AH100" s="584"/>
      <c r="AI100" s="584"/>
      <c r="AJ100" s="591"/>
      <c r="AL100" s="719"/>
      <c r="AM100" s="715"/>
      <c r="AN100" s="715"/>
      <c r="AO100" s="720"/>
      <c r="AP100" s="715"/>
    </row>
    <row r="101" spans="14:44" ht="15.75" x14ac:dyDescent="0.25">
      <c r="N101" s="622"/>
      <c r="O101" s="710"/>
      <c r="P101" s="584"/>
      <c r="Q101" s="584"/>
      <c r="R101" s="584"/>
      <c r="S101" s="584"/>
      <c r="T101" s="584"/>
      <c r="U101" s="584"/>
      <c r="V101" s="584"/>
      <c r="W101" s="591"/>
      <c r="Y101" s="622"/>
      <c r="Z101" s="584" t="s">
        <v>90</v>
      </c>
      <c r="AA101" s="584"/>
      <c r="AB101" s="713" t="e">
        <f>AB100/C11</f>
        <v>#VALUE!</v>
      </c>
      <c r="AC101" s="584" t="s">
        <v>184</v>
      </c>
      <c r="AD101" s="584"/>
      <c r="AE101" s="584"/>
      <c r="AF101" s="584"/>
      <c r="AG101" s="584"/>
      <c r="AH101" s="584"/>
      <c r="AI101" s="584"/>
      <c r="AJ101" s="591"/>
      <c r="AL101" s="714"/>
      <c r="AM101" s="715"/>
      <c r="AN101" s="715"/>
      <c r="AO101" s="715"/>
      <c r="AP101" s="715"/>
    </row>
    <row r="102" spans="14:44" x14ac:dyDescent="0.25">
      <c r="N102" s="622"/>
      <c r="O102" s="710"/>
      <c r="P102" s="584"/>
      <c r="Q102" s="584"/>
      <c r="R102" s="584"/>
      <c r="S102" s="584"/>
      <c r="T102" s="584"/>
      <c r="U102" s="584"/>
      <c r="V102" s="584"/>
      <c r="W102" s="591"/>
      <c r="Y102" s="622"/>
      <c r="Z102" s="584"/>
      <c r="AA102" s="584"/>
      <c r="AB102" s="584"/>
      <c r="AC102" s="584"/>
      <c r="AD102" s="584"/>
      <c r="AE102" s="584"/>
      <c r="AF102" s="584"/>
      <c r="AG102" s="584"/>
      <c r="AH102" s="584"/>
      <c r="AI102" s="584"/>
      <c r="AJ102" s="591"/>
    </row>
    <row r="103" spans="14:44" ht="15.75" thickBot="1" x14ac:dyDescent="0.3">
      <c r="N103" s="622"/>
      <c r="O103" s="710" t="s">
        <v>192</v>
      </c>
      <c r="P103" s="584"/>
      <c r="Q103" s="584"/>
      <c r="R103" s="584"/>
      <c r="S103" s="584"/>
      <c r="T103" s="584"/>
      <c r="U103" s="584"/>
      <c r="V103" s="584"/>
      <c r="W103" s="591"/>
      <c r="Y103" s="622"/>
      <c r="Z103" s="584"/>
      <c r="AA103" s="584"/>
      <c r="AB103" s="584"/>
      <c r="AC103" s="584"/>
      <c r="AD103" s="584"/>
      <c r="AE103" s="584"/>
      <c r="AF103" s="584"/>
      <c r="AG103" s="584"/>
      <c r="AH103" s="584"/>
      <c r="AI103" s="584"/>
      <c r="AJ103" s="591"/>
    </row>
    <row r="104" spans="14:44" ht="15.75" thickBot="1" x14ac:dyDescent="0.3">
      <c r="N104" s="622"/>
      <c r="O104" s="584" t="s">
        <v>185</v>
      </c>
      <c r="P104" s="696">
        <v>8.9999999999999998E-4</v>
      </c>
      <c r="Q104" s="584" t="s">
        <v>190</v>
      </c>
      <c r="R104" s="696"/>
      <c r="S104" s="584"/>
      <c r="T104" s="584"/>
      <c r="U104" s="584"/>
      <c r="V104" s="584"/>
      <c r="W104" s="591"/>
      <c r="Y104" s="622"/>
      <c r="Z104" s="584"/>
      <c r="AA104" s="584"/>
      <c r="AB104" s="584"/>
      <c r="AC104" s="584"/>
      <c r="AD104" s="584"/>
      <c r="AE104" s="584"/>
      <c r="AF104" s="584"/>
      <c r="AG104" s="584"/>
      <c r="AH104" s="584"/>
      <c r="AI104" s="584"/>
      <c r="AJ104" s="591"/>
    </row>
    <row r="105" spans="14:44" ht="15.75" thickBot="1" x14ac:dyDescent="0.3">
      <c r="N105" s="622"/>
      <c r="O105" s="584" t="s">
        <v>197</v>
      </c>
      <c r="P105" s="696" t="e">
        <f>(D3*D4)</f>
        <v>#VALUE!</v>
      </c>
      <c r="Q105" s="584" t="s">
        <v>198</v>
      </c>
      <c r="R105" s="696"/>
      <c r="S105" s="584"/>
      <c r="T105" s="584"/>
      <c r="U105" s="584"/>
      <c r="V105" s="584"/>
      <c r="W105" s="591"/>
      <c r="Y105" s="622"/>
      <c r="Z105" s="584"/>
      <c r="AA105" s="584"/>
      <c r="AB105" s="584"/>
      <c r="AC105" s="584"/>
      <c r="AD105" s="584"/>
      <c r="AE105" s="584"/>
      <c r="AF105" s="584"/>
      <c r="AG105" s="584"/>
      <c r="AH105" s="584"/>
      <c r="AI105" s="584"/>
      <c r="AJ105" s="591"/>
    </row>
    <row r="106" spans="14:44" ht="15.75" thickBot="1" x14ac:dyDescent="0.3">
      <c r="N106" s="622"/>
      <c r="O106" s="584"/>
      <c r="P106" s="584"/>
      <c r="Q106" s="584"/>
      <c r="R106" s="696"/>
      <c r="S106" s="584"/>
      <c r="T106" s="584"/>
      <c r="U106" s="584"/>
      <c r="V106" s="584"/>
      <c r="W106" s="591"/>
      <c r="Y106" s="622"/>
      <c r="Z106" s="584"/>
      <c r="AA106" s="584"/>
      <c r="AB106" s="584"/>
      <c r="AC106" s="584"/>
      <c r="AD106" s="584"/>
      <c r="AE106" s="584"/>
      <c r="AF106" s="584"/>
      <c r="AG106" s="584"/>
      <c r="AH106" s="584"/>
      <c r="AI106" s="584"/>
      <c r="AJ106" s="591"/>
    </row>
    <row r="107" spans="14:44" ht="16.5" thickBot="1" x14ac:dyDescent="0.3">
      <c r="N107" s="622"/>
      <c r="O107" s="721" t="s">
        <v>192</v>
      </c>
      <c r="P107" s="718" t="e">
        <f>P104*P105</f>
        <v>#VALUE!</v>
      </c>
      <c r="Q107" s="584" t="s">
        <v>184</v>
      </c>
      <c r="S107" s="584"/>
      <c r="T107" s="584"/>
      <c r="U107" s="584"/>
      <c r="V107" s="584"/>
      <c r="W107" s="591"/>
      <c r="Y107" s="622"/>
      <c r="Z107" s="584"/>
      <c r="AA107" s="584"/>
      <c r="AB107" s="584"/>
      <c r="AC107" s="584"/>
      <c r="AD107" s="584"/>
      <c r="AE107" s="584"/>
      <c r="AF107" s="584"/>
      <c r="AG107" s="584"/>
      <c r="AH107" s="584"/>
      <c r="AI107" s="584"/>
      <c r="AJ107" s="591"/>
      <c r="AM107" s="722"/>
      <c r="AN107" s="722"/>
      <c r="AO107" s="722"/>
    </row>
    <row r="108" spans="14:44" ht="15.75" x14ac:dyDescent="0.25">
      <c r="N108" s="622"/>
      <c r="O108" s="710"/>
      <c r="P108" s="552"/>
      <c r="Q108" s="584"/>
      <c r="R108" s="584"/>
      <c r="S108" s="584"/>
      <c r="T108" s="584"/>
      <c r="U108" s="584"/>
      <c r="V108" s="584"/>
      <c r="W108" s="591"/>
      <c r="Y108" s="622"/>
      <c r="Z108" s="584"/>
      <c r="AA108" s="584"/>
      <c r="AB108" s="584"/>
      <c r="AC108" s="584"/>
      <c r="AD108" s="584"/>
      <c r="AE108" s="584"/>
      <c r="AF108" s="584"/>
      <c r="AG108" s="584"/>
      <c r="AH108" s="584"/>
      <c r="AI108" s="584"/>
      <c r="AJ108" s="591"/>
      <c r="AM108" s="722"/>
      <c r="AN108" s="722"/>
      <c r="AO108" s="722"/>
    </row>
    <row r="109" spans="14:44" x14ac:dyDescent="0.25">
      <c r="N109" s="622"/>
      <c r="O109" s="710"/>
      <c r="P109" s="552"/>
      <c r="Q109" s="584"/>
      <c r="R109" s="584"/>
      <c r="S109" s="584"/>
      <c r="T109" s="584"/>
      <c r="U109" s="584"/>
      <c r="V109" s="584"/>
      <c r="W109" s="591"/>
      <c r="Y109" s="622"/>
      <c r="Z109" s="584"/>
      <c r="AA109" s="584"/>
      <c r="AB109" s="584"/>
      <c r="AC109" s="584"/>
      <c r="AD109" s="584"/>
      <c r="AE109" s="584"/>
      <c r="AF109" s="584"/>
      <c r="AG109" s="584"/>
      <c r="AH109" s="584"/>
      <c r="AI109" s="584"/>
      <c r="AJ109" s="591"/>
    </row>
    <row r="110" spans="14:44" ht="15.75" thickBot="1" x14ac:dyDescent="0.3">
      <c r="N110" s="723"/>
      <c r="O110" s="724"/>
      <c r="P110" s="586"/>
      <c r="Q110" s="641"/>
      <c r="R110" s="641"/>
      <c r="S110" s="641"/>
      <c r="T110" s="641"/>
      <c r="U110" s="641"/>
      <c r="V110" s="641"/>
      <c r="W110" s="642"/>
      <c r="Y110" s="723"/>
      <c r="Z110" s="641"/>
      <c r="AA110" s="641"/>
      <c r="AB110" s="641"/>
      <c r="AC110" s="641"/>
      <c r="AD110" s="641"/>
      <c r="AE110" s="641"/>
      <c r="AF110" s="641"/>
      <c r="AG110" s="641"/>
      <c r="AH110" s="641"/>
      <c r="AI110" s="641"/>
      <c r="AJ110" s="642"/>
      <c r="AR110" s="716"/>
    </row>
    <row r="111" spans="14:44" x14ac:dyDescent="0.25">
      <c r="O111" s="708"/>
      <c r="P111" s="574"/>
      <c r="AC111" s="725"/>
      <c r="AD111" s="725"/>
      <c r="AE111" s="725"/>
      <c r="AF111" s="725"/>
      <c r="AG111" s="725"/>
      <c r="AH111" s="725"/>
      <c r="AI111" s="725"/>
      <c r="AJ111" s="725"/>
      <c r="AK111" s="725"/>
      <c r="AR111" s="716"/>
    </row>
    <row r="112" spans="14:44" x14ac:dyDescent="0.25">
      <c r="O112" s="708"/>
      <c r="P112" s="574"/>
      <c r="AC112" s="725"/>
      <c r="AD112" s="725"/>
      <c r="AE112" s="725"/>
      <c r="AF112" s="725"/>
      <c r="AG112" s="725"/>
      <c r="AH112" s="725"/>
      <c r="AI112" s="725"/>
      <c r="AJ112" s="725"/>
      <c r="AK112" s="725"/>
      <c r="AR112" s="716"/>
    </row>
    <row r="113" spans="14:44" x14ac:dyDescent="0.25">
      <c r="O113" s="708"/>
      <c r="P113" s="574"/>
      <c r="X113" s="751"/>
      <c r="Y113" s="751"/>
      <c r="Z113" s="751"/>
      <c r="AA113" s="751"/>
      <c r="AB113" s="751"/>
      <c r="AC113" s="725"/>
      <c r="AD113" s="725"/>
      <c r="AE113" s="725"/>
      <c r="AF113" s="725"/>
      <c r="AG113" s="725"/>
      <c r="AH113" s="725"/>
      <c r="AI113" s="725"/>
      <c r="AJ113" s="725"/>
      <c r="AK113" s="725"/>
      <c r="AR113" s="716"/>
    </row>
    <row r="114" spans="14:44" x14ac:dyDescent="0.25">
      <c r="O114" s="708"/>
      <c r="P114" s="574"/>
      <c r="AC114" s="725"/>
      <c r="AD114" s="725"/>
      <c r="AE114" s="725"/>
      <c r="AF114" s="725"/>
      <c r="AG114" s="725"/>
      <c r="AH114" s="725"/>
      <c r="AI114" s="725"/>
      <c r="AJ114" s="725"/>
      <c r="AK114" s="725"/>
      <c r="AR114" s="716"/>
    </row>
    <row r="115" spans="14:44" x14ac:dyDescent="0.25">
      <c r="O115" s="708"/>
      <c r="P115" s="574"/>
      <c r="AC115" s="725"/>
      <c r="AD115" s="725"/>
      <c r="AE115" s="725"/>
      <c r="AF115" s="725"/>
      <c r="AG115" s="725"/>
      <c r="AH115" s="725"/>
      <c r="AI115" s="725"/>
      <c r="AJ115" s="725"/>
      <c r="AK115" s="725"/>
      <c r="AR115" s="716"/>
    </row>
    <row r="116" spans="14:44" x14ac:dyDescent="0.25">
      <c r="O116" s="708"/>
      <c r="P116" s="574"/>
      <c r="AC116" s="725"/>
      <c r="AD116" s="725"/>
      <c r="AE116" s="725"/>
      <c r="AF116" s="725"/>
      <c r="AG116" s="725"/>
      <c r="AH116" s="725"/>
      <c r="AI116" s="725"/>
      <c r="AJ116" s="725"/>
      <c r="AK116" s="725"/>
      <c r="AR116" s="716"/>
    </row>
    <row r="117" spans="14:44" x14ac:dyDescent="0.25">
      <c r="P117" s="574"/>
    </row>
    <row r="122" spans="14:44" ht="21" x14ac:dyDescent="0.25">
      <c r="N122" s="726"/>
    </row>
    <row r="123" spans="14:44" x14ac:dyDescent="0.25">
      <c r="N123" s="727"/>
      <c r="Q123" s="708"/>
      <c r="R123" s="708"/>
      <c r="S123" s="708"/>
      <c r="T123" s="708"/>
      <c r="U123" s="708"/>
      <c r="V123" s="708"/>
      <c r="W123" s="708"/>
      <c r="X123" s="708"/>
      <c r="Y123" s="708"/>
      <c r="Z123" s="708"/>
      <c r="AA123" s="708"/>
      <c r="AB123" s="708"/>
      <c r="AC123" s="708"/>
      <c r="AD123" s="708"/>
      <c r="AE123" s="708"/>
      <c r="AF123" s="708"/>
      <c r="AG123" s="708"/>
      <c r="AH123" s="708"/>
      <c r="AI123" s="708"/>
      <c r="AJ123" s="708"/>
    </row>
    <row r="124" spans="14:44" x14ac:dyDescent="0.25">
      <c r="N124" s="727"/>
      <c r="P124" s="574"/>
    </row>
    <row r="125" spans="14:44" x14ac:dyDescent="0.25">
      <c r="N125" s="728"/>
      <c r="O125" s="708"/>
      <c r="P125" s="574"/>
    </row>
    <row r="126" spans="14:44" ht="15.75" x14ac:dyDescent="0.25">
      <c r="N126" s="727"/>
      <c r="O126" s="708"/>
      <c r="P126" s="574"/>
      <c r="AL126" s="714"/>
      <c r="AM126" s="714"/>
      <c r="AN126" s="714"/>
      <c r="AO126" s="715"/>
      <c r="AP126" s="714"/>
    </row>
    <row r="127" spans="14:44" ht="15.75" x14ac:dyDescent="0.25">
      <c r="O127" s="708"/>
      <c r="P127" s="574"/>
      <c r="AK127" s="716"/>
      <c r="AL127" s="714"/>
      <c r="AM127" s="715"/>
      <c r="AN127" s="715"/>
      <c r="AO127" s="715"/>
      <c r="AP127" s="715"/>
    </row>
    <row r="128" spans="14:44" ht="15.75" x14ac:dyDescent="0.25">
      <c r="O128" s="708"/>
      <c r="P128" s="574"/>
      <c r="AL128" s="719"/>
      <c r="AM128" s="715"/>
      <c r="AN128" s="715"/>
      <c r="AO128" s="720"/>
      <c r="AP128" s="715"/>
    </row>
    <row r="129" spans="15:44" ht="15.75" x14ac:dyDescent="0.25">
      <c r="O129" s="708"/>
      <c r="P129" s="574"/>
      <c r="AL129" s="714"/>
      <c r="AM129" s="715"/>
      <c r="AN129" s="715"/>
      <c r="AO129" s="715"/>
      <c r="AP129" s="715"/>
    </row>
    <row r="130" spans="15:44" x14ac:dyDescent="0.25">
      <c r="O130" s="708"/>
      <c r="P130" s="574"/>
    </row>
    <row r="131" spans="15:44" x14ac:dyDescent="0.25">
      <c r="O131" s="708"/>
      <c r="P131" s="574"/>
    </row>
    <row r="132" spans="15:44" x14ac:dyDescent="0.25">
      <c r="O132" s="708"/>
      <c r="P132" s="574"/>
    </row>
    <row r="133" spans="15:44" x14ac:dyDescent="0.25">
      <c r="O133" s="708"/>
      <c r="P133" s="574"/>
    </row>
    <row r="134" spans="15:44" x14ac:dyDescent="0.25">
      <c r="O134" s="708"/>
      <c r="P134" s="574"/>
    </row>
    <row r="135" spans="15:44" ht="15.75" x14ac:dyDescent="0.25">
      <c r="O135" s="708"/>
      <c r="P135" s="574"/>
      <c r="AO135" s="722"/>
    </row>
    <row r="136" spans="15:44" ht="15.75" x14ac:dyDescent="0.25">
      <c r="O136" s="708"/>
      <c r="P136" s="574"/>
      <c r="AM136" s="722"/>
      <c r="AN136" s="722"/>
      <c r="AO136" s="722"/>
    </row>
    <row r="137" spans="15:44" x14ac:dyDescent="0.25">
      <c r="O137" s="708"/>
      <c r="P137" s="574"/>
      <c r="AC137" s="725"/>
      <c r="AD137" s="725"/>
      <c r="AE137" s="725"/>
      <c r="AF137" s="725"/>
      <c r="AG137" s="725"/>
      <c r="AH137" s="725"/>
      <c r="AI137" s="725"/>
      <c r="AJ137" s="725"/>
    </row>
    <row r="138" spans="15:44" x14ac:dyDescent="0.25">
      <c r="O138" s="708"/>
      <c r="P138" s="574"/>
      <c r="AC138" s="725"/>
      <c r="AD138" s="725"/>
      <c r="AE138" s="725"/>
      <c r="AF138" s="725"/>
      <c r="AG138" s="725"/>
      <c r="AH138" s="725"/>
      <c r="AI138" s="725"/>
      <c r="AJ138" s="725"/>
      <c r="AR138" s="716"/>
    </row>
    <row r="139" spans="15:44" x14ac:dyDescent="0.25">
      <c r="O139" s="708"/>
      <c r="P139" s="574"/>
      <c r="AC139" s="725"/>
      <c r="AD139" s="725"/>
      <c r="AE139" s="725"/>
      <c r="AF139" s="725"/>
      <c r="AG139" s="725"/>
      <c r="AH139" s="725"/>
      <c r="AI139" s="725"/>
      <c r="AJ139" s="725"/>
      <c r="AK139" s="725"/>
      <c r="AR139" s="716"/>
    </row>
    <row r="140" spans="15:44" x14ac:dyDescent="0.25">
      <c r="O140" s="708"/>
      <c r="P140" s="574"/>
      <c r="AC140" s="725"/>
      <c r="AD140" s="725"/>
      <c r="AE140" s="725"/>
      <c r="AF140" s="725"/>
      <c r="AG140" s="725"/>
      <c r="AH140" s="725"/>
      <c r="AI140" s="725"/>
      <c r="AJ140" s="725"/>
      <c r="AK140" s="725"/>
      <c r="AR140" s="716"/>
    </row>
    <row r="141" spans="15:44" x14ac:dyDescent="0.25">
      <c r="O141" s="708"/>
      <c r="P141" s="574"/>
      <c r="AC141" s="725"/>
      <c r="AD141" s="725"/>
      <c r="AE141" s="725"/>
      <c r="AF141" s="725"/>
      <c r="AG141" s="725"/>
      <c r="AH141" s="725"/>
      <c r="AI141" s="725"/>
      <c r="AJ141" s="725"/>
      <c r="AK141" s="725"/>
      <c r="AR141" s="716"/>
    </row>
    <row r="142" spans="15:44" x14ac:dyDescent="0.25">
      <c r="O142" s="708"/>
      <c r="P142" s="574"/>
      <c r="AC142" s="725"/>
      <c r="AD142" s="725"/>
      <c r="AE142" s="725"/>
      <c r="AF142" s="725"/>
      <c r="AG142" s="725"/>
      <c r="AH142" s="725"/>
      <c r="AI142" s="725"/>
      <c r="AJ142" s="725"/>
      <c r="AK142" s="725"/>
      <c r="AR142" s="716"/>
    </row>
    <row r="143" spans="15:44" x14ac:dyDescent="0.25">
      <c r="O143" s="708"/>
      <c r="P143" s="574"/>
      <c r="AC143" s="725"/>
      <c r="AD143" s="725"/>
      <c r="AE143" s="725"/>
      <c r="AF143" s="725"/>
      <c r="AG143" s="725"/>
      <c r="AH143" s="725"/>
      <c r="AI143" s="725"/>
      <c r="AJ143" s="725"/>
      <c r="AK143" s="725"/>
      <c r="AR143" s="716"/>
    </row>
    <row r="144" spans="15:44" x14ac:dyDescent="0.25">
      <c r="O144" s="708"/>
      <c r="P144" s="574"/>
      <c r="AC144" s="725"/>
      <c r="AD144" s="725"/>
      <c r="AE144" s="725"/>
      <c r="AF144" s="725"/>
      <c r="AG144" s="725"/>
      <c r="AH144" s="725"/>
      <c r="AI144" s="725"/>
      <c r="AJ144" s="725"/>
      <c r="AK144" s="725"/>
      <c r="AR144" s="716"/>
    </row>
    <row r="145" spans="16:16" x14ac:dyDescent="0.25">
      <c r="P145" s="574"/>
    </row>
    <row r="159" spans="16:16" ht="150.75" customHeight="1" x14ac:dyDescent="0.25"/>
    <row r="167" spans="3:3" x14ac:dyDescent="0.25">
      <c r="C167" s="179"/>
    </row>
    <row r="168" spans="3:3" x14ac:dyDescent="0.25">
      <c r="C168" s="179"/>
    </row>
    <row r="300" spans="24:25" x14ac:dyDescent="0.25">
      <c r="X300" s="729"/>
      <c r="Y300" s="730"/>
    </row>
  </sheetData>
  <sheetProtection selectLockedCells="1" selectUnlockedCells="1"/>
  <mergeCells count="186">
    <mergeCell ref="P52:P64"/>
    <mergeCell ref="AD52:AD63"/>
    <mergeCell ref="E76:G76"/>
    <mergeCell ref="C78:C80"/>
    <mergeCell ref="Q46:R46"/>
    <mergeCell ref="S46:T46"/>
    <mergeCell ref="U46:V46"/>
    <mergeCell ref="W46:X46"/>
    <mergeCell ref="Y46:Z46"/>
    <mergeCell ref="C46:D46"/>
    <mergeCell ref="E46:F46"/>
    <mergeCell ref="G46:H46"/>
    <mergeCell ref="I46:J46"/>
    <mergeCell ref="C48:D48"/>
    <mergeCell ref="E48:F48"/>
    <mergeCell ref="G48:H48"/>
    <mergeCell ref="I48:J48"/>
    <mergeCell ref="C47:D47"/>
    <mergeCell ref="E47:F47"/>
    <mergeCell ref="N67:N68"/>
    <mergeCell ref="K50:L50"/>
    <mergeCell ref="M49:N49"/>
    <mergeCell ref="O49:P49"/>
    <mergeCell ref="M50:N50"/>
    <mergeCell ref="S47:T47"/>
    <mergeCell ref="U47:V47"/>
    <mergeCell ref="W47:X47"/>
    <mergeCell ref="K48:L48"/>
    <mergeCell ref="S44:T44"/>
    <mergeCell ref="U44:V44"/>
    <mergeCell ref="O50:P50"/>
    <mergeCell ref="G47:H47"/>
    <mergeCell ref="B16:AL16"/>
    <mergeCell ref="M41:N41"/>
    <mergeCell ref="O41:P41"/>
    <mergeCell ref="M42:N42"/>
    <mergeCell ref="O42:P42"/>
    <mergeCell ref="Q50:R50"/>
    <mergeCell ref="S50:T50"/>
    <mergeCell ref="U50:V50"/>
    <mergeCell ref="W50:X50"/>
    <mergeCell ref="Y50:Z50"/>
    <mergeCell ref="S49:T49"/>
    <mergeCell ref="U49:V49"/>
    <mergeCell ref="W49:X49"/>
    <mergeCell ref="Y49:Z49"/>
    <mergeCell ref="M48:N48"/>
    <mergeCell ref="O48:P48"/>
    <mergeCell ref="Q47:R47"/>
    <mergeCell ref="M46:N46"/>
    <mergeCell ref="O46:P46"/>
    <mergeCell ref="M47:N47"/>
    <mergeCell ref="O47:P47"/>
    <mergeCell ref="K46:L46"/>
    <mergeCell ref="K47:L47"/>
    <mergeCell ref="I49:J49"/>
    <mergeCell ref="E43:F43"/>
    <mergeCell ref="G43:H43"/>
    <mergeCell ref="I43:J43"/>
    <mergeCell ref="Q43:R43"/>
    <mergeCell ref="Q48:R48"/>
    <mergeCell ref="M44:N44"/>
    <mergeCell ref="O44:P44"/>
    <mergeCell ref="M45:N45"/>
    <mergeCell ref="O45:P45"/>
    <mergeCell ref="M43:N43"/>
    <mergeCell ref="O43:P43"/>
    <mergeCell ref="K43:L43"/>
    <mergeCell ref="K44:L44"/>
    <mergeCell ref="K45:L45"/>
    <mergeCell ref="I44:J44"/>
    <mergeCell ref="E18:AB19"/>
    <mergeCell ref="G39:H39"/>
    <mergeCell ref="I39:J39"/>
    <mergeCell ref="K39:L39"/>
    <mergeCell ref="M39:N39"/>
    <mergeCell ref="O39:P39"/>
    <mergeCell ref="Q39:R39"/>
    <mergeCell ref="S39:T39"/>
    <mergeCell ref="U39:V39"/>
    <mergeCell ref="W39:X39"/>
    <mergeCell ref="Y39:Z39"/>
    <mergeCell ref="AA39:AB39"/>
    <mergeCell ref="C35:AB35"/>
    <mergeCell ref="O38:P38"/>
    <mergeCell ref="M38:N38"/>
    <mergeCell ref="K38:L38"/>
    <mergeCell ref="I38:J38"/>
    <mergeCell ref="C39:D39"/>
    <mergeCell ref="E38:F38"/>
    <mergeCell ref="E36:AB36"/>
    <mergeCell ref="E37:AB37"/>
    <mergeCell ref="E39:F39"/>
    <mergeCell ref="C20:D20"/>
    <mergeCell ref="G50:H50"/>
    <mergeCell ref="G49:H49"/>
    <mergeCell ref="G45:H45"/>
    <mergeCell ref="G44:H44"/>
    <mergeCell ref="G40:H40"/>
    <mergeCell ref="G38:H38"/>
    <mergeCell ref="C36:D38"/>
    <mergeCell ref="C40:D40"/>
    <mergeCell ref="C50:D50"/>
    <mergeCell ref="C49:D49"/>
    <mergeCell ref="C44:D44"/>
    <mergeCell ref="C45:D45"/>
    <mergeCell ref="G42:H42"/>
    <mergeCell ref="C43:D43"/>
    <mergeCell ref="C41:D41"/>
    <mergeCell ref="C42:D42"/>
    <mergeCell ref="G41:H41"/>
    <mergeCell ref="E42:F42"/>
    <mergeCell ref="I40:J40"/>
    <mergeCell ref="K41:L41"/>
    <mergeCell ref="K42:L42"/>
    <mergeCell ref="E50:F50"/>
    <mergeCell ref="E49:F49"/>
    <mergeCell ref="E45:F45"/>
    <mergeCell ref="E44:F44"/>
    <mergeCell ref="E40:F40"/>
    <mergeCell ref="I45:J45"/>
    <mergeCell ref="K49:L49"/>
    <mergeCell ref="I47:J47"/>
    <mergeCell ref="I41:J41"/>
    <mergeCell ref="I42:J42"/>
    <mergeCell ref="E41:F41"/>
    <mergeCell ref="AA47:AB47"/>
    <mergeCell ref="Y47:Z47"/>
    <mergeCell ref="S45:T45"/>
    <mergeCell ref="U45:V45"/>
    <mergeCell ref="W45:X45"/>
    <mergeCell ref="Y45:Z45"/>
    <mergeCell ref="W43:X43"/>
    <mergeCell ref="I50:J50"/>
    <mergeCell ref="K40:L40"/>
    <mergeCell ref="M40:N40"/>
    <mergeCell ref="O40:P40"/>
    <mergeCell ref="Q40:R40"/>
    <mergeCell ref="S40:T40"/>
    <mergeCell ref="U40:V40"/>
    <mergeCell ref="W40:X40"/>
    <mergeCell ref="Q41:R41"/>
    <mergeCell ref="S41:T41"/>
    <mergeCell ref="U41:V41"/>
    <mergeCell ref="W41:X41"/>
    <mergeCell ref="Q42:R42"/>
    <mergeCell ref="S42:T42"/>
    <mergeCell ref="U42:V42"/>
    <mergeCell ref="W42:X42"/>
    <mergeCell ref="Q45:R45"/>
    <mergeCell ref="AA38:AB38"/>
    <mergeCell ref="Y38:Z38"/>
    <mergeCell ref="W38:X38"/>
    <mergeCell ref="U38:V38"/>
    <mergeCell ref="S38:T38"/>
    <mergeCell ref="Q38:R38"/>
    <mergeCell ref="Y40:Z40"/>
    <mergeCell ref="AA40:AB40"/>
    <mergeCell ref="AA46:AB46"/>
    <mergeCell ref="W44:X44"/>
    <mergeCell ref="Y44:Z44"/>
    <mergeCell ref="S43:T43"/>
    <mergeCell ref="U43:V43"/>
    <mergeCell ref="Y41:Z41"/>
    <mergeCell ref="AA41:AB41"/>
    <mergeCell ref="Y42:Z42"/>
    <mergeCell ref="AA42:AB42"/>
    <mergeCell ref="AA43:AB43"/>
    <mergeCell ref="AA44:AB44"/>
    <mergeCell ref="AA45:AB45"/>
    <mergeCell ref="Y43:Z43"/>
    <mergeCell ref="Q44:R44"/>
    <mergeCell ref="AL81:AM81"/>
    <mergeCell ref="AL82:AM82"/>
    <mergeCell ref="AK69:AL69"/>
    <mergeCell ref="AK75:AK76"/>
    <mergeCell ref="AM73:AN73"/>
    <mergeCell ref="AK67:AN67"/>
    <mergeCell ref="AA48:AB48"/>
    <mergeCell ref="Q49:R49"/>
    <mergeCell ref="AA49:AB49"/>
    <mergeCell ref="AA50:AB50"/>
    <mergeCell ref="Y48:Z48"/>
    <mergeCell ref="S48:T48"/>
    <mergeCell ref="U48:V48"/>
    <mergeCell ref="W48:X48"/>
  </mergeCells>
  <conditionalFormatting sqref="Q69:AB80">
    <cfRule type="colorScale" priority="6">
      <colorScale>
        <cfvo type="min"/>
        <cfvo type="percentile" val="50"/>
        <cfvo type="max"/>
        <color rgb="FF63BE7B"/>
        <color rgb="FFFFEB84"/>
        <color rgb="FFF8696B"/>
      </colorScale>
    </cfRule>
  </conditionalFormatting>
  <conditionalFormatting sqref="Q111:AJ112 X97:X110 Q114:AJ116 Q113:W113 AC113:AJ113">
    <cfRule type="colorScale" priority="5">
      <colorScale>
        <cfvo type="min"/>
        <cfvo type="percentile" val="50"/>
        <cfvo type="max"/>
        <color rgb="FF63BE7B"/>
        <color rgb="FFFFEB84"/>
        <color rgb="FFF8696B"/>
      </colorScale>
    </cfRule>
  </conditionalFormatting>
  <conditionalFormatting sqref="Q125:AJ144">
    <cfRule type="colorScale" priority="4">
      <colorScale>
        <cfvo type="min"/>
        <cfvo type="percentile" val="50"/>
        <cfvo type="max"/>
        <color rgb="FF63BE7B"/>
        <color rgb="FFFFEB84"/>
        <color rgb="FFF8696B"/>
      </colorScale>
    </cfRule>
  </conditionalFormatting>
  <conditionalFormatting sqref="R101:W103 S97:W100 Q108:W110 S104:W107">
    <cfRule type="colorScale" priority="3">
      <colorScale>
        <cfvo type="min"/>
        <cfvo type="percentile" val="50"/>
        <cfvo type="max"/>
        <color rgb="FF63BE7B"/>
        <color rgb="FFFFEB84"/>
        <color rgb="FFF8696B"/>
      </colorScale>
    </cfRule>
  </conditionalFormatting>
  <conditionalFormatting sqref="R53:AB64">
    <cfRule type="colorScale" priority="2">
      <colorScale>
        <cfvo type="min"/>
        <cfvo type="percentile" val="50"/>
        <cfvo type="max"/>
        <color rgb="FF63BE7B"/>
        <color rgb="FFFFEB84"/>
        <color rgb="FFF8696B"/>
      </colorScale>
    </cfRule>
  </conditionalFormatting>
  <conditionalFormatting sqref="AF53:AQ6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G21:G24 G25:G32 J22:N32 I20:AB21 I22:I32 O22:AB32" 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1CFB3-D06E-4DA0-A10C-C1DCB3B963FA}">
  <dimension ref="B1:AT300"/>
  <sheetViews>
    <sheetView topLeftCell="N50" zoomScale="70" zoomScaleNormal="70" workbookViewId="0">
      <selection activeCell="N67" sqref="N67:N68"/>
    </sheetView>
  </sheetViews>
  <sheetFormatPr defaultRowHeight="15" x14ac:dyDescent="0.25"/>
  <cols>
    <col min="1" max="1" width="5.85546875" style="590" customWidth="1"/>
    <col min="2" max="2" width="25.5703125" style="590" customWidth="1"/>
    <col min="3" max="38" width="20.7109375" style="590" customWidth="1"/>
    <col min="39" max="39" width="26.85546875" style="590" bestFit="1" customWidth="1"/>
    <col min="40" max="43" width="20.7109375" style="590" customWidth="1"/>
    <col min="44" max="45" width="9" style="590" customWidth="1"/>
    <col min="46" max="46" width="9.140625" style="590" customWidth="1"/>
    <col min="47" max="53" width="9.140625" style="590"/>
    <col min="54" max="55" width="10.85546875" style="590" bestFit="1" customWidth="1"/>
    <col min="56" max="16384" width="9.140625" style="590"/>
  </cols>
  <sheetData>
    <row r="1" spans="2:38" ht="21.75" thickBot="1" x14ac:dyDescent="0.3">
      <c r="B1" s="611" t="s">
        <v>39</v>
      </c>
      <c r="C1" s="575" t="s">
        <v>284</v>
      </c>
      <c r="D1" s="612"/>
      <c r="E1" s="612"/>
      <c r="F1" s="613"/>
    </row>
    <row r="2" spans="2:38" ht="21" x14ac:dyDescent="0.25">
      <c r="B2" s="614" t="s">
        <v>40</v>
      </c>
      <c r="C2" s="615"/>
      <c r="D2" s="615" t="s">
        <v>73</v>
      </c>
      <c r="E2" s="615"/>
      <c r="F2" s="616"/>
      <c r="H2" s="617" t="s">
        <v>277</v>
      </c>
      <c r="I2" s="612"/>
      <c r="J2" s="613"/>
      <c r="N2" s="611" t="s">
        <v>64</v>
      </c>
      <c r="O2" s="618"/>
      <c r="P2" s="618"/>
      <c r="Q2" s="618"/>
      <c r="R2" s="618"/>
      <c r="S2" s="618"/>
      <c r="T2" s="618"/>
      <c r="U2" s="618"/>
      <c r="V2" s="618"/>
      <c r="W2" s="619"/>
    </row>
    <row r="3" spans="2:38" ht="18.75" x14ac:dyDescent="0.25">
      <c r="B3" s="614" t="s">
        <v>41</v>
      </c>
      <c r="C3" s="615" t="str">
        <f>IF('DATA ENTRY'!B9="mm",'DATA ENTRY'!B10/25.4,'DATA ENTRY'!B10)</f>
        <v>ENTER WIDTH</v>
      </c>
      <c r="D3" s="620" t="e">
        <f>IF('DATA ENTRY'!B12="ACTUAL",'KX645'!C3,'KX645'!C3-0.5)</f>
        <v>#VALUE!</v>
      </c>
      <c r="E3" s="615"/>
      <c r="F3" s="616"/>
      <c r="H3" s="621" t="s">
        <v>278</v>
      </c>
      <c r="J3" s="609" t="e">
        <f>D3*D4/144</f>
        <v>#VALUE!</v>
      </c>
      <c r="N3" s="622"/>
      <c r="O3" s="584"/>
      <c r="P3" s="584"/>
      <c r="Q3" s="584"/>
      <c r="R3" s="584"/>
      <c r="S3" s="584"/>
      <c r="T3" s="584"/>
      <c r="U3" s="584"/>
      <c r="V3" s="584"/>
      <c r="W3" s="591"/>
    </row>
    <row r="4" spans="2:38" ht="18.75" x14ac:dyDescent="0.25">
      <c r="B4" s="614" t="s">
        <v>42</v>
      </c>
      <c r="C4" s="615" t="str">
        <f>IF('DATA ENTRY'!B9="mm",'DATA ENTRY'!B11/25.4,'DATA ENTRY'!B11)</f>
        <v>ENTER HEIGHT</v>
      </c>
      <c r="D4" s="620" t="e">
        <f>IF('DATA ENTRY'!B12="ACTUAL",'KX645'!C4,'KX645'!C4-0.5)</f>
        <v>#VALUE!</v>
      </c>
      <c r="E4" s="615"/>
      <c r="F4" s="616"/>
      <c r="H4" s="621" t="s">
        <v>279</v>
      </c>
      <c r="I4" s="615"/>
      <c r="J4" s="609" t="e">
        <f>C5/J3</f>
        <v>#VALUE!</v>
      </c>
      <c r="N4" s="623"/>
      <c r="O4" s="624" t="str">
        <f>C1&amp;"_MODEL"</f>
        <v>KX645_MODEL</v>
      </c>
      <c r="P4" s="624" t="s">
        <v>307</v>
      </c>
      <c r="Q4" s="624"/>
      <c r="R4" s="624"/>
      <c r="S4" s="624"/>
      <c r="T4" s="624"/>
      <c r="U4" s="624"/>
      <c r="V4" s="620" t="s">
        <v>116</v>
      </c>
      <c r="W4" s="625"/>
    </row>
    <row r="5" spans="2:38" ht="18.75" x14ac:dyDescent="0.25">
      <c r="B5" s="614" t="s">
        <v>43</v>
      </c>
      <c r="C5" s="626" t="str">
        <f>IF('DATA ENTRY'!B9="mm",'DATA ENTRY'!B13*2.1188799727597,'DATA ENTRY'!B13)</f>
        <v>ENTER AIR VOLUME</v>
      </c>
      <c r="D5" s="615"/>
      <c r="E5" s="615"/>
      <c r="F5" s="616"/>
      <c r="H5" s="621"/>
      <c r="I5" s="615"/>
      <c r="J5" s="616"/>
      <c r="N5" s="623" t="s">
        <v>93</v>
      </c>
      <c r="O5" s="624" t="str">
        <f>C1&amp;"_FA"</f>
        <v>KX645_FA</v>
      </c>
      <c r="P5" s="627" t="e">
        <f>D85</f>
        <v>#VALUE!</v>
      </c>
      <c r="Q5" s="624" t="s">
        <v>45</v>
      </c>
      <c r="R5" s="624"/>
      <c r="S5" s="624"/>
      <c r="T5" s="624"/>
      <c r="U5" s="624"/>
      <c r="V5" s="624" t="str">
        <f>C1&amp;"_W"</f>
        <v>KX645_W</v>
      </c>
      <c r="W5" s="628" t="e">
        <f>D3</f>
        <v>#VALUE!</v>
      </c>
    </row>
    <row r="6" spans="2:38" ht="18.75" x14ac:dyDescent="0.25">
      <c r="B6" s="614" t="s">
        <v>44</v>
      </c>
      <c r="C6" s="629" t="str">
        <f>'DATA ENTRY'!B14</f>
        <v>SELECT AIR DIRECTION</v>
      </c>
      <c r="D6" s="615"/>
      <c r="E6" s="615" t="s">
        <v>269</v>
      </c>
      <c r="F6" s="609">
        <f>IFERROR(D3*D4/144,0)</f>
        <v>0</v>
      </c>
      <c r="H6" s="621"/>
      <c r="I6" s="615"/>
      <c r="J6" s="616"/>
      <c r="N6" s="623" t="s">
        <v>70</v>
      </c>
      <c r="O6" s="624" t="str">
        <f>C1&amp;"_FA%"</f>
        <v>KX645_FA%</v>
      </c>
      <c r="P6" s="630" t="e">
        <f>D87</f>
        <v>#VALUE!</v>
      </c>
      <c r="Q6" s="624" t="s">
        <v>16</v>
      </c>
      <c r="R6" s="624"/>
      <c r="S6" s="624"/>
      <c r="T6" s="624"/>
      <c r="U6" s="624"/>
      <c r="V6" s="624" t="str">
        <f>C1&amp;"_H"</f>
        <v>KX645_H</v>
      </c>
      <c r="W6" s="628" t="e">
        <f>D4</f>
        <v>#VALUE!</v>
      </c>
    </row>
    <row r="7" spans="2:38" ht="19.5" thickBot="1" x14ac:dyDescent="0.3">
      <c r="B7" s="621"/>
      <c r="C7" s="615"/>
      <c r="D7" s="615"/>
      <c r="E7" s="615"/>
      <c r="F7" s="572"/>
      <c r="H7" s="631"/>
      <c r="I7" s="632"/>
      <c r="J7" s="633"/>
      <c r="N7" s="623" t="s">
        <v>96</v>
      </c>
      <c r="O7" s="624" t="str">
        <f>C1&amp;"_VEL"</f>
        <v>KX645_VEL</v>
      </c>
      <c r="P7" s="630" t="e">
        <f>D89</f>
        <v>#VALUE!</v>
      </c>
      <c r="Q7" s="624" t="s">
        <v>0</v>
      </c>
      <c r="R7" s="624"/>
      <c r="S7" s="624"/>
      <c r="T7" s="624"/>
      <c r="U7" s="624"/>
      <c r="V7" s="624" t="str">
        <f>C1&amp;"_SW"</f>
        <v>KX645_SW</v>
      </c>
      <c r="W7" s="628" t="e">
        <f>C8</f>
        <v>#VALUE!</v>
      </c>
    </row>
    <row r="8" spans="2:38" ht="18.75" x14ac:dyDescent="0.25">
      <c r="B8" s="614" t="s">
        <v>74</v>
      </c>
      <c r="C8" s="615" t="e">
        <f>CEILING(D3/$H$11,1)</f>
        <v>#VALUE!</v>
      </c>
      <c r="D8" s="615"/>
      <c r="E8" s="615" t="s">
        <v>75</v>
      </c>
      <c r="F8" s="572" t="e">
        <f>CEILING(D4/$H$12,1)</f>
        <v>#VALUE!</v>
      </c>
      <c r="N8" s="623" t="s">
        <v>94</v>
      </c>
      <c r="O8" s="624" t="str">
        <f>C1&amp;"_Intake"</f>
        <v>KX645_Intake</v>
      </c>
      <c r="P8" s="634">
        <f>D90</f>
        <v>0</v>
      </c>
      <c r="Q8" s="624" t="s">
        <v>99</v>
      </c>
      <c r="R8" s="624"/>
      <c r="S8" s="624"/>
      <c r="T8" s="624"/>
      <c r="U8" s="624"/>
      <c r="V8" s="624" t="str">
        <f>C1&amp;"_SH"</f>
        <v>KX645_SH</v>
      </c>
      <c r="W8" s="628" t="e">
        <f>F8</f>
        <v>#VALUE!</v>
      </c>
    </row>
    <row r="9" spans="2:38" ht="19.5" thickBot="1" x14ac:dyDescent="0.3">
      <c r="B9" s="614" t="s">
        <v>72</v>
      </c>
      <c r="C9" s="615" t="e">
        <f>D3/C8</f>
        <v>#VALUE!</v>
      </c>
      <c r="D9" s="615"/>
      <c r="E9" s="615" t="s">
        <v>63</v>
      </c>
      <c r="F9" s="609" t="e">
        <f>D4/F8</f>
        <v>#VALUE!</v>
      </c>
      <c r="N9" s="623" t="s">
        <v>95</v>
      </c>
      <c r="O9" s="624" t="str">
        <f>C1&amp;"_Exhaust"</f>
        <v>KX645_Exhaust</v>
      </c>
      <c r="P9" s="634" t="e">
        <f>D91</f>
        <v>#VALUE!</v>
      </c>
      <c r="Q9" s="624" t="s">
        <v>99</v>
      </c>
      <c r="R9" s="624"/>
      <c r="S9" s="624"/>
      <c r="T9" s="624"/>
      <c r="U9" s="624"/>
      <c r="V9" s="624"/>
      <c r="W9" s="625"/>
    </row>
    <row r="10" spans="2:38" ht="18.75" x14ac:dyDescent="0.25">
      <c r="B10" s="621"/>
      <c r="C10" s="615"/>
      <c r="D10" s="615"/>
      <c r="E10" s="615"/>
      <c r="F10" s="572"/>
      <c r="G10" s="635"/>
      <c r="H10" s="619"/>
      <c r="N10" s="623" t="s">
        <v>100</v>
      </c>
      <c r="O10" s="624" t="str">
        <f>C1&amp;"_SEC"</f>
        <v>KX645_SEC</v>
      </c>
      <c r="P10" s="624" t="e">
        <f>C11</f>
        <v>#VALUE!</v>
      </c>
      <c r="Q10" s="624"/>
      <c r="R10" s="624"/>
      <c r="S10" s="624"/>
      <c r="T10" s="624"/>
      <c r="U10" s="624"/>
      <c r="V10" s="624"/>
      <c r="W10" s="625"/>
    </row>
    <row r="11" spans="2:38" ht="18.75" x14ac:dyDescent="0.25">
      <c r="B11" s="614" t="s">
        <v>76</v>
      </c>
      <c r="C11" s="615" t="e">
        <f>C8*F8</f>
        <v>#VALUE!</v>
      </c>
      <c r="D11" s="615"/>
      <c r="E11" s="629" t="s">
        <v>164</v>
      </c>
      <c r="F11" s="572">
        <v>10</v>
      </c>
      <c r="G11" s="614" t="s">
        <v>267</v>
      </c>
      <c r="H11" s="636">
        <v>72</v>
      </c>
      <c r="N11" s="623" t="s">
        <v>97</v>
      </c>
      <c r="O11" s="624" t="str">
        <f>C1&amp;"_SECW"</f>
        <v>KX645_SECW</v>
      </c>
      <c r="P11" s="637" t="e">
        <f>AB101</f>
        <v>#VALUE!</v>
      </c>
      <c r="Q11" s="624" t="s">
        <v>86</v>
      </c>
      <c r="R11" s="624"/>
      <c r="S11" s="624"/>
      <c r="T11" s="624"/>
      <c r="U11" s="624"/>
      <c r="V11" s="624"/>
      <c r="W11" s="625"/>
    </row>
    <row r="12" spans="2:38" ht="18.75" x14ac:dyDescent="0.25">
      <c r="B12" s="621"/>
      <c r="C12" s="615"/>
      <c r="D12" s="615"/>
      <c r="E12" s="629" t="s">
        <v>165</v>
      </c>
      <c r="F12" s="572">
        <v>9.625</v>
      </c>
      <c r="G12" s="614" t="s">
        <v>268</v>
      </c>
      <c r="H12" s="636">
        <v>72</v>
      </c>
      <c r="N12" s="623" t="s">
        <v>98</v>
      </c>
      <c r="O12" s="624" t="str">
        <f>C1&amp;"_TW"</f>
        <v>KX645_TW</v>
      </c>
      <c r="P12" s="637" t="e">
        <f>AB100</f>
        <v>#VALUE!</v>
      </c>
      <c r="Q12" s="624" t="s">
        <v>86</v>
      </c>
      <c r="R12" s="584"/>
      <c r="S12" s="584"/>
      <c r="T12" s="584"/>
      <c r="U12" s="584"/>
      <c r="V12" s="584"/>
      <c r="W12" s="591"/>
    </row>
    <row r="13" spans="2:38" ht="18.75" x14ac:dyDescent="0.25">
      <c r="B13" s="621"/>
      <c r="C13" s="615"/>
      <c r="D13" s="615"/>
      <c r="E13" s="629"/>
      <c r="F13" s="636"/>
      <c r="G13" s="614"/>
      <c r="H13" s="636"/>
      <c r="N13" s="623" t="s">
        <v>280</v>
      </c>
      <c r="O13" s="624" t="str">
        <f>$C$1&amp;"_FACEAREA"</f>
        <v>KX645_FACEAREA</v>
      </c>
      <c r="P13" s="637" t="e">
        <f>J3</f>
        <v>#VALUE!</v>
      </c>
      <c r="Q13" s="624" t="s">
        <v>45</v>
      </c>
      <c r="R13" s="584"/>
      <c r="S13" s="584"/>
      <c r="T13" s="584"/>
      <c r="U13" s="584"/>
      <c r="V13" s="584"/>
      <c r="W13" s="591"/>
    </row>
    <row r="14" spans="2:38" ht="19.5" thickBot="1" x14ac:dyDescent="0.3">
      <c r="B14" s="621"/>
      <c r="C14" s="615"/>
      <c r="D14" s="615"/>
      <c r="E14" s="629"/>
      <c r="F14" s="636"/>
      <c r="G14" s="614"/>
      <c r="H14" s="636"/>
      <c r="N14" s="638" t="s">
        <v>277</v>
      </c>
      <c r="O14" s="639" t="str">
        <f>$C$1&amp;"_FACEVEL"</f>
        <v>KX645_FACEVEL</v>
      </c>
      <c r="P14" s="640" t="e">
        <f>J4</f>
        <v>#VALUE!</v>
      </c>
      <c r="Q14" s="639" t="s">
        <v>0</v>
      </c>
      <c r="R14" s="641"/>
      <c r="S14" s="641"/>
      <c r="T14" s="641"/>
      <c r="U14" s="641"/>
      <c r="V14" s="641"/>
      <c r="W14" s="642"/>
    </row>
    <row r="15" spans="2:38" ht="15.75" thickBot="1" x14ac:dyDescent="0.3">
      <c r="B15" s="622"/>
      <c r="C15" s="584"/>
      <c r="D15" s="584"/>
      <c r="E15" s="584"/>
      <c r="F15" s="591"/>
      <c r="G15" s="622"/>
      <c r="H15" s="591"/>
    </row>
    <row r="16" spans="2:38" ht="27" thickBot="1" x14ac:dyDescent="0.3">
      <c r="B16" s="958" t="str">
        <f xml:space="preserve"> C1</f>
        <v>KX645</v>
      </c>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60"/>
    </row>
    <row r="17" spans="2:38" x14ac:dyDescent="0.25">
      <c r="B17" s="643"/>
      <c r="C17" s="644"/>
      <c r="D17" s="644"/>
      <c r="E17" s="645"/>
      <c r="F17" s="646"/>
      <c r="G17" s="645"/>
      <c r="H17" s="646"/>
      <c r="I17" s="645"/>
      <c r="J17" s="646"/>
      <c r="K17" s="645"/>
      <c r="L17" s="646"/>
      <c r="M17" s="645"/>
      <c r="N17" s="646"/>
      <c r="O17" s="645"/>
      <c r="P17" s="646"/>
      <c r="Q17" s="645"/>
      <c r="R17" s="646"/>
      <c r="S17" s="645"/>
      <c r="T17" s="646"/>
      <c r="U17" s="645"/>
      <c r="V17" s="646"/>
      <c r="W17" s="645"/>
      <c r="X17" s="646"/>
      <c r="Y17" s="645"/>
      <c r="Z17" s="646"/>
      <c r="AA17" s="644"/>
      <c r="AB17" s="644"/>
      <c r="AC17" s="644"/>
      <c r="AD17" s="644"/>
      <c r="AE17" s="644"/>
      <c r="AF17" s="644"/>
      <c r="AG17" s="644"/>
      <c r="AH17" s="644"/>
      <c r="AI17" s="644"/>
      <c r="AJ17" s="644"/>
      <c r="AK17" s="618"/>
      <c r="AL17" s="619"/>
    </row>
    <row r="18" spans="2:38" ht="15" customHeight="1" x14ac:dyDescent="0.25">
      <c r="B18" s="647"/>
      <c r="D18" s="571"/>
      <c r="E18" s="933" t="s">
        <v>18</v>
      </c>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648"/>
      <c r="AD18" s="648"/>
      <c r="AE18" s="648"/>
      <c r="AF18" s="648"/>
      <c r="AG18" s="648"/>
      <c r="AH18" s="649"/>
      <c r="AI18" s="649"/>
      <c r="AJ18" s="649"/>
      <c r="AK18" s="649"/>
      <c r="AL18" s="650"/>
    </row>
    <row r="19" spans="2:38" ht="18" x14ac:dyDescent="0.25">
      <c r="B19" s="647"/>
      <c r="C19" s="571"/>
      <c r="D19" s="571"/>
      <c r="E19" s="939"/>
      <c r="F19" s="939"/>
      <c r="G19" s="939"/>
      <c r="H19" s="939"/>
      <c r="I19" s="939"/>
      <c r="J19" s="939"/>
      <c r="K19" s="939"/>
      <c r="L19" s="939"/>
      <c r="M19" s="939"/>
      <c r="N19" s="939"/>
      <c r="O19" s="939"/>
      <c r="P19" s="939"/>
      <c r="Q19" s="939"/>
      <c r="R19" s="939"/>
      <c r="S19" s="939"/>
      <c r="T19" s="939"/>
      <c r="U19" s="939"/>
      <c r="V19" s="939"/>
      <c r="W19" s="939"/>
      <c r="X19" s="939"/>
      <c r="Y19" s="939"/>
      <c r="Z19" s="939"/>
      <c r="AA19" s="939"/>
      <c r="AB19" s="939"/>
      <c r="AC19" s="648"/>
      <c r="AD19" s="648"/>
      <c r="AE19" s="651" t="s">
        <v>290</v>
      </c>
      <c r="AF19" s="651"/>
      <c r="AG19" s="651"/>
      <c r="AH19" s="652" t="s">
        <v>291</v>
      </c>
      <c r="AI19" s="653"/>
      <c r="AJ19" s="653"/>
      <c r="AK19" s="653"/>
      <c r="AL19" s="650"/>
    </row>
    <row r="20" spans="2:38" ht="30" x14ac:dyDescent="0.25">
      <c r="B20" s="647"/>
      <c r="C20" s="934" t="s">
        <v>17</v>
      </c>
      <c r="D20" s="935"/>
      <c r="E20" s="608">
        <v>10</v>
      </c>
      <c r="F20" s="549" t="str">
        <f>"("&amp;ROUND(E20*25.4/50,0)*50&amp;")"</f>
        <v>(250)</v>
      </c>
      <c r="G20" s="735">
        <v>12</v>
      </c>
      <c r="H20" s="736" t="str">
        <f>"("&amp;ROUND(G20*25.4/50,0)*50&amp;")"</f>
        <v>(300)</v>
      </c>
      <c r="I20" s="662">
        <f>G20+6</f>
        <v>18</v>
      </c>
      <c r="J20" s="736" t="str">
        <f>"("&amp;ROUND(I20*25.4/50,0)*50&amp;")"</f>
        <v>(450)</v>
      </c>
      <c r="K20" s="662">
        <f>I20+6</f>
        <v>24</v>
      </c>
      <c r="L20" s="736" t="str">
        <f>"("&amp;ROUND(K20*25.4/50,0)*50&amp;")"</f>
        <v>(600)</v>
      </c>
      <c r="M20" s="662">
        <f>K20+6</f>
        <v>30</v>
      </c>
      <c r="N20" s="736" t="str">
        <f>"("&amp;ROUND(M20*25.4/50,0)*50&amp;")"</f>
        <v>(750)</v>
      </c>
      <c r="O20" s="662">
        <f>M20+6</f>
        <v>36</v>
      </c>
      <c r="P20" s="736" t="str">
        <f>"("&amp;ROUND(O20*25.4/50,0)*50&amp;")"</f>
        <v>(900)</v>
      </c>
      <c r="Q20" s="662">
        <f>O20+6</f>
        <v>42</v>
      </c>
      <c r="R20" s="736" t="str">
        <f>"("&amp;ROUND(Q20*25.4/50,0)*50&amp;")"</f>
        <v>(1050)</v>
      </c>
      <c r="S20" s="662">
        <f>Q20+6</f>
        <v>48</v>
      </c>
      <c r="T20" s="736" t="str">
        <f>"("&amp;ROUND(S20*25.4/50,0)*50&amp;")"</f>
        <v>(1200)</v>
      </c>
      <c r="U20" s="662">
        <f>S20+6</f>
        <v>54</v>
      </c>
      <c r="V20" s="736" t="str">
        <f>"("&amp;ROUND(U20*25.4/50,0)*50&amp;")"</f>
        <v>(1350)</v>
      </c>
      <c r="W20" s="662">
        <f>U20+6</f>
        <v>60</v>
      </c>
      <c r="X20" s="736" t="str">
        <f>"("&amp;ROUND(W20*25.4/50,0)*50&amp;")"</f>
        <v>(1500)</v>
      </c>
      <c r="Y20" s="662">
        <f>W20+6</f>
        <v>66</v>
      </c>
      <c r="Z20" s="736" t="str">
        <f>"("&amp;ROUND(Y20*25.4/50,0)*50&amp;")"</f>
        <v>(1700)</v>
      </c>
      <c r="AA20" s="662">
        <f>Y20+6</f>
        <v>72</v>
      </c>
      <c r="AB20" s="736" t="str">
        <f>"("&amp;ROUND(AA20*25.4/50,0)*50&amp;")"</f>
        <v>(1850)</v>
      </c>
      <c r="AC20" s="654" t="s">
        <v>292</v>
      </c>
      <c r="AD20" s="550"/>
      <c r="AE20" s="553" t="s">
        <v>293</v>
      </c>
      <c r="AF20" s="553" t="s">
        <v>294</v>
      </c>
      <c r="AG20" s="584"/>
      <c r="AH20" s="554" t="s">
        <v>28</v>
      </c>
      <c r="AI20" s="554" t="s">
        <v>295</v>
      </c>
      <c r="AJ20" s="554" t="s">
        <v>296</v>
      </c>
      <c r="AK20" s="554" t="s">
        <v>297</v>
      </c>
      <c r="AL20" s="650"/>
    </row>
    <row r="21" spans="2:38" x14ac:dyDescent="0.25">
      <c r="B21" s="647"/>
      <c r="C21" s="779">
        <v>9.625</v>
      </c>
      <c r="D21" s="601" t="str">
        <f>"("&amp;ROUND(C21*25.4/50,0)*50&amp;")"</f>
        <v>(250)</v>
      </c>
      <c r="E21" s="767">
        <f>($E$33*$AC21)/144</f>
        <v>7.9819444444444443E-2</v>
      </c>
      <c r="F21" s="605" t="str">
        <f t="shared" ref="F21:F32" si="0">"("&amp;FIXED(E21*0.092903,2)&amp;")"</f>
        <v>(0.01)</v>
      </c>
      <c r="G21" s="763">
        <f t="shared" ref="G21:G32" si="1">($G$33*$AC21)/144</f>
        <v>0.10262499999999999</v>
      </c>
      <c r="H21" s="732" t="str">
        <f t="shared" ref="H21:H32" si="2">"("&amp;FIXED(G21*0.092903,2)&amp;")"</f>
        <v>(0.01)</v>
      </c>
      <c r="I21" s="764">
        <f t="shared" ref="I21:I32" si="3">(I$33*$AC21)/144</f>
        <v>0.17104166666666665</v>
      </c>
      <c r="J21" s="732" t="str">
        <f t="shared" ref="J21:J32" si="4">"("&amp;ROUND(I21*0.092903,2)&amp;")"</f>
        <v>(0.02)</v>
      </c>
      <c r="K21" s="764">
        <f t="shared" ref="K21:K32" si="5">(K$33*$AC21)/144</f>
        <v>0.23945833333333333</v>
      </c>
      <c r="L21" s="732" t="str">
        <f t="shared" ref="L21:L32" si="6">"("&amp;ROUND(K21*0.092903,2)&amp;")"</f>
        <v>(0.02)</v>
      </c>
      <c r="M21" s="764">
        <f t="shared" ref="M21:M32" si="7">(M$33*$AC21)/144</f>
        <v>0.30787499999999995</v>
      </c>
      <c r="N21" s="732" t="str">
        <f t="shared" ref="N21:N32" si="8">"("&amp;ROUND(M21*0.092903,2)&amp;")"</f>
        <v>(0.03)</v>
      </c>
      <c r="O21" s="764">
        <f t="shared" ref="O21:O32" si="9">(O$33*$AC21)/144</f>
        <v>0.37629166666666669</v>
      </c>
      <c r="P21" s="732" t="str">
        <f t="shared" ref="P21:P32" si="10">"("&amp;ROUND(O21*0.092903,2)&amp;")"</f>
        <v>(0.03)</v>
      </c>
      <c r="Q21" s="764">
        <f t="shared" ref="Q21:Q32" si="11">(Q$33*$AC21)/144</f>
        <v>0.44470833333333332</v>
      </c>
      <c r="R21" s="732" t="str">
        <f t="shared" ref="R21:R32" si="12">"("&amp;ROUND(Q21*0.092903,2)&amp;")"</f>
        <v>(0.04)</v>
      </c>
      <c r="S21" s="764">
        <f t="shared" ref="S21:S32" si="13">(S$33*$AC21)/144</f>
        <v>0.51312500000000005</v>
      </c>
      <c r="T21" s="732" t="str">
        <f t="shared" ref="T21:T32" si="14">"("&amp;ROUND(S21*0.092903,2)&amp;")"</f>
        <v>(0.05)</v>
      </c>
      <c r="U21" s="764">
        <f t="shared" ref="U21:U32" si="15">(U$33*$AC21)/144</f>
        <v>0.57013888888888886</v>
      </c>
      <c r="V21" s="732" t="str">
        <f t="shared" ref="V21:V32" si="16">"("&amp;FIXED(U21*0.092903,2)&amp;")"</f>
        <v>(0.05)</v>
      </c>
      <c r="W21" s="764">
        <f t="shared" ref="W21:W32" si="17">(W$33*$AC21)/144</f>
        <v>0.63855555555555554</v>
      </c>
      <c r="X21" s="732" t="str">
        <f t="shared" ref="X21:X32" si="18">"("&amp;FIXED(W21*0.092903,2)&amp;")"</f>
        <v>(0.06)</v>
      </c>
      <c r="Y21" s="764">
        <f t="shared" ref="Y21:Y32" si="19">(Y$33*$AC21)/144</f>
        <v>0.70697222222222211</v>
      </c>
      <c r="Z21" s="732" t="str">
        <f t="shared" ref="Z21:Z32" si="20">"("&amp;FIXED(Y21*0.092903,2)&amp;")"</f>
        <v>(0.07)</v>
      </c>
      <c r="AA21" s="764">
        <f t="shared" ref="AA21:AA32" si="21">(AA$33*$AC21)/144</f>
        <v>0.77538888888888879</v>
      </c>
      <c r="AB21" s="732" t="str">
        <f t="shared" ref="AB21:AB32" si="22">"("&amp;FIXED(AA21*0.092903,2)&amp;")"</f>
        <v>(0.07)</v>
      </c>
      <c r="AC21" s="768">
        <f>AK21</f>
        <v>1.6419999999999999</v>
      </c>
      <c r="AD21" s="550"/>
      <c r="AE21" s="551">
        <v>3</v>
      </c>
      <c r="AF21" s="551">
        <v>1</v>
      </c>
      <c r="AG21" s="584"/>
      <c r="AH21" s="581">
        <f t="shared" ref="AH21:AH32" si="23">ROUNDDOWN((C21-4.75)/3,0)</f>
        <v>1</v>
      </c>
      <c r="AI21" s="762">
        <v>4.75</v>
      </c>
      <c r="AJ21" s="582">
        <v>0</v>
      </c>
      <c r="AK21" s="783">
        <v>1.6419999999999999</v>
      </c>
      <c r="AL21" s="650"/>
    </row>
    <row r="22" spans="2:38" x14ac:dyDescent="0.25">
      <c r="B22" s="647"/>
      <c r="C22" s="548">
        <v>12</v>
      </c>
      <c r="D22" s="602" t="str">
        <f>"("&amp;ROUND(C22*25.4/50,0)*50&amp;")"</f>
        <v>(300)</v>
      </c>
      <c r="E22" s="767">
        <f t="shared" ref="E22:E32" si="24">($E$33*$AC22)/144</f>
        <v>0.16367361111111112</v>
      </c>
      <c r="F22" s="605" t="str">
        <f t="shared" si="0"/>
        <v>(0.02)</v>
      </c>
      <c r="G22" s="763">
        <f t="shared" si="1"/>
        <v>0.2104375</v>
      </c>
      <c r="H22" s="732" t="str">
        <f t="shared" si="2"/>
        <v>(0.02)</v>
      </c>
      <c r="I22" s="764">
        <f t="shared" si="3"/>
        <v>0.3507291666666667</v>
      </c>
      <c r="J22" s="732" t="str">
        <f t="shared" si="4"/>
        <v>(0.03)</v>
      </c>
      <c r="K22" s="764">
        <f t="shared" si="5"/>
        <v>0.4910208333333333</v>
      </c>
      <c r="L22" s="732" t="str">
        <f t="shared" si="6"/>
        <v>(0.05)</v>
      </c>
      <c r="M22" s="764">
        <f t="shared" si="7"/>
        <v>0.63131250000000005</v>
      </c>
      <c r="N22" s="732" t="str">
        <f t="shared" si="8"/>
        <v>(0.06)</v>
      </c>
      <c r="O22" s="764">
        <f t="shared" si="9"/>
        <v>0.77160416666666665</v>
      </c>
      <c r="P22" s="732" t="str">
        <f t="shared" si="10"/>
        <v>(0.07)</v>
      </c>
      <c r="Q22" s="764">
        <f t="shared" si="11"/>
        <v>0.91189583333333324</v>
      </c>
      <c r="R22" s="732" t="str">
        <f t="shared" si="12"/>
        <v>(0.08)</v>
      </c>
      <c r="S22" s="764">
        <f t="shared" si="13"/>
        <v>1.0521874999999998</v>
      </c>
      <c r="T22" s="732" t="str">
        <f t="shared" si="14"/>
        <v>(0.1)</v>
      </c>
      <c r="U22" s="764">
        <f t="shared" si="15"/>
        <v>1.1690972222222222</v>
      </c>
      <c r="V22" s="732" t="str">
        <f t="shared" si="16"/>
        <v>(0.11)</v>
      </c>
      <c r="W22" s="764">
        <f t="shared" si="17"/>
        <v>1.3093888888888889</v>
      </c>
      <c r="X22" s="732" t="str">
        <f t="shared" si="18"/>
        <v>(0.12)</v>
      </c>
      <c r="Y22" s="764">
        <f t="shared" si="19"/>
        <v>1.4496805555555554</v>
      </c>
      <c r="Z22" s="732" t="str">
        <f t="shared" si="20"/>
        <v>(0.13)</v>
      </c>
      <c r="AA22" s="764">
        <f t="shared" si="21"/>
        <v>1.5899722222222221</v>
      </c>
      <c r="AB22" s="732" t="str">
        <f t="shared" si="22"/>
        <v>(0.15)</v>
      </c>
      <c r="AC22" s="656">
        <f t="shared" ref="AC22:AC32" si="25">(AH22-1)*AJ22+AK22</f>
        <v>3.367</v>
      </c>
      <c r="AD22" s="657"/>
      <c r="AE22" s="584"/>
      <c r="AF22" s="584"/>
      <c r="AG22" s="657"/>
      <c r="AH22" s="581">
        <f t="shared" si="23"/>
        <v>2</v>
      </c>
      <c r="AI22" s="762">
        <v>4.75</v>
      </c>
      <c r="AJ22" s="582">
        <v>1.7250000000000001</v>
      </c>
      <c r="AK22" s="582">
        <v>1.6419999999999999</v>
      </c>
      <c r="AL22" s="650"/>
    </row>
    <row r="23" spans="2:38" x14ac:dyDescent="0.25">
      <c r="B23" s="647"/>
      <c r="C23" s="548">
        <f>C22+6</f>
        <v>18</v>
      </c>
      <c r="D23" s="602" t="str">
        <f t="shared" ref="D23:D32" si="26">"("&amp;ROUND(C23*25.4/50,0)*50&amp;")"</f>
        <v>(450)</v>
      </c>
      <c r="E23" s="767">
        <f t="shared" si="24"/>
        <v>0.33138194444444447</v>
      </c>
      <c r="F23" s="605" t="str">
        <f t="shared" si="0"/>
        <v>(0.03)</v>
      </c>
      <c r="G23" s="763">
        <f t="shared" si="1"/>
        <v>0.42606250000000001</v>
      </c>
      <c r="H23" s="732" t="str">
        <f t="shared" si="2"/>
        <v>(0.04)</v>
      </c>
      <c r="I23" s="764">
        <f t="shared" si="3"/>
        <v>0.71010416666666665</v>
      </c>
      <c r="J23" s="732" t="str">
        <f t="shared" si="4"/>
        <v>(0.07)</v>
      </c>
      <c r="K23" s="764">
        <f t="shared" si="5"/>
        <v>0.9941458333333334</v>
      </c>
      <c r="L23" s="732" t="str">
        <f t="shared" si="6"/>
        <v>(0.09)</v>
      </c>
      <c r="M23" s="764">
        <f t="shared" si="7"/>
        <v>1.2781875</v>
      </c>
      <c r="N23" s="732" t="str">
        <f t="shared" si="8"/>
        <v>(0.12)</v>
      </c>
      <c r="O23" s="764">
        <f t="shared" si="9"/>
        <v>1.5622291666666668</v>
      </c>
      <c r="P23" s="732" t="str">
        <f t="shared" si="10"/>
        <v>(0.15)</v>
      </c>
      <c r="Q23" s="764">
        <f t="shared" si="11"/>
        <v>1.8462708333333333</v>
      </c>
      <c r="R23" s="732" t="str">
        <f t="shared" si="12"/>
        <v>(0.17)</v>
      </c>
      <c r="S23" s="764">
        <f t="shared" si="13"/>
        <v>2.1303125000000001</v>
      </c>
      <c r="T23" s="732" t="str">
        <f t="shared" si="14"/>
        <v>(0.2)</v>
      </c>
      <c r="U23" s="764">
        <f t="shared" si="15"/>
        <v>2.3670138888888892</v>
      </c>
      <c r="V23" s="732" t="str">
        <f t="shared" si="16"/>
        <v>(0.22)</v>
      </c>
      <c r="W23" s="764">
        <f t="shared" si="17"/>
        <v>2.6510555555555557</v>
      </c>
      <c r="X23" s="732" t="str">
        <f t="shared" si="18"/>
        <v>(0.25)</v>
      </c>
      <c r="Y23" s="764">
        <f t="shared" si="19"/>
        <v>2.9350972222222222</v>
      </c>
      <c r="Z23" s="732" t="str">
        <f t="shared" si="20"/>
        <v>(0.27)</v>
      </c>
      <c r="AA23" s="764">
        <f t="shared" si="21"/>
        <v>3.2191388888888892</v>
      </c>
      <c r="AB23" s="732" t="str">
        <f t="shared" si="22"/>
        <v>(0.30)</v>
      </c>
      <c r="AC23" s="656">
        <f t="shared" si="25"/>
        <v>6.8170000000000002</v>
      </c>
      <c r="AD23" s="657"/>
      <c r="AE23" s="657"/>
      <c r="AF23" s="657"/>
      <c r="AG23" s="657"/>
      <c r="AH23" s="581">
        <f t="shared" si="23"/>
        <v>4</v>
      </c>
      <c r="AI23" s="762">
        <v>4.75</v>
      </c>
      <c r="AJ23" s="582">
        <v>1.7250000000000001</v>
      </c>
      <c r="AK23" s="582">
        <v>1.6419999999999999</v>
      </c>
      <c r="AL23" s="650"/>
    </row>
    <row r="24" spans="2:38" x14ac:dyDescent="0.25">
      <c r="B24" s="647"/>
      <c r="C24" s="548">
        <f t="shared" ref="C24:C32" si="27">C23+6</f>
        <v>24</v>
      </c>
      <c r="D24" s="602" t="str">
        <f t="shared" si="26"/>
        <v>(600)</v>
      </c>
      <c r="E24" s="767">
        <f t="shared" si="24"/>
        <v>0.49909027777777776</v>
      </c>
      <c r="F24" s="605" t="str">
        <f t="shared" si="0"/>
        <v>(0.05)</v>
      </c>
      <c r="G24" s="763">
        <f t="shared" si="1"/>
        <v>0.64168749999999997</v>
      </c>
      <c r="H24" s="732" t="str">
        <f t="shared" si="2"/>
        <v>(0.06)</v>
      </c>
      <c r="I24" s="764">
        <f t="shared" si="3"/>
        <v>1.0694791666666665</v>
      </c>
      <c r="J24" s="732" t="str">
        <f t="shared" si="4"/>
        <v>(0.1)</v>
      </c>
      <c r="K24" s="764">
        <f t="shared" si="5"/>
        <v>1.4972708333333333</v>
      </c>
      <c r="L24" s="732" t="str">
        <f t="shared" si="6"/>
        <v>(0.14)</v>
      </c>
      <c r="M24" s="764">
        <f t="shared" si="7"/>
        <v>1.9250625000000001</v>
      </c>
      <c r="N24" s="732" t="str">
        <f t="shared" si="8"/>
        <v>(0.18)</v>
      </c>
      <c r="O24" s="764">
        <f t="shared" si="9"/>
        <v>2.3528541666666665</v>
      </c>
      <c r="P24" s="732" t="str">
        <f t="shared" si="10"/>
        <v>(0.22)</v>
      </c>
      <c r="Q24" s="764">
        <f t="shared" si="11"/>
        <v>2.7806458333333328</v>
      </c>
      <c r="R24" s="732" t="str">
        <f t="shared" si="12"/>
        <v>(0.26)</v>
      </c>
      <c r="S24" s="764">
        <f t="shared" si="13"/>
        <v>3.2084375000000001</v>
      </c>
      <c r="T24" s="732" t="str">
        <f t="shared" si="14"/>
        <v>(0.3)</v>
      </c>
      <c r="U24" s="764">
        <f t="shared" si="15"/>
        <v>3.5649305555555557</v>
      </c>
      <c r="V24" s="732" t="str">
        <f t="shared" si="16"/>
        <v>(0.33)</v>
      </c>
      <c r="W24" s="764">
        <f t="shared" si="17"/>
        <v>3.9927222222222221</v>
      </c>
      <c r="X24" s="732" t="str">
        <f t="shared" si="18"/>
        <v>(0.37)</v>
      </c>
      <c r="Y24" s="764">
        <f t="shared" si="19"/>
        <v>4.4205138888888884</v>
      </c>
      <c r="Z24" s="732" t="str">
        <f t="shared" si="20"/>
        <v>(0.41)</v>
      </c>
      <c r="AA24" s="764">
        <f t="shared" si="21"/>
        <v>4.8483055555555552</v>
      </c>
      <c r="AB24" s="732" t="str">
        <f t="shared" si="22"/>
        <v>(0.45)</v>
      </c>
      <c r="AC24" s="656">
        <f t="shared" si="25"/>
        <v>10.266999999999999</v>
      </c>
      <c r="AD24" s="657"/>
      <c r="AE24" s="657"/>
      <c r="AF24" s="657"/>
      <c r="AG24" s="657"/>
      <c r="AH24" s="581">
        <f t="shared" si="23"/>
        <v>6</v>
      </c>
      <c r="AI24" s="762">
        <v>4.75</v>
      </c>
      <c r="AJ24" s="582">
        <v>1.7250000000000001</v>
      </c>
      <c r="AK24" s="582">
        <v>1.6419999999999999</v>
      </c>
      <c r="AL24" s="650"/>
    </row>
    <row r="25" spans="2:38" x14ac:dyDescent="0.25">
      <c r="B25" s="647"/>
      <c r="C25" s="548">
        <f t="shared" si="27"/>
        <v>30</v>
      </c>
      <c r="D25" s="602" t="str">
        <f t="shared" si="26"/>
        <v>(750)</v>
      </c>
      <c r="E25" s="767">
        <f t="shared" si="24"/>
        <v>0.66679861111111116</v>
      </c>
      <c r="F25" s="605" t="str">
        <f t="shared" si="0"/>
        <v>(0.06)</v>
      </c>
      <c r="G25" s="763">
        <f t="shared" si="1"/>
        <v>0.85731250000000003</v>
      </c>
      <c r="H25" s="732" t="str">
        <f t="shared" si="2"/>
        <v>(0.08)</v>
      </c>
      <c r="I25" s="764">
        <f t="shared" si="3"/>
        <v>1.4288541666666665</v>
      </c>
      <c r="J25" s="732" t="str">
        <f t="shared" si="4"/>
        <v>(0.13)</v>
      </c>
      <c r="K25" s="764">
        <f t="shared" si="5"/>
        <v>2.0003958333333336</v>
      </c>
      <c r="L25" s="732" t="str">
        <f t="shared" si="6"/>
        <v>(0.19)</v>
      </c>
      <c r="M25" s="764">
        <f t="shared" si="7"/>
        <v>2.5719375000000002</v>
      </c>
      <c r="N25" s="732" t="str">
        <f t="shared" si="8"/>
        <v>(0.24)</v>
      </c>
      <c r="O25" s="764">
        <f t="shared" si="9"/>
        <v>3.1434791666666668</v>
      </c>
      <c r="P25" s="732" t="str">
        <f t="shared" si="10"/>
        <v>(0.29)</v>
      </c>
      <c r="Q25" s="764">
        <f t="shared" si="11"/>
        <v>3.715020833333333</v>
      </c>
      <c r="R25" s="732" t="str">
        <f t="shared" si="12"/>
        <v>(0.35)</v>
      </c>
      <c r="S25" s="764">
        <f t="shared" si="13"/>
        <v>4.2865624999999996</v>
      </c>
      <c r="T25" s="732" t="str">
        <f t="shared" si="14"/>
        <v>(0.4)</v>
      </c>
      <c r="U25" s="764">
        <f t="shared" si="15"/>
        <v>4.7628472222222227</v>
      </c>
      <c r="V25" s="732" t="str">
        <f t="shared" si="16"/>
        <v>(0.44)</v>
      </c>
      <c r="W25" s="764">
        <f t="shared" si="17"/>
        <v>5.3343888888888893</v>
      </c>
      <c r="X25" s="732" t="str">
        <f t="shared" si="18"/>
        <v>(0.50)</v>
      </c>
      <c r="Y25" s="764">
        <f t="shared" si="19"/>
        <v>5.9059305555555559</v>
      </c>
      <c r="Z25" s="732" t="str">
        <f t="shared" si="20"/>
        <v>(0.55)</v>
      </c>
      <c r="AA25" s="764">
        <f t="shared" si="21"/>
        <v>6.4774722222222225</v>
      </c>
      <c r="AB25" s="732" t="str">
        <f t="shared" si="22"/>
        <v>(0.60)</v>
      </c>
      <c r="AC25" s="656">
        <f t="shared" si="25"/>
        <v>13.717000000000001</v>
      </c>
      <c r="AD25" s="657"/>
      <c r="AE25" s="657"/>
      <c r="AF25" s="657"/>
      <c r="AG25" s="657"/>
      <c r="AH25" s="581">
        <f t="shared" si="23"/>
        <v>8</v>
      </c>
      <c r="AI25" s="762">
        <v>4.75</v>
      </c>
      <c r="AJ25" s="582">
        <v>1.7250000000000001</v>
      </c>
      <c r="AK25" s="582">
        <v>1.6419999999999999</v>
      </c>
      <c r="AL25" s="650"/>
    </row>
    <row r="26" spans="2:38" x14ac:dyDescent="0.25">
      <c r="B26" s="647"/>
      <c r="C26" s="548">
        <f t="shared" si="27"/>
        <v>36</v>
      </c>
      <c r="D26" s="602" t="str">
        <f t="shared" si="26"/>
        <v>(900)</v>
      </c>
      <c r="E26" s="767">
        <f t="shared" si="24"/>
        <v>0.83450694444444451</v>
      </c>
      <c r="F26" s="605" t="str">
        <f t="shared" si="0"/>
        <v>(0.08)</v>
      </c>
      <c r="G26" s="763">
        <f t="shared" si="1"/>
        <v>1.0729375000000001</v>
      </c>
      <c r="H26" s="732" t="str">
        <f t="shared" si="2"/>
        <v>(0.10)</v>
      </c>
      <c r="I26" s="764">
        <f t="shared" si="3"/>
        <v>1.7882291666666665</v>
      </c>
      <c r="J26" s="732" t="str">
        <f t="shared" si="4"/>
        <v>(0.17)</v>
      </c>
      <c r="K26" s="764">
        <f t="shared" si="5"/>
        <v>2.5035208333333339</v>
      </c>
      <c r="L26" s="732" t="str">
        <f t="shared" si="6"/>
        <v>(0.23)</v>
      </c>
      <c r="M26" s="764">
        <f t="shared" si="7"/>
        <v>3.2188125000000003</v>
      </c>
      <c r="N26" s="732" t="str">
        <f t="shared" si="8"/>
        <v>(0.3)</v>
      </c>
      <c r="O26" s="764">
        <f t="shared" si="9"/>
        <v>3.9341041666666672</v>
      </c>
      <c r="P26" s="732" t="str">
        <f t="shared" si="10"/>
        <v>(0.37)</v>
      </c>
      <c r="Q26" s="764">
        <f t="shared" si="11"/>
        <v>4.6493958333333332</v>
      </c>
      <c r="R26" s="732" t="str">
        <f t="shared" si="12"/>
        <v>(0.43)</v>
      </c>
      <c r="S26" s="764">
        <f t="shared" si="13"/>
        <v>5.3646875000000005</v>
      </c>
      <c r="T26" s="732" t="str">
        <f t="shared" si="14"/>
        <v>(0.5)</v>
      </c>
      <c r="U26" s="764">
        <f t="shared" si="15"/>
        <v>5.9607638888888896</v>
      </c>
      <c r="V26" s="732" t="str">
        <f t="shared" si="16"/>
        <v>(0.55)</v>
      </c>
      <c r="W26" s="764">
        <f t="shared" si="17"/>
        <v>6.6760555555555561</v>
      </c>
      <c r="X26" s="732" t="str">
        <f t="shared" si="18"/>
        <v>(0.62)</v>
      </c>
      <c r="Y26" s="764">
        <f t="shared" si="19"/>
        <v>7.3913472222222225</v>
      </c>
      <c r="Z26" s="732" t="str">
        <f t="shared" si="20"/>
        <v>(0.69)</v>
      </c>
      <c r="AA26" s="764">
        <f t="shared" si="21"/>
        <v>8.1066388888888898</v>
      </c>
      <c r="AB26" s="732" t="str">
        <f t="shared" si="22"/>
        <v>(0.75)</v>
      </c>
      <c r="AC26" s="656">
        <f t="shared" si="25"/>
        <v>17.167000000000002</v>
      </c>
      <c r="AD26" s="657"/>
      <c r="AE26" s="657"/>
      <c r="AF26" s="657"/>
      <c r="AG26" s="657"/>
      <c r="AH26" s="581">
        <f t="shared" si="23"/>
        <v>10</v>
      </c>
      <c r="AI26" s="762">
        <v>4.75</v>
      </c>
      <c r="AJ26" s="582">
        <v>1.7250000000000001</v>
      </c>
      <c r="AK26" s="582">
        <v>1.6419999999999999</v>
      </c>
      <c r="AL26" s="650"/>
    </row>
    <row r="27" spans="2:38" x14ac:dyDescent="0.25">
      <c r="B27" s="647"/>
      <c r="C27" s="548">
        <f t="shared" si="27"/>
        <v>42</v>
      </c>
      <c r="D27" s="602" t="str">
        <f>"("&amp;ROUND(C27*25.4/50,0)*50&amp;")"</f>
        <v>(1050)</v>
      </c>
      <c r="E27" s="767">
        <f t="shared" si="24"/>
        <v>1.002215277777778</v>
      </c>
      <c r="F27" s="605" t="str">
        <f t="shared" si="0"/>
        <v>(0.09)</v>
      </c>
      <c r="G27" s="763">
        <f t="shared" si="1"/>
        <v>1.2885625000000001</v>
      </c>
      <c r="H27" s="732" t="str">
        <f t="shared" si="2"/>
        <v>(0.12)</v>
      </c>
      <c r="I27" s="764">
        <f t="shared" si="3"/>
        <v>2.1476041666666665</v>
      </c>
      <c r="J27" s="732" t="str">
        <f t="shared" si="4"/>
        <v>(0.2)</v>
      </c>
      <c r="K27" s="764">
        <f t="shared" si="5"/>
        <v>3.0066458333333332</v>
      </c>
      <c r="L27" s="732" t="str">
        <f t="shared" si="6"/>
        <v>(0.28)</v>
      </c>
      <c r="M27" s="764">
        <f t="shared" si="7"/>
        <v>3.8656874999999999</v>
      </c>
      <c r="N27" s="732" t="str">
        <f t="shared" si="8"/>
        <v>(0.36)</v>
      </c>
      <c r="O27" s="764">
        <f t="shared" si="9"/>
        <v>4.7247291666666662</v>
      </c>
      <c r="P27" s="732" t="str">
        <f t="shared" si="10"/>
        <v>(0.44)</v>
      </c>
      <c r="Q27" s="764">
        <f t="shared" si="11"/>
        <v>5.5837708333333333</v>
      </c>
      <c r="R27" s="732" t="str">
        <f t="shared" si="12"/>
        <v>(0.52)</v>
      </c>
      <c r="S27" s="764">
        <f t="shared" si="13"/>
        <v>6.4428124999999996</v>
      </c>
      <c r="T27" s="732" t="str">
        <f t="shared" si="14"/>
        <v>(0.6)</v>
      </c>
      <c r="U27" s="764">
        <f t="shared" si="15"/>
        <v>7.1586805555555566</v>
      </c>
      <c r="V27" s="732" t="str">
        <f t="shared" si="16"/>
        <v>(0.67)</v>
      </c>
      <c r="W27" s="764">
        <f t="shared" si="17"/>
        <v>8.0177222222222237</v>
      </c>
      <c r="X27" s="732" t="str">
        <f t="shared" si="18"/>
        <v>(0.74)</v>
      </c>
      <c r="Y27" s="764">
        <f t="shared" si="19"/>
        <v>8.87676388888889</v>
      </c>
      <c r="Z27" s="732" t="str">
        <f t="shared" si="20"/>
        <v>(0.82)</v>
      </c>
      <c r="AA27" s="764">
        <f t="shared" si="21"/>
        <v>9.7358055555555563</v>
      </c>
      <c r="AB27" s="732" t="str">
        <f t="shared" si="22"/>
        <v>(0.90)</v>
      </c>
      <c r="AC27" s="656">
        <f t="shared" si="25"/>
        <v>20.617000000000001</v>
      </c>
      <c r="AD27" s="657"/>
      <c r="AE27" s="657"/>
      <c r="AF27" s="657"/>
      <c r="AG27" s="657"/>
      <c r="AH27" s="581">
        <f t="shared" si="23"/>
        <v>12</v>
      </c>
      <c r="AI27" s="762">
        <v>4.75</v>
      </c>
      <c r="AJ27" s="582">
        <v>1.7250000000000001</v>
      </c>
      <c r="AK27" s="582">
        <v>1.6419999999999999</v>
      </c>
      <c r="AL27" s="650"/>
    </row>
    <row r="28" spans="2:38" x14ac:dyDescent="0.25">
      <c r="B28" s="647"/>
      <c r="C28" s="548">
        <f t="shared" si="27"/>
        <v>48</v>
      </c>
      <c r="D28" s="602" t="str">
        <f t="shared" si="26"/>
        <v>(1200)</v>
      </c>
      <c r="E28" s="767">
        <f t="shared" si="24"/>
        <v>1.1699236111111111</v>
      </c>
      <c r="F28" s="605" t="str">
        <f t="shared" si="0"/>
        <v>(0.11)</v>
      </c>
      <c r="G28" s="763">
        <f t="shared" si="1"/>
        <v>1.5041875</v>
      </c>
      <c r="H28" s="732" t="str">
        <f t="shared" si="2"/>
        <v>(0.14)</v>
      </c>
      <c r="I28" s="764">
        <f t="shared" si="3"/>
        <v>2.5069791666666665</v>
      </c>
      <c r="J28" s="732" t="str">
        <f t="shared" si="4"/>
        <v>(0.23)</v>
      </c>
      <c r="K28" s="764">
        <f t="shared" si="5"/>
        <v>3.5097708333333331</v>
      </c>
      <c r="L28" s="732" t="str">
        <f t="shared" si="6"/>
        <v>(0.33)</v>
      </c>
      <c r="M28" s="764">
        <f t="shared" si="7"/>
        <v>4.5125624999999996</v>
      </c>
      <c r="N28" s="732" t="str">
        <f t="shared" si="8"/>
        <v>(0.42)</v>
      </c>
      <c r="O28" s="764">
        <f t="shared" si="9"/>
        <v>5.5153541666666666</v>
      </c>
      <c r="P28" s="732" t="str">
        <f t="shared" si="10"/>
        <v>(0.51)</v>
      </c>
      <c r="Q28" s="764">
        <f t="shared" si="11"/>
        <v>6.5181458333333335</v>
      </c>
      <c r="R28" s="732" t="str">
        <f t="shared" si="12"/>
        <v>(0.61)</v>
      </c>
      <c r="S28" s="764">
        <f t="shared" si="13"/>
        <v>7.5209375000000005</v>
      </c>
      <c r="T28" s="732" t="str">
        <f t="shared" si="14"/>
        <v>(0.7)</v>
      </c>
      <c r="U28" s="764">
        <f t="shared" si="15"/>
        <v>8.3565972222222218</v>
      </c>
      <c r="V28" s="732" t="str">
        <f t="shared" si="16"/>
        <v>(0.78)</v>
      </c>
      <c r="W28" s="764">
        <f t="shared" si="17"/>
        <v>9.3593888888888888</v>
      </c>
      <c r="X28" s="732" t="str">
        <f t="shared" si="18"/>
        <v>(0.87)</v>
      </c>
      <c r="Y28" s="764">
        <f t="shared" si="19"/>
        <v>10.362180555555556</v>
      </c>
      <c r="Z28" s="732" t="str">
        <f t="shared" si="20"/>
        <v>(0.96)</v>
      </c>
      <c r="AA28" s="764">
        <f t="shared" si="21"/>
        <v>11.364972222222223</v>
      </c>
      <c r="AB28" s="732" t="str">
        <f t="shared" si="22"/>
        <v>(1.06)</v>
      </c>
      <c r="AC28" s="656">
        <f t="shared" si="25"/>
        <v>24.067</v>
      </c>
      <c r="AD28" s="657"/>
      <c r="AE28" s="657"/>
      <c r="AF28" s="657"/>
      <c r="AG28" s="657"/>
      <c r="AH28" s="581">
        <f t="shared" si="23"/>
        <v>14</v>
      </c>
      <c r="AI28" s="762">
        <v>4.75</v>
      </c>
      <c r="AJ28" s="582">
        <v>1.7250000000000001</v>
      </c>
      <c r="AK28" s="582">
        <v>1.6419999999999999</v>
      </c>
      <c r="AL28" s="650"/>
    </row>
    <row r="29" spans="2:38" x14ac:dyDescent="0.25">
      <c r="B29" s="647"/>
      <c r="C29" s="548">
        <f t="shared" si="27"/>
        <v>54</v>
      </c>
      <c r="D29" s="602" t="str">
        <f t="shared" si="26"/>
        <v>(1350)</v>
      </c>
      <c r="E29" s="767">
        <f t="shared" si="24"/>
        <v>1.3376319444444444</v>
      </c>
      <c r="F29" s="605" t="str">
        <f t="shared" si="0"/>
        <v>(0.12)</v>
      </c>
      <c r="G29" s="763">
        <f t="shared" si="1"/>
        <v>1.7198125</v>
      </c>
      <c r="H29" s="732" t="str">
        <f t="shared" si="2"/>
        <v>(0.16)</v>
      </c>
      <c r="I29" s="764">
        <f t="shared" si="3"/>
        <v>2.8663541666666665</v>
      </c>
      <c r="J29" s="732" t="str">
        <f t="shared" si="4"/>
        <v>(0.27)</v>
      </c>
      <c r="K29" s="764">
        <f t="shared" si="5"/>
        <v>4.0128958333333333</v>
      </c>
      <c r="L29" s="732" t="str">
        <f t="shared" si="6"/>
        <v>(0.37)</v>
      </c>
      <c r="M29" s="764">
        <f t="shared" si="7"/>
        <v>5.1594374999999992</v>
      </c>
      <c r="N29" s="732" t="str">
        <f t="shared" si="8"/>
        <v>(0.48)</v>
      </c>
      <c r="O29" s="764">
        <f t="shared" si="9"/>
        <v>6.3059791666666669</v>
      </c>
      <c r="P29" s="732" t="str">
        <f t="shared" si="10"/>
        <v>(0.59)</v>
      </c>
      <c r="Q29" s="764">
        <f t="shared" si="11"/>
        <v>7.4525208333333337</v>
      </c>
      <c r="R29" s="732" t="str">
        <f t="shared" si="12"/>
        <v>(0.69)</v>
      </c>
      <c r="S29" s="764">
        <f t="shared" si="13"/>
        <v>8.5990624999999987</v>
      </c>
      <c r="T29" s="732" t="str">
        <f t="shared" si="14"/>
        <v>(0.8)</v>
      </c>
      <c r="U29" s="764">
        <f t="shared" si="15"/>
        <v>9.5545138888888879</v>
      </c>
      <c r="V29" s="732" t="str">
        <f t="shared" si="16"/>
        <v>(0.89)</v>
      </c>
      <c r="W29" s="764">
        <f t="shared" si="17"/>
        <v>10.701055555555556</v>
      </c>
      <c r="X29" s="732" t="str">
        <f t="shared" si="18"/>
        <v>(0.99)</v>
      </c>
      <c r="Y29" s="764">
        <f t="shared" si="19"/>
        <v>11.847597222222221</v>
      </c>
      <c r="Z29" s="732" t="str">
        <f t="shared" si="20"/>
        <v>(1.10)</v>
      </c>
      <c r="AA29" s="764">
        <f t="shared" si="21"/>
        <v>12.994138888888889</v>
      </c>
      <c r="AB29" s="732" t="str">
        <f t="shared" si="22"/>
        <v>(1.21)</v>
      </c>
      <c r="AC29" s="656">
        <f t="shared" si="25"/>
        <v>27.516999999999999</v>
      </c>
      <c r="AD29" s="657"/>
      <c r="AE29" s="657"/>
      <c r="AF29" s="657"/>
      <c r="AG29" s="657"/>
      <c r="AH29" s="581">
        <f t="shared" si="23"/>
        <v>16</v>
      </c>
      <c r="AI29" s="762">
        <v>4.75</v>
      </c>
      <c r="AJ29" s="582">
        <v>1.7250000000000001</v>
      </c>
      <c r="AK29" s="582">
        <v>1.6419999999999999</v>
      </c>
      <c r="AL29" s="650"/>
    </row>
    <row r="30" spans="2:38" x14ac:dyDescent="0.25">
      <c r="B30" s="647"/>
      <c r="C30" s="548">
        <f t="shared" si="27"/>
        <v>60</v>
      </c>
      <c r="D30" s="602" t="str">
        <f t="shared" si="26"/>
        <v>(1500)</v>
      </c>
      <c r="E30" s="767">
        <f t="shared" si="24"/>
        <v>1.5053402777777778</v>
      </c>
      <c r="F30" s="605" t="str">
        <f t="shared" si="0"/>
        <v>(0.14)</v>
      </c>
      <c r="G30" s="763">
        <f t="shared" si="1"/>
        <v>1.9354375000000001</v>
      </c>
      <c r="H30" s="732" t="str">
        <f t="shared" si="2"/>
        <v>(0.18)</v>
      </c>
      <c r="I30" s="764">
        <f t="shared" si="3"/>
        <v>3.225729166666667</v>
      </c>
      <c r="J30" s="732" t="str">
        <f t="shared" si="4"/>
        <v>(0.3)</v>
      </c>
      <c r="K30" s="764">
        <f t="shared" si="5"/>
        <v>4.5160208333333332</v>
      </c>
      <c r="L30" s="732" t="str">
        <f t="shared" si="6"/>
        <v>(0.42)</v>
      </c>
      <c r="M30" s="764">
        <f t="shared" si="7"/>
        <v>5.8063125000000007</v>
      </c>
      <c r="N30" s="732" t="str">
        <f t="shared" si="8"/>
        <v>(0.54)</v>
      </c>
      <c r="O30" s="764">
        <f t="shared" si="9"/>
        <v>7.0966041666666673</v>
      </c>
      <c r="P30" s="732" t="str">
        <f t="shared" si="10"/>
        <v>(0.66)</v>
      </c>
      <c r="Q30" s="764">
        <f t="shared" si="11"/>
        <v>8.3868958333333339</v>
      </c>
      <c r="R30" s="732" t="str">
        <f t="shared" si="12"/>
        <v>(0.78)</v>
      </c>
      <c r="S30" s="764">
        <f t="shared" si="13"/>
        <v>9.6771875000000005</v>
      </c>
      <c r="T30" s="732" t="str">
        <f t="shared" si="14"/>
        <v>(0.9)</v>
      </c>
      <c r="U30" s="764">
        <f t="shared" si="15"/>
        <v>10.752430555555556</v>
      </c>
      <c r="V30" s="732" t="str">
        <f t="shared" si="16"/>
        <v>(1.00)</v>
      </c>
      <c r="W30" s="764">
        <f t="shared" si="17"/>
        <v>12.042722222222222</v>
      </c>
      <c r="X30" s="732" t="str">
        <f t="shared" si="18"/>
        <v>(1.12)</v>
      </c>
      <c r="Y30" s="764">
        <f t="shared" si="19"/>
        <v>13.333013888888891</v>
      </c>
      <c r="Z30" s="732" t="str">
        <f t="shared" si="20"/>
        <v>(1.24)</v>
      </c>
      <c r="AA30" s="764">
        <f t="shared" si="21"/>
        <v>14.623305555555557</v>
      </c>
      <c r="AB30" s="732" t="str">
        <f t="shared" si="22"/>
        <v>(1.36)</v>
      </c>
      <c r="AC30" s="656">
        <f t="shared" si="25"/>
        <v>30.967000000000002</v>
      </c>
      <c r="AD30" s="657"/>
      <c r="AE30" s="657"/>
      <c r="AF30" s="657"/>
      <c r="AG30" s="657"/>
      <c r="AH30" s="581">
        <f t="shared" si="23"/>
        <v>18</v>
      </c>
      <c r="AI30" s="762">
        <v>4.75</v>
      </c>
      <c r="AJ30" s="582">
        <v>1.7250000000000001</v>
      </c>
      <c r="AK30" s="582">
        <v>1.6419999999999999</v>
      </c>
      <c r="AL30" s="650"/>
    </row>
    <row r="31" spans="2:38" x14ac:dyDescent="0.25">
      <c r="B31" s="647"/>
      <c r="C31" s="548">
        <f t="shared" si="27"/>
        <v>66</v>
      </c>
      <c r="D31" s="602" t="str">
        <f t="shared" si="26"/>
        <v>(1700)</v>
      </c>
      <c r="E31" s="767">
        <f t="shared" si="24"/>
        <v>1.6730486111111111</v>
      </c>
      <c r="F31" s="605" t="str">
        <f t="shared" si="0"/>
        <v>(0.16)</v>
      </c>
      <c r="G31" s="763">
        <f t="shared" si="1"/>
        <v>2.1510625000000001</v>
      </c>
      <c r="H31" s="732" t="str">
        <f t="shared" si="2"/>
        <v>(0.20)</v>
      </c>
      <c r="I31" s="764">
        <f t="shared" si="3"/>
        <v>3.5851041666666665</v>
      </c>
      <c r="J31" s="732" t="str">
        <f t="shared" si="4"/>
        <v>(0.33)</v>
      </c>
      <c r="K31" s="764">
        <f t="shared" si="5"/>
        <v>5.0191458333333339</v>
      </c>
      <c r="L31" s="732" t="str">
        <f t="shared" si="6"/>
        <v>(0.47)</v>
      </c>
      <c r="M31" s="764">
        <f t="shared" si="7"/>
        <v>6.4531875000000003</v>
      </c>
      <c r="N31" s="732" t="str">
        <f t="shared" si="8"/>
        <v>(0.6)</v>
      </c>
      <c r="O31" s="764">
        <f t="shared" si="9"/>
        <v>7.8872291666666667</v>
      </c>
      <c r="P31" s="732" t="str">
        <f t="shared" si="10"/>
        <v>(0.73)</v>
      </c>
      <c r="Q31" s="764">
        <f t="shared" si="11"/>
        <v>9.3212708333333349</v>
      </c>
      <c r="R31" s="732" t="str">
        <f t="shared" si="12"/>
        <v>(0.87)</v>
      </c>
      <c r="S31" s="764">
        <f t="shared" si="13"/>
        <v>10.7553125</v>
      </c>
      <c r="T31" s="732" t="str">
        <f t="shared" si="14"/>
        <v>(1)</v>
      </c>
      <c r="U31" s="764">
        <f t="shared" si="15"/>
        <v>11.950347222222224</v>
      </c>
      <c r="V31" s="732" t="str">
        <f t="shared" si="16"/>
        <v>(1.11)</v>
      </c>
      <c r="W31" s="764">
        <f t="shared" si="17"/>
        <v>13.384388888888889</v>
      </c>
      <c r="X31" s="732" t="str">
        <f t="shared" si="18"/>
        <v>(1.24)</v>
      </c>
      <c r="Y31" s="764">
        <f t="shared" si="19"/>
        <v>14.818430555555558</v>
      </c>
      <c r="Z31" s="732" t="str">
        <f t="shared" si="20"/>
        <v>(1.38)</v>
      </c>
      <c r="AA31" s="764">
        <f t="shared" si="21"/>
        <v>16.252472222222224</v>
      </c>
      <c r="AB31" s="732" t="str">
        <f t="shared" si="22"/>
        <v>(1.51)</v>
      </c>
      <c r="AC31" s="656">
        <f t="shared" si="25"/>
        <v>34.417000000000002</v>
      </c>
      <c r="AD31" s="657"/>
      <c r="AE31" s="657"/>
      <c r="AF31" s="657"/>
      <c r="AG31" s="657"/>
      <c r="AH31" s="581">
        <f t="shared" si="23"/>
        <v>20</v>
      </c>
      <c r="AI31" s="762">
        <v>4.75</v>
      </c>
      <c r="AJ31" s="582">
        <v>1.7250000000000001</v>
      </c>
      <c r="AK31" s="582">
        <v>1.6419999999999999</v>
      </c>
      <c r="AL31" s="650"/>
    </row>
    <row r="32" spans="2:38" x14ac:dyDescent="0.25">
      <c r="B32" s="647"/>
      <c r="C32" s="548">
        <f t="shared" si="27"/>
        <v>72</v>
      </c>
      <c r="D32" s="602" t="str">
        <f t="shared" si="26"/>
        <v>(1850)</v>
      </c>
      <c r="E32" s="769">
        <f t="shared" si="24"/>
        <v>1.8407569444444445</v>
      </c>
      <c r="F32" s="607" t="str">
        <f t="shared" si="0"/>
        <v>(0.17)</v>
      </c>
      <c r="G32" s="765">
        <f t="shared" si="1"/>
        <v>2.3666875000000003</v>
      </c>
      <c r="H32" s="734" t="str">
        <f t="shared" si="2"/>
        <v>(0.22)</v>
      </c>
      <c r="I32" s="766">
        <f t="shared" si="3"/>
        <v>3.9444791666666674</v>
      </c>
      <c r="J32" s="734" t="str">
        <f t="shared" si="4"/>
        <v>(0.37)</v>
      </c>
      <c r="K32" s="766">
        <f t="shared" si="5"/>
        <v>5.5222708333333337</v>
      </c>
      <c r="L32" s="734" t="str">
        <f t="shared" si="6"/>
        <v>(0.51)</v>
      </c>
      <c r="M32" s="766">
        <f t="shared" si="7"/>
        <v>7.1000625000000008</v>
      </c>
      <c r="N32" s="734" t="str">
        <f t="shared" si="8"/>
        <v>(0.66)</v>
      </c>
      <c r="O32" s="766">
        <f t="shared" si="9"/>
        <v>8.677854166666668</v>
      </c>
      <c r="P32" s="734" t="str">
        <f t="shared" si="10"/>
        <v>(0.81)</v>
      </c>
      <c r="Q32" s="766">
        <f t="shared" si="11"/>
        <v>10.255645833333334</v>
      </c>
      <c r="R32" s="734" t="str">
        <f t="shared" si="12"/>
        <v>(0.95)</v>
      </c>
      <c r="S32" s="766">
        <f t="shared" si="13"/>
        <v>11.8334375</v>
      </c>
      <c r="T32" s="734" t="str">
        <f t="shared" si="14"/>
        <v>(1.1)</v>
      </c>
      <c r="U32" s="766">
        <f t="shared" si="15"/>
        <v>13.14826388888889</v>
      </c>
      <c r="V32" s="734" t="str">
        <f t="shared" si="16"/>
        <v>(1.22)</v>
      </c>
      <c r="W32" s="766">
        <f t="shared" si="17"/>
        <v>14.726055555555556</v>
      </c>
      <c r="X32" s="734" t="str">
        <f t="shared" si="18"/>
        <v>(1.37)</v>
      </c>
      <c r="Y32" s="766">
        <f t="shared" si="19"/>
        <v>16.303847222222224</v>
      </c>
      <c r="Z32" s="734" t="str">
        <f t="shared" si="20"/>
        <v>(1.51)</v>
      </c>
      <c r="AA32" s="766">
        <f t="shared" si="21"/>
        <v>17.88163888888889</v>
      </c>
      <c r="AB32" s="734" t="str">
        <f t="shared" si="22"/>
        <v>(1.66)</v>
      </c>
      <c r="AC32" s="656">
        <f t="shared" si="25"/>
        <v>37.867000000000004</v>
      </c>
      <c r="AD32" s="657"/>
      <c r="AE32" s="657"/>
      <c r="AF32" s="657"/>
      <c r="AG32" s="657"/>
      <c r="AH32" s="581">
        <f t="shared" si="23"/>
        <v>22</v>
      </c>
      <c r="AI32" s="762">
        <v>4.75</v>
      </c>
      <c r="AJ32" s="582">
        <v>1.7250000000000001</v>
      </c>
      <c r="AK32" s="582">
        <v>1.6419999999999999</v>
      </c>
      <c r="AL32" s="650"/>
    </row>
    <row r="33" spans="2:38" x14ac:dyDescent="0.25">
      <c r="B33" s="647"/>
      <c r="C33" s="658" t="s">
        <v>298</v>
      </c>
      <c r="D33" s="658"/>
      <c r="E33" s="603">
        <f>E20-$AE$21</f>
        <v>7</v>
      </c>
      <c r="F33" s="584"/>
      <c r="G33" s="603">
        <f>G20-$AE$21</f>
        <v>9</v>
      </c>
      <c r="H33" s="603"/>
      <c r="I33" s="603">
        <f>I20-$AE$21</f>
        <v>15</v>
      </c>
      <c r="J33" s="603"/>
      <c r="K33" s="603">
        <f>K20-$AE$21</f>
        <v>21</v>
      </c>
      <c r="L33" s="603"/>
      <c r="M33" s="603">
        <f>M20-$AE$21</f>
        <v>27</v>
      </c>
      <c r="N33" s="603"/>
      <c r="O33" s="603">
        <f>O20-$AE$21</f>
        <v>33</v>
      </c>
      <c r="P33" s="603"/>
      <c r="Q33" s="603">
        <f>Q20-$AE$21</f>
        <v>39</v>
      </c>
      <c r="R33" s="603"/>
      <c r="S33" s="603">
        <f>S20-$AE$21</f>
        <v>45</v>
      </c>
      <c r="T33" s="603"/>
      <c r="U33" s="603">
        <f>U20-$AE$21-$AF$21</f>
        <v>50</v>
      </c>
      <c r="V33" s="659"/>
      <c r="W33" s="603">
        <f>W20-$AE$21-$AF$21</f>
        <v>56</v>
      </c>
      <c r="X33" s="659"/>
      <c r="Y33" s="603">
        <f>Y20-$AE$21-$AF$21</f>
        <v>62</v>
      </c>
      <c r="Z33" s="659"/>
      <c r="AA33" s="603">
        <f>AA20-$AE$21-$AF$21</f>
        <v>68</v>
      </c>
      <c r="AB33" s="659"/>
      <c r="AC33" s="648"/>
      <c r="AD33" s="648"/>
      <c r="AE33" s="648"/>
      <c r="AF33" s="648"/>
      <c r="AG33" s="648"/>
      <c r="AH33" s="648"/>
      <c r="AI33" s="648"/>
      <c r="AJ33" s="648"/>
      <c r="AK33" s="648"/>
      <c r="AL33" s="650"/>
    </row>
    <row r="34" spans="2:38" x14ac:dyDescent="0.25">
      <c r="B34" s="647"/>
      <c r="C34" s="648"/>
      <c r="D34" s="648"/>
      <c r="E34" s="584"/>
      <c r="F34" s="584"/>
      <c r="G34" s="660"/>
      <c r="H34" s="661"/>
      <c r="I34" s="660"/>
      <c r="J34" s="661"/>
      <c r="K34" s="660"/>
      <c r="L34" s="661"/>
      <c r="M34" s="660"/>
      <c r="N34" s="661"/>
      <c r="O34" s="660"/>
      <c r="P34" s="661"/>
      <c r="Q34" s="660"/>
      <c r="R34" s="661"/>
      <c r="S34" s="660"/>
      <c r="T34" s="661"/>
      <c r="U34" s="660"/>
      <c r="V34" s="661"/>
      <c r="W34" s="660"/>
      <c r="X34" s="661"/>
      <c r="Y34" s="660"/>
      <c r="Z34" s="661"/>
      <c r="AA34" s="660"/>
      <c r="AB34" s="661"/>
      <c r="AC34" s="648"/>
      <c r="AD34" s="648"/>
      <c r="AE34" s="648"/>
      <c r="AG34" s="648"/>
      <c r="AH34" s="648"/>
      <c r="AI34" s="648"/>
      <c r="AJ34" s="648"/>
      <c r="AK34" s="648"/>
      <c r="AL34" s="650"/>
    </row>
    <row r="35" spans="2:38" ht="26.25" x14ac:dyDescent="0.25">
      <c r="B35" s="647"/>
      <c r="C35" s="940" t="s">
        <v>299</v>
      </c>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941"/>
      <c r="AB35" s="942"/>
      <c r="AC35" s="648"/>
      <c r="AD35" s="648"/>
      <c r="AE35" s="648"/>
      <c r="AF35" s="648"/>
      <c r="AG35" s="648"/>
      <c r="AH35" s="648"/>
      <c r="AI35" s="648"/>
      <c r="AJ35" s="648"/>
      <c r="AK35" s="648"/>
      <c r="AL35" s="650"/>
    </row>
    <row r="36" spans="2:38" ht="15" customHeight="1" x14ac:dyDescent="0.25">
      <c r="B36" s="647"/>
      <c r="C36" s="936" t="s">
        <v>300</v>
      </c>
      <c r="D36" s="936"/>
      <c r="E36" s="933" t="s">
        <v>301</v>
      </c>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648"/>
      <c r="AD36" s="648"/>
      <c r="AE36" s="648"/>
      <c r="AF36" s="648"/>
      <c r="AG36" s="648"/>
      <c r="AH36" s="648"/>
      <c r="AI36" s="648"/>
      <c r="AJ36" s="648"/>
      <c r="AK36" s="648"/>
      <c r="AL36" s="650"/>
    </row>
    <row r="37" spans="2:38" x14ac:dyDescent="0.25">
      <c r="B37" s="647"/>
      <c r="C37" s="936"/>
      <c r="D37" s="936"/>
      <c r="E37" s="933" t="s">
        <v>302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648"/>
      <c r="AD37" s="648"/>
      <c r="AE37" s="648"/>
      <c r="AF37" s="648"/>
      <c r="AG37" s="648"/>
      <c r="AH37" s="648"/>
      <c r="AI37" s="648"/>
      <c r="AJ37" s="648"/>
      <c r="AK37" s="648"/>
      <c r="AL37" s="650"/>
    </row>
    <row r="38" spans="2:38" x14ac:dyDescent="0.25">
      <c r="B38" s="647"/>
      <c r="C38" s="936"/>
      <c r="D38" s="936"/>
      <c r="E38" s="937" t="str">
        <f>FIXED(E20,0)&amp;" "&amp;F20</f>
        <v>10 (250)</v>
      </c>
      <c r="F38" s="937"/>
      <c r="G38" s="926" t="str">
        <f>FIXED(G20,0)&amp;" "&amp;H20</f>
        <v>12 (300)</v>
      </c>
      <c r="H38" s="927"/>
      <c r="I38" s="926" t="str">
        <f>FIXED(I20,0)&amp;" "&amp;J20</f>
        <v>18 (450)</v>
      </c>
      <c r="J38" s="927"/>
      <c r="K38" s="926" t="str">
        <f>FIXED(K20,0)&amp;" "&amp;L20</f>
        <v>24 (600)</v>
      </c>
      <c r="L38" s="927"/>
      <c r="M38" s="926" t="str">
        <f>FIXED(M20,0)&amp;" "&amp;N20</f>
        <v>30 (750)</v>
      </c>
      <c r="N38" s="927"/>
      <c r="O38" s="926" t="str">
        <f>FIXED(O20,0)&amp;" "&amp;P20</f>
        <v>36 (900)</v>
      </c>
      <c r="P38" s="927"/>
      <c r="Q38" s="926" t="str">
        <f>FIXED(Q20,0)&amp;" "&amp;R20</f>
        <v>42 (1050)</v>
      </c>
      <c r="R38" s="927"/>
      <c r="S38" s="926" t="str">
        <f>FIXED(S20,0)&amp;" "&amp;T20</f>
        <v>48 (1200)</v>
      </c>
      <c r="T38" s="927"/>
      <c r="U38" s="926" t="str">
        <f>FIXED(U20,0)&amp;" "&amp;V20</f>
        <v>54 (1350)</v>
      </c>
      <c r="V38" s="927"/>
      <c r="W38" s="926" t="str">
        <f>FIXED(W20,0)&amp;" "&amp;X20</f>
        <v>60 (1500)</v>
      </c>
      <c r="X38" s="927"/>
      <c r="Y38" s="926" t="str">
        <f>FIXED(Y20,0)&amp;" "&amp;Z20</f>
        <v>66 (1700)</v>
      </c>
      <c r="Z38" s="927"/>
      <c r="AA38" s="926" t="str">
        <f>FIXED(AA20,0)&amp;" "&amp;AB20</f>
        <v>72 (1850)</v>
      </c>
      <c r="AB38" s="927"/>
      <c r="AC38" s="648"/>
      <c r="AD38" s="648"/>
      <c r="AE38" s="648"/>
      <c r="AF38" s="648"/>
      <c r="AG38" s="648"/>
      <c r="AH38" s="648"/>
      <c r="AI38" s="648"/>
      <c r="AJ38" s="648"/>
      <c r="AK38" s="648"/>
      <c r="AL38" s="650"/>
    </row>
    <row r="39" spans="2:38" x14ac:dyDescent="0.25">
      <c r="B39" s="647"/>
      <c r="C39" s="937" t="str">
        <f t="shared" ref="C39:C50" si="28">FIXED(C21,0)&amp;" "&amp;D21</f>
        <v>10 (250)</v>
      </c>
      <c r="D39" s="937"/>
      <c r="E39" s="923" t="str">
        <f t="shared" ref="E39:E50" si="29">FIXED(E21,2)&amp;" "&amp;F21</f>
        <v>0.08 (0.01)</v>
      </c>
      <c r="F39" s="923"/>
      <c r="G39" s="921" t="str">
        <f t="shared" ref="G39:G50" si="30">FIXED(G21,2)&amp;" "&amp;H21</f>
        <v>0.10 (0.01)</v>
      </c>
      <c r="H39" s="922"/>
      <c r="I39" s="923" t="str">
        <f t="shared" ref="I39:I50" si="31">FIXED(I21,2)&amp;" "&amp;J21</f>
        <v>0.17 (0.02)</v>
      </c>
      <c r="J39" s="923"/>
      <c r="K39" s="921" t="str">
        <f t="shared" ref="K39:K50" si="32">FIXED(K21,2)&amp;" "&amp;L21</f>
        <v>0.24 (0.02)</v>
      </c>
      <c r="L39" s="922"/>
      <c r="M39" s="923" t="str">
        <f t="shared" ref="M39:M50" si="33">FIXED(M21,2)&amp;" "&amp;N21</f>
        <v>0.31 (0.03)</v>
      </c>
      <c r="N39" s="923"/>
      <c r="O39" s="921" t="str">
        <f t="shared" ref="O39:O50" si="34">FIXED(O21,2)&amp;" "&amp;P21</f>
        <v>0.38 (0.03)</v>
      </c>
      <c r="P39" s="922"/>
      <c r="Q39" s="923" t="str">
        <f t="shared" ref="Q39:Q50" si="35">FIXED(Q21,2)&amp;" "&amp;R21</f>
        <v>0.44 (0.04)</v>
      </c>
      <c r="R39" s="923"/>
      <c r="S39" s="921" t="str">
        <f t="shared" ref="S39:S50" si="36">FIXED(S21,2)&amp;" "&amp;T21</f>
        <v>0.51 (0.05)</v>
      </c>
      <c r="T39" s="922"/>
      <c r="U39" s="923" t="str">
        <f t="shared" ref="U39:U50" si="37">FIXED(U21,2)&amp;" "&amp;V21</f>
        <v>0.57 (0.05)</v>
      </c>
      <c r="V39" s="923"/>
      <c r="W39" s="921" t="str">
        <f t="shared" ref="W39:W50" si="38">FIXED(W21,2)&amp;" "&amp;X21</f>
        <v>0.64 (0.06)</v>
      </c>
      <c r="X39" s="922"/>
      <c r="Y39" s="923" t="str">
        <f t="shared" ref="Y39:Y50" si="39">FIXED(Y21,2)&amp;" "&amp;Z21</f>
        <v>0.71 (0.07)</v>
      </c>
      <c r="Z39" s="923"/>
      <c r="AA39" s="921" t="str">
        <f t="shared" ref="AA39:AA50" si="40">FIXED(AA21,2)&amp;" "&amp;AB21</f>
        <v>0.78 (0.07)</v>
      </c>
      <c r="AB39" s="922"/>
      <c r="AC39" s="648"/>
      <c r="AD39" s="648"/>
      <c r="AE39" s="648"/>
      <c r="AF39" s="648"/>
      <c r="AG39" s="648"/>
      <c r="AH39" s="648"/>
      <c r="AI39" s="648"/>
      <c r="AJ39" s="648"/>
      <c r="AK39" s="648"/>
      <c r="AL39" s="650"/>
    </row>
    <row r="40" spans="2:38" x14ac:dyDescent="0.25">
      <c r="B40" s="647"/>
      <c r="C40" s="937" t="str">
        <f t="shared" si="28"/>
        <v>12 (300)</v>
      </c>
      <c r="D40" s="937"/>
      <c r="E40" s="931" t="str">
        <f t="shared" si="29"/>
        <v>0.16 (0.02)</v>
      </c>
      <c r="F40" s="932"/>
      <c r="G40" s="921" t="str">
        <f t="shared" si="30"/>
        <v>0.21 (0.02)</v>
      </c>
      <c r="H40" s="922"/>
      <c r="I40" s="923" t="str">
        <f t="shared" si="31"/>
        <v>0.35 (0.03)</v>
      </c>
      <c r="J40" s="923"/>
      <c r="K40" s="921" t="str">
        <f t="shared" si="32"/>
        <v>0.49 (0.05)</v>
      </c>
      <c r="L40" s="922"/>
      <c r="M40" s="923" t="str">
        <f t="shared" si="33"/>
        <v>0.63 (0.06)</v>
      </c>
      <c r="N40" s="923"/>
      <c r="O40" s="921" t="str">
        <f t="shared" si="34"/>
        <v>0.77 (0.07)</v>
      </c>
      <c r="P40" s="922"/>
      <c r="Q40" s="923" t="str">
        <f t="shared" si="35"/>
        <v>0.91 (0.08)</v>
      </c>
      <c r="R40" s="923"/>
      <c r="S40" s="921" t="str">
        <f t="shared" si="36"/>
        <v>1.05 (0.1)</v>
      </c>
      <c r="T40" s="922"/>
      <c r="U40" s="923" t="str">
        <f t="shared" si="37"/>
        <v>1.17 (0.11)</v>
      </c>
      <c r="V40" s="923"/>
      <c r="W40" s="921" t="str">
        <f t="shared" si="38"/>
        <v>1.31 (0.12)</v>
      </c>
      <c r="X40" s="922"/>
      <c r="Y40" s="923" t="str">
        <f t="shared" si="39"/>
        <v>1.45 (0.13)</v>
      </c>
      <c r="Z40" s="923"/>
      <c r="AA40" s="921" t="str">
        <f t="shared" si="40"/>
        <v>1.59 (0.15)</v>
      </c>
      <c r="AB40" s="922"/>
      <c r="AC40" s="648"/>
      <c r="AD40" s="648"/>
      <c r="AE40" s="648"/>
      <c r="AF40" s="648"/>
      <c r="AG40" s="648"/>
      <c r="AH40" s="648"/>
      <c r="AI40" s="648"/>
      <c r="AJ40" s="648"/>
      <c r="AK40" s="648"/>
      <c r="AL40" s="650"/>
    </row>
    <row r="41" spans="2:38" x14ac:dyDescent="0.25">
      <c r="B41" s="647"/>
      <c r="C41" s="937" t="str">
        <f t="shared" si="28"/>
        <v>18 (450)</v>
      </c>
      <c r="D41" s="937"/>
      <c r="E41" s="931" t="str">
        <f t="shared" si="29"/>
        <v>0.33 (0.03)</v>
      </c>
      <c r="F41" s="932"/>
      <c r="G41" s="921" t="str">
        <f t="shared" si="30"/>
        <v>0.43 (0.04)</v>
      </c>
      <c r="H41" s="922"/>
      <c r="I41" s="923" t="str">
        <f t="shared" si="31"/>
        <v>0.71 (0.07)</v>
      </c>
      <c r="J41" s="923"/>
      <c r="K41" s="921" t="str">
        <f t="shared" si="32"/>
        <v>0.99 (0.09)</v>
      </c>
      <c r="L41" s="922"/>
      <c r="M41" s="923" t="str">
        <f t="shared" si="33"/>
        <v>1.28 (0.12)</v>
      </c>
      <c r="N41" s="923"/>
      <c r="O41" s="921" t="str">
        <f t="shared" si="34"/>
        <v>1.56 (0.15)</v>
      </c>
      <c r="P41" s="922"/>
      <c r="Q41" s="923" t="str">
        <f t="shared" si="35"/>
        <v>1.85 (0.17)</v>
      </c>
      <c r="R41" s="923"/>
      <c r="S41" s="921" t="str">
        <f t="shared" si="36"/>
        <v>2.13 (0.2)</v>
      </c>
      <c r="T41" s="922"/>
      <c r="U41" s="923" t="str">
        <f t="shared" si="37"/>
        <v>2.37 (0.22)</v>
      </c>
      <c r="V41" s="923"/>
      <c r="W41" s="921" t="str">
        <f t="shared" si="38"/>
        <v>2.65 (0.25)</v>
      </c>
      <c r="X41" s="922"/>
      <c r="Y41" s="923" t="str">
        <f t="shared" si="39"/>
        <v>2.94 (0.27)</v>
      </c>
      <c r="Z41" s="923"/>
      <c r="AA41" s="921" t="str">
        <f t="shared" si="40"/>
        <v>3.22 (0.30)</v>
      </c>
      <c r="AB41" s="922"/>
      <c r="AC41" s="648"/>
      <c r="AD41" s="648"/>
      <c r="AE41" s="648"/>
      <c r="AF41" s="648"/>
      <c r="AG41" s="648"/>
      <c r="AH41" s="648"/>
      <c r="AI41" s="648"/>
      <c r="AJ41" s="648"/>
      <c r="AK41" s="648"/>
      <c r="AL41" s="650"/>
    </row>
    <row r="42" spans="2:38" x14ac:dyDescent="0.25">
      <c r="B42" s="647"/>
      <c r="C42" s="937" t="str">
        <f t="shared" si="28"/>
        <v>24 (600)</v>
      </c>
      <c r="D42" s="937"/>
      <c r="E42" s="931" t="str">
        <f t="shared" si="29"/>
        <v>0.50 (0.05)</v>
      </c>
      <c r="F42" s="932"/>
      <c r="G42" s="921" t="str">
        <f t="shared" si="30"/>
        <v>0.64 (0.06)</v>
      </c>
      <c r="H42" s="922"/>
      <c r="I42" s="923" t="str">
        <f t="shared" si="31"/>
        <v>1.07 (0.1)</v>
      </c>
      <c r="J42" s="923"/>
      <c r="K42" s="921" t="str">
        <f t="shared" si="32"/>
        <v>1.50 (0.14)</v>
      </c>
      <c r="L42" s="922"/>
      <c r="M42" s="923" t="str">
        <f t="shared" si="33"/>
        <v>1.93 (0.18)</v>
      </c>
      <c r="N42" s="923"/>
      <c r="O42" s="921" t="str">
        <f t="shared" si="34"/>
        <v>2.35 (0.22)</v>
      </c>
      <c r="P42" s="922"/>
      <c r="Q42" s="923" t="str">
        <f t="shared" si="35"/>
        <v>2.78 (0.26)</v>
      </c>
      <c r="R42" s="923"/>
      <c r="S42" s="921" t="str">
        <f t="shared" si="36"/>
        <v>3.21 (0.3)</v>
      </c>
      <c r="T42" s="922"/>
      <c r="U42" s="923" t="str">
        <f t="shared" si="37"/>
        <v>3.56 (0.33)</v>
      </c>
      <c r="V42" s="923"/>
      <c r="W42" s="921" t="str">
        <f t="shared" si="38"/>
        <v>3.99 (0.37)</v>
      </c>
      <c r="X42" s="922"/>
      <c r="Y42" s="923" t="str">
        <f t="shared" si="39"/>
        <v>4.42 (0.41)</v>
      </c>
      <c r="Z42" s="923"/>
      <c r="AA42" s="921" t="str">
        <f t="shared" si="40"/>
        <v>4.85 (0.45)</v>
      </c>
      <c r="AB42" s="922"/>
      <c r="AC42" s="648"/>
      <c r="AD42" s="648"/>
      <c r="AE42" s="648"/>
      <c r="AF42" s="648"/>
      <c r="AG42" s="648"/>
      <c r="AH42" s="648"/>
      <c r="AI42" s="648"/>
      <c r="AJ42" s="648"/>
      <c r="AK42" s="648"/>
      <c r="AL42" s="650"/>
    </row>
    <row r="43" spans="2:38" x14ac:dyDescent="0.25">
      <c r="B43" s="647"/>
      <c r="C43" s="937" t="str">
        <f t="shared" si="28"/>
        <v>30 (750)</v>
      </c>
      <c r="D43" s="937"/>
      <c r="E43" s="931" t="str">
        <f t="shared" si="29"/>
        <v>0.67 (0.06)</v>
      </c>
      <c r="F43" s="932"/>
      <c r="G43" s="921" t="str">
        <f t="shared" si="30"/>
        <v>0.86 (0.08)</v>
      </c>
      <c r="H43" s="922"/>
      <c r="I43" s="923" t="str">
        <f t="shared" si="31"/>
        <v>1.43 (0.13)</v>
      </c>
      <c r="J43" s="923"/>
      <c r="K43" s="921" t="str">
        <f t="shared" si="32"/>
        <v>2.00 (0.19)</v>
      </c>
      <c r="L43" s="922"/>
      <c r="M43" s="923" t="str">
        <f t="shared" si="33"/>
        <v>2.57 (0.24)</v>
      </c>
      <c r="N43" s="923"/>
      <c r="O43" s="921" t="str">
        <f t="shared" si="34"/>
        <v>3.14 (0.29)</v>
      </c>
      <c r="P43" s="922"/>
      <c r="Q43" s="923" t="str">
        <f t="shared" si="35"/>
        <v>3.72 (0.35)</v>
      </c>
      <c r="R43" s="923"/>
      <c r="S43" s="921" t="str">
        <f t="shared" si="36"/>
        <v>4.29 (0.4)</v>
      </c>
      <c r="T43" s="922"/>
      <c r="U43" s="923" t="str">
        <f t="shared" si="37"/>
        <v>4.76 (0.44)</v>
      </c>
      <c r="V43" s="923"/>
      <c r="W43" s="921" t="str">
        <f t="shared" si="38"/>
        <v>5.33 (0.50)</v>
      </c>
      <c r="X43" s="922"/>
      <c r="Y43" s="923" t="str">
        <f t="shared" si="39"/>
        <v>5.91 (0.55)</v>
      </c>
      <c r="Z43" s="923"/>
      <c r="AA43" s="921" t="str">
        <f t="shared" si="40"/>
        <v>6.48 (0.60)</v>
      </c>
      <c r="AB43" s="922"/>
      <c r="AC43" s="648"/>
      <c r="AD43" s="648"/>
      <c r="AE43" s="648"/>
      <c r="AF43" s="648"/>
      <c r="AG43" s="648"/>
      <c r="AH43" s="648"/>
      <c r="AI43" s="648"/>
      <c r="AJ43" s="648"/>
      <c r="AK43" s="648"/>
      <c r="AL43" s="650"/>
    </row>
    <row r="44" spans="2:38" x14ac:dyDescent="0.25">
      <c r="B44" s="647"/>
      <c r="C44" s="937" t="str">
        <f t="shared" si="28"/>
        <v>36 (900)</v>
      </c>
      <c r="D44" s="937"/>
      <c r="E44" s="931" t="str">
        <f t="shared" si="29"/>
        <v>0.83 (0.08)</v>
      </c>
      <c r="F44" s="932"/>
      <c r="G44" s="921" t="str">
        <f t="shared" si="30"/>
        <v>1.07 (0.10)</v>
      </c>
      <c r="H44" s="922"/>
      <c r="I44" s="923" t="str">
        <f t="shared" si="31"/>
        <v>1.79 (0.17)</v>
      </c>
      <c r="J44" s="923"/>
      <c r="K44" s="921" t="str">
        <f t="shared" si="32"/>
        <v>2.50 (0.23)</v>
      </c>
      <c r="L44" s="922"/>
      <c r="M44" s="923" t="str">
        <f t="shared" si="33"/>
        <v>3.22 (0.3)</v>
      </c>
      <c r="N44" s="923"/>
      <c r="O44" s="921" t="str">
        <f t="shared" si="34"/>
        <v>3.93 (0.37)</v>
      </c>
      <c r="P44" s="922"/>
      <c r="Q44" s="923" t="str">
        <f t="shared" si="35"/>
        <v>4.65 (0.43)</v>
      </c>
      <c r="R44" s="923"/>
      <c r="S44" s="921" t="str">
        <f t="shared" si="36"/>
        <v>5.36 (0.5)</v>
      </c>
      <c r="T44" s="922"/>
      <c r="U44" s="923" t="str">
        <f t="shared" si="37"/>
        <v>5.96 (0.55)</v>
      </c>
      <c r="V44" s="923"/>
      <c r="W44" s="921" t="str">
        <f t="shared" si="38"/>
        <v>6.68 (0.62)</v>
      </c>
      <c r="X44" s="922"/>
      <c r="Y44" s="923" t="str">
        <f t="shared" si="39"/>
        <v>7.39 (0.69)</v>
      </c>
      <c r="Z44" s="923"/>
      <c r="AA44" s="921" t="str">
        <f t="shared" si="40"/>
        <v>8.11 (0.75)</v>
      </c>
      <c r="AB44" s="922"/>
      <c r="AC44" s="648"/>
      <c r="AD44" s="648"/>
      <c r="AE44" s="648"/>
      <c r="AF44" s="648"/>
      <c r="AG44" s="648"/>
      <c r="AH44" s="648"/>
      <c r="AI44" s="648"/>
      <c r="AJ44" s="648"/>
      <c r="AK44" s="648"/>
      <c r="AL44" s="650"/>
    </row>
    <row r="45" spans="2:38" x14ac:dyDescent="0.25">
      <c r="B45" s="647"/>
      <c r="C45" s="937" t="str">
        <f t="shared" si="28"/>
        <v>42 (1050)</v>
      </c>
      <c r="D45" s="937"/>
      <c r="E45" s="931" t="str">
        <f t="shared" si="29"/>
        <v>1.00 (0.09)</v>
      </c>
      <c r="F45" s="932"/>
      <c r="G45" s="921" t="str">
        <f t="shared" si="30"/>
        <v>1.29 (0.12)</v>
      </c>
      <c r="H45" s="922"/>
      <c r="I45" s="923" t="str">
        <f t="shared" si="31"/>
        <v>2.15 (0.2)</v>
      </c>
      <c r="J45" s="923"/>
      <c r="K45" s="921" t="str">
        <f t="shared" si="32"/>
        <v>3.01 (0.28)</v>
      </c>
      <c r="L45" s="922"/>
      <c r="M45" s="923" t="str">
        <f t="shared" si="33"/>
        <v>3.87 (0.36)</v>
      </c>
      <c r="N45" s="923"/>
      <c r="O45" s="921" t="str">
        <f t="shared" si="34"/>
        <v>4.72 (0.44)</v>
      </c>
      <c r="P45" s="922"/>
      <c r="Q45" s="923" t="str">
        <f t="shared" si="35"/>
        <v>5.58 (0.52)</v>
      </c>
      <c r="R45" s="923"/>
      <c r="S45" s="921" t="str">
        <f t="shared" si="36"/>
        <v>6.44 (0.6)</v>
      </c>
      <c r="T45" s="922"/>
      <c r="U45" s="923" t="str">
        <f t="shared" si="37"/>
        <v>7.16 (0.67)</v>
      </c>
      <c r="V45" s="923"/>
      <c r="W45" s="921" t="str">
        <f t="shared" si="38"/>
        <v>8.02 (0.74)</v>
      </c>
      <c r="X45" s="922"/>
      <c r="Y45" s="923" t="str">
        <f t="shared" si="39"/>
        <v>8.88 (0.82)</v>
      </c>
      <c r="Z45" s="923"/>
      <c r="AA45" s="921" t="str">
        <f t="shared" si="40"/>
        <v>9.74 (0.90)</v>
      </c>
      <c r="AB45" s="922"/>
      <c r="AC45" s="648"/>
      <c r="AD45" s="648"/>
      <c r="AE45" s="648"/>
      <c r="AF45" s="648"/>
      <c r="AG45" s="648"/>
      <c r="AH45" s="648"/>
      <c r="AI45" s="648"/>
      <c r="AJ45" s="648"/>
      <c r="AK45" s="648"/>
      <c r="AL45" s="650"/>
    </row>
    <row r="46" spans="2:38" x14ac:dyDescent="0.25">
      <c r="B46" s="647"/>
      <c r="C46" s="937" t="str">
        <f t="shared" si="28"/>
        <v>48 (1200)</v>
      </c>
      <c r="D46" s="937"/>
      <c r="E46" s="931" t="str">
        <f t="shared" si="29"/>
        <v>1.17 (0.11)</v>
      </c>
      <c r="F46" s="932"/>
      <c r="G46" s="921" t="str">
        <f t="shared" si="30"/>
        <v>1.50 (0.14)</v>
      </c>
      <c r="H46" s="922"/>
      <c r="I46" s="923" t="str">
        <f t="shared" si="31"/>
        <v>2.51 (0.23)</v>
      </c>
      <c r="J46" s="923"/>
      <c r="K46" s="921" t="str">
        <f t="shared" si="32"/>
        <v>3.51 (0.33)</v>
      </c>
      <c r="L46" s="922"/>
      <c r="M46" s="923" t="str">
        <f t="shared" si="33"/>
        <v>4.51 (0.42)</v>
      </c>
      <c r="N46" s="923"/>
      <c r="O46" s="921" t="str">
        <f t="shared" si="34"/>
        <v>5.52 (0.51)</v>
      </c>
      <c r="P46" s="922"/>
      <c r="Q46" s="923" t="str">
        <f t="shared" si="35"/>
        <v>6.52 (0.61)</v>
      </c>
      <c r="R46" s="923"/>
      <c r="S46" s="921" t="str">
        <f t="shared" si="36"/>
        <v>7.52 (0.7)</v>
      </c>
      <c r="T46" s="922"/>
      <c r="U46" s="923" t="str">
        <f t="shared" si="37"/>
        <v>8.36 (0.78)</v>
      </c>
      <c r="V46" s="923"/>
      <c r="W46" s="921" t="str">
        <f t="shared" si="38"/>
        <v>9.36 (0.87)</v>
      </c>
      <c r="X46" s="922"/>
      <c r="Y46" s="923" t="str">
        <f t="shared" si="39"/>
        <v>10.36 (0.96)</v>
      </c>
      <c r="Z46" s="923"/>
      <c r="AA46" s="921" t="str">
        <f t="shared" si="40"/>
        <v>11.36 (1.06)</v>
      </c>
      <c r="AB46" s="922"/>
      <c r="AC46" s="648"/>
      <c r="AD46" s="648"/>
      <c r="AE46" s="648"/>
      <c r="AF46" s="648"/>
      <c r="AG46" s="648"/>
      <c r="AH46" s="648"/>
      <c r="AI46" s="648"/>
      <c r="AJ46" s="648"/>
      <c r="AK46" s="648"/>
      <c r="AL46" s="650"/>
    </row>
    <row r="47" spans="2:38" x14ac:dyDescent="0.25">
      <c r="B47" s="647"/>
      <c r="C47" s="937" t="str">
        <f t="shared" si="28"/>
        <v>54 (1350)</v>
      </c>
      <c r="D47" s="937"/>
      <c r="E47" s="931" t="str">
        <f t="shared" si="29"/>
        <v>1.34 (0.12)</v>
      </c>
      <c r="F47" s="932"/>
      <c r="G47" s="921" t="str">
        <f t="shared" si="30"/>
        <v>1.72 (0.16)</v>
      </c>
      <c r="H47" s="922"/>
      <c r="I47" s="923" t="str">
        <f t="shared" si="31"/>
        <v>2.87 (0.27)</v>
      </c>
      <c r="J47" s="923"/>
      <c r="K47" s="921" t="str">
        <f t="shared" si="32"/>
        <v>4.01 (0.37)</v>
      </c>
      <c r="L47" s="922"/>
      <c r="M47" s="923" t="str">
        <f t="shared" si="33"/>
        <v>5.16 (0.48)</v>
      </c>
      <c r="N47" s="923"/>
      <c r="O47" s="921" t="str">
        <f t="shared" si="34"/>
        <v>6.31 (0.59)</v>
      </c>
      <c r="P47" s="922"/>
      <c r="Q47" s="923" t="str">
        <f t="shared" si="35"/>
        <v>7.45 (0.69)</v>
      </c>
      <c r="R47" s="923"/>
      <c r="S47" s="921" t="str">
        <f t="shared" si="36"/>
        <v>8.60 (0.8)</v>
      </c>
      <c r="T47" s="922"/>
      <c r="U47" s="923" t="str">
        <f t="shared" si="37"/>
        <v>9.55 (0.89)</v>
      </c>
      <c r="V47" s="923"/>
      <c r="W47" s="921" t="str">
        <f t="shared" si="38"/>
        <v>10.70 (0.99)</v>
      </c>
      <c r="X47" s="922"/>
      <c r="Y47" s="923" t="str">
        <f t="shared" si="39"/>
        <v>11.85 (1.10)</v>
      </c>
      <c r="Z47" s="923"/>
      <c r="AA47" s="921" t="str">
        <f t="shared" si="40"/>
        <v>12.99 (1.21)</v>
      </c>
      <c r="AB47" s="922"/>
      <c r="AC47" s="648"/>
      <c r="AD47" s="648"/>
      <c r="AE47" s="648"/>
      <c r="AF47" s="648"/>
      <c r="AG47" s="648"/>
      <c r="AH47" s="648"/>
      <c r="AI47" s="648"/>
      <c r="AJ47" s="648"/>
      <c r="AK47" s="648"/>
      <c r="AL47" s="650"/>
    </row>
    <row r="48" spans="2:38" x14ac:dyDescent="0.25">
      <c r="B48" s="647"/>
      <c r="C48" s="937" t="str">
        <f t="shared" si="28"/>
        <v>60 (1500)</v>
      </c>
      <c r="D48" s="937"/>
      <c r="E48" s="931" t="str">
        <f t="shared" si="29"/>
        <v>1.51 (0.14)</v>
      </c>
      <c r="F48" s="932"/>
      <c r="G48" s="921" t="str">
        <f t="shared" si="30"/>
        <v>1.94 (0.18)</v>
      </c>
      <c r="H48" s="922"/>
      <c r="I48" s="923" t="str">
        <f t="shared" si="31"/>
        <v>3.23 (0.3)</v>
      </c>
      <c r="J48" s="923"/>
      <c r="K48" s="921" t="str">
        <f t="shared" si="32"/>
        <v>4.52 (0.42)</v>
      </c>
      <c r="L48" s="922"/>
      <c r="M48" s="923" t="str">
        <f t="shared" si="33"/>
        <v>5.81 (0.54)</v>
      </c>
      <c r="N48" s="923"/>
      <c r="O48" s="921" t="str">
        <f t="shared" si="34"/>
        <v>7.10 (0.66)</v>
      </c>
      <c r="P48" s="922"/>
      <c r="Q48" s="923" t="str">
        <f t="shared" si="35"/>
        <v>8.39 (0.78)</v>
      </c>
      <c r="R48" s="923"/>
      <c r="S48" s="921" t="str">
        <f t="shared" si="36"/>
        <v>9.68 (0.9)</v>
      </c>
      <c r="T48" s="922"/>
      <c r="U48" s="923" t="str">
        <f t="shared" si="37"/>
        <v>10.75 (1.00)</v>
      </c>
      <c r="V48" s="923"/>
      <c r="W48" s="921" t="str">
        <f t="shared" si="38"/>
        <v>12.04 (1.12)</v>
      </c>
      <c r="X48" s="922"/>
      <c r="Y48" s="923" t="str">
        <f t="shared" si="39"/>
        <v>13.33 (1.24)</v>
      </c>
      <c r="Z48" s="923"/>
      <c r="AA48" s="921" t="str">
        <f t="shared" si="40"/>
        <v>14.62 (1.36)</v>
      </c>
      <c r="AB48" s="922"/>
      <c r="AC48" s="648"/>
      <c r="AD48" s="648"/>
      <c r="AE48" s="648"/>
      <c r="AF48" s="648"/>
      <c r="AG48" s="648"/>
      <c r="AH48" s="648"/>
      <c r="AI48" s="648"/>
      <c r="AJ48" s="648"/>
      <c r="AK48" s="648"/>
      <c r="AL48" s="650"/>
    </row>
    <row r="49" spans="2:43" x14ac:dyDescent="0.25">
      <c r="B49" s="647"/>
      <c r="C49" s="937" t="str">
        <f t="shared" si="28"/>
        <v>66 (1700)</v>
      </c>
      <c r="D49" s="937"/>
      <c r="E49" s="931" t="str">
        <f t="shared" si="29"/>
        <v>1.67 (0.16)</v>
      </c>
      <c r="F49" s="932"/>
      <c r="G49" s="921" t="str">
        <f t="shared" si="30"/>
        <v>2.15 (0.20)</v>
      </c>
      <c r="H49" s="922"/>
      <c r="I49" s="923" t="str">
        <f t="shared" si="31"/>
        <v>3.59 (0.33)</v>
      </c>
      <c r="J49" s="923"/>
      <c r="K49" s="921" t="str">
        <f t="shared" si="32"/>
        <v>5.02 (0.47)</v>
      </c>
      <c r="L49" s="922"/>
      <c r="M49" s="923" t="str">
        <f t="shared" si="33"/>
        <v>6.45 (0.6)</v>
      </c>
      <c r="N49" s="923"/>
      <c r="O49" s="921" t="str">
        <f t="shared" si="34"/>
        <v>7.89 (0.73)</v>
      </c>
      <c r="P49" s="922"/>
      <c r="Q49" s="923" t="str">
        <f t="shared" si="35"/>
        <v>9.32 (0.87)</v>
      </c>
      <c r="R49" s="923"/>
      <c r="S49" s="921" t="str">
        <f t="shared" si="36"/>
        <v>10.76 (1)</v>
      </c>
      <c r="T49" s="922"/>
      <c r="U49" s="923" t="str">
        <f t="shared" si="37"/>
        <v>11.95 (1.11)</v>
      </c>
      <c r="V49" s="923"/>
      <c r="W49" s="921" t="str">
        <f t="shared" si="38"/>
        <v>13.38 (1.24)</v>
      </c>
      <c r="X49" s="922"/>
      <c r="Y49" s="923" t="str">
        <f t="shared" si="39"/>
        <v>14.82 (1.38)</v>
      </c>
      <c r="Z49" s="923"/>
      <c r="AA49" s="921" t="str">
        <f t="shared" si="40"/>
        <v>16.25 (1.51)</v>
      </c>
      <c r="AB49" s="922"/>
      <c r="AC49" s="648"/>
      <c r="AD49" s="648"/>
      <c r="AE49" s="648"/>
      <c r="AF49" s="648"/>
      <c r="AG49" s="648"/>
      <c r="AH49" s="648"/>
      <c r="AI49" s="648"/>
      <c r="AJ49" s="648"/>
      <c r="AK49" s="648"/>
      <c r="AL49" s="650"/>
    </row>
    <row r="50" spans="2:43" ht="15.75" thickBot="1" x14ac:dyDescent="0.3">
      <c r="B50" s="663"/>
      <c r="C50" s="938" t="str">
        <f t="shared" si="28"/>
        <v>72 (1850)</v>
      </c>
      <c r="D50" s="938"/>
      <c r="E50" s="929" t="str">
        <f t="shared" si="29"/>
        <v>1.84 (0.17)</v>
      </c>
      <c r="F50" s="930"/>
      <c r="G50" s="924" t="str">
        <f t="shared" si="30"/>
        <v>2.37 (0.22)</v>
      </c>
      <c r="H50" s="925"/>
      <c r="I50" s="928" t="str">
        <f t="shared" si="31"/>
        <v>3.94 (0.37)</v>
      </c>
      <c r="J50" s="928"/>
      <c r="K50" s="924" t="str">
        <f t="shared" si="32"/>
        <v>5.52 (0.51)</v>
      </c>
      <c r="L50" s="925"/>
      <c r="M50" s="928" t="str">
        <f t="shared" si="33"/>
        <v>7.10 (0.66)</v>
      </c>
      <c r="N50" s="928"/>
      <c r="O50" s="924" t="str">
        <f t="shared" si="34"/>
        <v>8.68 (0.81)</v>
      </c>
      <c r="P50" s="925"/>
      <c r="Q50" s="928" t="str">
        <f t="shared" si="35"/>
        <v>10.26 (0.95)</v>
      </c>
      <c r="R50" s="928"/>
      <c r="S50" s="924" t="str">
        <f t="shared" si="36"/>
        <v>11.83 (1.1)</v>
      </c>
      <c r="T50" s="925"/>
      <c r="U50" s="928" t="str">
        <f t="shared" si="37"/>
        <v>13.15 (1.22)</v>
      </c>
      <c r="V50" s="928"/>
      <c r="W50" s="924" t="str">
        <f t="shared" si="38"/>
        <v>14.73 (1.37)</v>
      </c>
      <c r="X50" s="925"/>
      <c r="Y50" s="928" t="str">
        <f t="shared" si="39"/>
        <v>16.30 (1.51)</v>
      </c>
      <c r="Z50" s="928"/>
      <c r="AA50" s="924" t="str">
        <f t="shared" si="40"/>
        <v>17.88 (1.66)</v>
      </c>
      <c r="AB50" s="925"/>
      <c r="AC50" s="664"/>
      <c r="AD50" s="664"/>
      <c r="AE50" s="664"/>
      <c r="AF50" s="664"/>
      <c r="AG50" s="664"/>
      <c r="AH50" s="664"/>
      <c r="AI50" s="664"/>
      <c r="AJ50" s="664"/>
      <c r="AK50" s="664"/>
      <c r="AL50" s="665"/>
    </row>
    <row r="52" spans="2:43" x14ac:dyDescent="0.25">
      <c r="P52" s="947" t="s">
        <v>310</v>
      </c>
      <c r="Q52" s="789"/>
      <c r="R52" s="784" t="str">
        <f xml:space="preserve"> R67&amp;" - "&amp;Q67</f>
        <v>12 - 10</v>
      </c>
      <c r="S52" s="785" t="str">
        <f t="shared" ref="S52:AB52" si="41" xml:space="preserve"> S67&amp;" - "&amp;R67</f>
        <v>18 - 12</v>
      </c>
      <c r="T52" s="785" t="str">
        <f t="shared" si="41"/>
        <v>24 - 18</v>
      </c>
      <c r="U52" s="785" t="str">
        <f t="shared" si="41"/>
        <v>30 - 24</v>
      </c>
      <c r="V52" s="785" t="str">
        <f t="shared" si="41"/>
        <v>36 - 30</v>
      </c>
      <c r="W52" s="785" t="str">
        <f t="shared" si="41"/>
        <v>42 - 36</v>
      </c>
      <c r="X52" s="785" t="str">
        <f t="shared" si="41"/>
        <v>48 - 42</v>
      </c>
      <c r="Y52" s="785" t="str">
        <f t="shared" si="41"/>
        <v>54 - 48</v>
      </c>
      <c r="Z52" s="785" t="str">
        <f t="shared" si="41"/>
        <v>60 - 54</v>
      </c>
      <c r="AA52" s="785" t="str">
        <f t="shared" si="41"/>
        <v>66 - 60</v>
      </c>
      <c r="AB52" s="786" t="str">
        <f t="shared" si="41"/>
        <v>72 - 66</v>
      </c>
      <c r="AD52" s="947" t="s">
        <v>311</v>
      </c>
      <c r="AE52" s="795"/>
      <c r="AF52" s="796">
        <v>10</v>
      </c>
      <c r="AG52" s="796">
        <v>12</v>
      </c>
      <c r="AH52" s="796">
        <v>18</v>
      </c>
      <c r="AI52" s="796">
        <v>24</v>
      </c>
      <c r="AJ52" s="796">
        <v>30</v>
      </c>
      <c r="AK52" s="796">
        <v>36</v>
      </c>
      <c r="AL52" s="796">
        <v>42</v>
      </c>
      <c r="AM52" s="796">
        <v>48</v>
      </c>
      <c r="AN52" s="796">
        <v>54</v>
      </c>
      <c r="AO52" s="796">
        <v>60</v>
      </c>
      <c r="AP52" s="796">
        <v>66</v>
      </c>
      <c r="AQ52" s="796">
        <v>72</v>
      </c>
    </row>
    <row r="53" spans="2:43" x14ac:dyDescent="0.25">
      <c r="P53" s="948"/>
      <c r="Q53" s="787">
        <v>7.375</v>
      </c>
      <c r="R53" s="797">
        <f t="shared" ref="R53:AB53" si="42" xml:space="preserve"> R69-Q69</f>
        <v>0.60000000000000053</v>
      </c>
      <c r="S53" s="798">
        <f t="shared" si="42"/>
        <v>1.7999999999999998</v>
      </c>
      <c r="T53" s="798">
        <f t="shared" si="42"/>
        <v>1.8099999999999996</v>
      </c>
      <c r="U53" s="798">
        <f t="shared" si="42"/>
        <v>1.8000000000000007</v>
      </c>
      <c r="V53" s="798">
        <f t="shared" si="42"/>
        <v>1.8049999999999997</v>
      </c>
      <c r="W53" s="798">
        <f t="shared" si="42"/>
        <v>1.8040000000000003</v>
      </c>
      <c r="X53" s="798">
        <f t="shared" si="42"/>
        <v>1.8040000000000003</v>
      </c>
      <c r="Y53" s="798">
        <f t="shared" si="42"/>
        <v>1.8040000000000003</v>
      </c>
      <c r="Z53" s="798">
        <f t="shared" si="42"/>
        <v>1.8039999999999985</v>
      </c>
      <c r="AA53" s="798">
        <f t="shared" si="42"/>
        <v>1.804000000000002</v>
      </c>
      <c r="AB53" s="801">
        <f t="shared" si="42"/>
        <v>1.8039999999999985</v>
      </c>
      <c r="AD53" s="948"/>
      <c r="AE53" s="793" t="str">
        <f xml:space="preserve"> O70&amp;" - "&amp;O69</f>
        <v>12 - 9.625</v>
      </c>
      <c r="AF53" s="803">
        <f xml:space="preserve"> Q70-Q69</f>
        <v>0.82000000000000028</v>
      </c>
      <c r="AG53" s="803">
        <f t="shared" ref="AG53:AQ63" si="43" xml:space="preserve"> R70-R69</f>
        <v>0.92999999999999972</v>
      </c>
      <c r="AH53" s="803">
        <f t="shared" si="43"/>
        <v>1.2699999999999996</v>
      </c>
      <c r="AI53" s="803">
        <f t="shared" si="43"/>
        <v>1.5999999999999996</v>
      </c>
      <c r="AJ53" s="803">
        <f t="shared" si="43"/>
        <v>1.9399999999999995</v>
      </c>
      <c r="AK53" s="803">
        <f t="shared" si="43"/>
        <v>2.2750000000000004</v>
      </c>
      <c r="AL53" s="803">
        <f t="shared" si="43"/>
        <v>2.6110000000000007</v>
      </c>
      <c r="AM53" s="803">
        <f t="shared" si="43"/>
        <v>2.947000000000001</v>
      </c>
      <c r="AN53" s="803">
        <f t="shared" si="43"/>
        <v>3.2830000000000013</v>
      </c>
      <c r="AO53" s="803">
        <f t="shared" si="43"/>
        <v>3.6190000000000033</v>
      </c>
      <c r="AP53" s="803">
        <f t="shared" si="43"/>
        <v>3.9550000000000018</v>
      </c>
      <c r="AQ53" s="803">
        <f t="shared" si="43"/>
        <v>4.2910000000000039</v>
      </c>
    </row>
    <row r="54" spans="2:43" x14ac:dyDescent="0.25">
      <c r="P54" s="948"/>
      <c r="Q54" s="788">
        <v>12</v>
      </c>
      <c r="R54" s="799">
        <f t="shared" ref="R54:AB54" si="44" xml:space="preserve"> R70-Q70</f>
        <v>0.71</v>
      </c>
      <c r="S54" s="800">
        <f t="shared" si="44"/>
        <v>2.1399999999999997</v>
      </c>
      <c r="T54" s="800">
        <f t="shared" si="44"/>
        <v>2.1399999999999997</v>
      </c>
      <c r="U54" s="800">
        <f t="shared" si="44"/>
        <v>2.1400000000000006</v>
      </c>
      <c r="V54" s="800">
        <f t="shared" si="44"/>
        <v>2.1400000000000006</v>
      </c>
      <c r="W54" s="800">
        <f t="shared" si="44"/>
        <v>2.1400000000000006</v>
      </c>
      <c r="X54" s="800">
        <f t="shared" si="44"/>
        <v>2.1400000000000006</v>
      </c>
      <c r="Y54" s="800">
        <f t="shared" si="44"/>
        <v>2.1400000000000006</v>
      </c>
      <c r="Z54" s="800">
        <f t="shared" si="44"/>
        <v>2.1400000000000006</v>
      </c>
      <c r="AA54" s="800">
        <f t="shared" si="44"/>
        <v>2.1400000000000006</v>
      </c>
      <c r="AB54" s="802">
        <f t="shared" si="44"/>
        <v>2.1400000000000006</v>
      </c>
      <c r="AD54" s="948"/>
      <c r="AE54" s="793" t="str">
        <f t="shared" ref="AE54:AE63" si="45" xml:space="preserve"> O71&amp;" - "&amp;O70</f>
        <v>18 - 12</v>
      </c>
      <c r="AF54" s="804">
        <f t="shared" ref="AF54:AF63" si="46" xml:space="preserve"> Q71-Q70</f>
        <v>1.9299999999999997</v>
      </c>
      <c r="AG54" s="804">
        <f t="shared" si="43"/>
        <v>2.1799999999999997</v>
      </c>
      <c r="AH54" s="804">
        <f t="shared" si="43"/>
        <v>2.910000000000001</v>
      </c>
      <c r="AI54" s="804">
        <f t="shared" si="43"/>
        <v>3.6400000000000006</v>
      </c>
      <c r="AJ54" s="804">
        <f t="shared" si="43"/>
        <v>4.375</v>
      </c>
      <c r="AK54" s="804">
        <f t="shared" si="43"/>
        <v>5.1099999999999994</v>
      </c>
      <c r="AL54" s="804">
        <f t="shared" si="43"/>
        <v>5.8449999999999989</v>
      </c>
      <c r="AM54" s="804">
        <f t="shared" si="43"/>
        <v>6.5799999999999983</v>
      </c>
      <c r="AN54" s="804">
        <f t="shared" si="43"/>
        <v>7.3149999999999977</v>
      </c>
      <c r="AO54" s="804">
        <f t="shared" si="43"/>
        <v>8.0499999999999972</v>
      </c>
      <c r="AP54" s="804">
        <f t="shared" si="43"/>
        <v>8.7849999999999966</v>
      </c>
      <c r="AQ54" s="804">
        <f t="shared" si="43"/>
        <v>9.519999999999996</v>
      </c>
    </row>
    <row r="55" spans="2:43" x14ac:dyDescent="0.25">
      <c r="P55" s="948"/>
      <c r="Q55" s="788">
        <v>18</v>
      </c>
      <c r="R55" s="799">
        <f t="shared" ref="R55:AB64" si="47" xml:space="preserve"> R71-Q71</f>
        <v>0.96</v>
      </c>
      <c r="S55" s="800">
        <f t="shared" si="47"/>
        <v>2.870000000000001</v>
      </c>
      <c r="T55" s="800">
        <f t="shared" si="47"/>
        <v>2.8699999999999992</v>
      </c>
      <c r="U55" s="800">
        <f t="shared" si="47"/>
        <v>2.875</v>
      </c>
      <c r="V55" s="800">
        <f t="shared" si="47"/>
        <v>2.875</v>
      </c>
      <c r="W55" s="800">
        <f t="shared" si="47"/>
        <v>2.875</v>
      </c>
      <c r="X55" s="800">
        <f t="shared" si="47"/>
        <v>2.875</v>
      </c>
      <c r="Y55" s="800">
        <f t="shared" si="47"/>
        <v>2.875</v>
      </c>
      <c r="Z55" s="800">
        <f t="shared" si="47"/>
        <v>2.875</v>
      </c>
      <c r="AA55" s="800">
        <f t="shared" si="47"/>
        <v>2.875</v>
      </c>
      <c r="AB55" s="802">
        <f t="shared" si="47"/>
        <v>2.875</v>
      </c>
      <c r="AD55" s="948"/>
      <c r="AE55" s="793" t="str">
        <f t="shared" si="45"/>
        <v>24 - 18</v>
      </c>
      <c r="AF55" s="804">
        <f t="shared" si="46"/>
        <v>1.9300000000000006</v>
      </c>
      <c r="AG55" s="804">
        <f t="shared" si="43"/>
        <v>2.17</v>
      </c>
      <c r="AH55" s="804">
        <f t="shared" si="43"/>
        <v>2.9099999999999984</v>
      </c>
      <c r="AI55" s="804">
        <f t="shared" si="43"/>
        <v>3.6499999999999986</v>
      </c>
      <c r="AJ55" s="804">
        <f t="shared" si="43"/>
        <v>4.384999999999998</v>
      </c>
      <c r="AK55" s="804">
        <f t="shared" si="43"/>
        <v>5.1199999999999974</v>
      </c>
      <c r="AL55" s="804">
        <f t="shared" si="43"/>
        <v>5.8549999999999969</v>
      </c>
      <c r="AM55" s="804">
        <f t="shared" si="43"/>
        <v>6.5899999999999963</v>
      </c>
      <c r="AN55" s="804">
        <f t="shared" si="43"/>
        <v>7.3249999999999957</v>
      </c>
      <c r="AO55" s="804">
        <f t="shared" si="43"/>
        <v>8.0599999999999952</v>
      </c>
      <c r="AP55" s="804">
        <f t="shared" si="43"/>
        <v>8.7949999999999946</v>
      </c>
      <c r="AQ55" s="804">
        <f t="shared" si="43"/>
        <v>9.529999999999994</v>
      </c>
    </row>
    <row r="56" spans="2:43" x14ac:dyDescent="0.25">
      <c r="P56" s="948"/>
      <c r="Q56" s="788">
        <v>24</v>
      </c>
      <c r="R56" s="797">
        <f t="shared" si="47"/>
        <v>1.1999999999999993</v>
      </c>
      <c r="S56" s="798">
        <f t="shared" si="47"/>
        <v>3.6099999999999994</v>
      </c>
      <c r="T56" s="798">
        <f t="shared" si="47"/>
        <v>3.6099999999999994</v>
      </c>
      <c r="U56" s="798">
        <f t="shared" si="47"/>
        <v>3.6099999999999994</v>
      </c>
      <c r="V56" s="798">
        <f t="shared" si="47"/>
        <v>3.6099999999999994</v>
      </c>
      <c r="W56" s="798">
        <f t="shared" si="47"/>
        <v>3.6099999999999994</v>
      </c>
      <c r="X56" s="798">
        <f t="shared" si="47"/>
        <v>3.6099999999999994</v>
      </c>
      <c r="Y56" s="798">
        <f t="shared" si="47"/>
        <v>3.6099999999999994</v>
      </c>
      <c r="Z56" s="798">
        <f t="shared" si="47"/>
        <v>3.6099999999999994</v>
      </c>
      <c r="AA56" s="798">
        <f t="shared" si="47"/>
        <v>3.6099999999999994</v>
      </c>
      <c r="AB56" s="801">
        <f t="shared" si="47"/>
        <v>3.6099999999999994</v>
      </c>
      <c r="AD56" s="948"/>
      <c r="AE56" s="793" t="str">
        <f t="shared" si="45"/>
        <v>30 - 24</v>
      </c>
      <c r="AF56" s="804">
        <f t="shared" si="46"/>
        <v>1.9299999999999997</v>
      </c>
      <c r="AG56" s="804">
        <f t="shared" si="43"/>
        <v>2.1799999999999997</v>
      </c>
      <c r="AH56" s="804">
        <f t="shared" si="43"/>
        <v>2.91</v>
      </c>
      <c r="AI56" s="804">
        <f t="shared" si="43"/>
        <v>3.6400000000000006</v>
      </c>
      <c r="AJ56" s="804">
        <f t="shared" si="43"/>
        <v>4.370000000000001</v>
      </c>
      <c r="AK56" s="804">
        <f t="shared" si="43"/>
        <v>5.1000000000000014</v>
      </c>
      <c r="AL56" s="804">
        <f t="shared" si="43"/>
        <v>5.8300000000000054</v>
      </c>
      <c r="AM56" s="804">
        <f t="shared" si="43"/>
        <v>6.5600000000000094</v>
      </c>
      <c r="AN56" s="804">
        <f t="shared" si="43"/>
        <v>7.2900000000000134</v>
      </c>
      <c r="AO56" s="804">
        <f t="shared" si="43"/>
        <v>8.0200000000000173</v>
      </c>
      <c r="AP56" s="804">
        <f t="shared" si="43"/>
        <v>8.7500000000000213</v>
      </c>
      <c r="AQ56" s="804">
        <f t="shared" si="43"/>
        <v>9.4800000000000253</v>
      </c>
    </row>
    <row r="57" spans="2:43" x14ac:dyDescent="0.25">
      <c r="P57" s="948"/>
      <c r="Q57" s="788">
        <v>30</v>
      </c>
      <c r="R57" s="799">
        <f t="shared" si="47"/>
        <v>1.4499999999999993</v>
      </c>
      <c r="S57" s="800">
        <f t="shared" si="47"/>
        <v>4.34</v>
      </c>
      <c r="T57" s="800">
        <f t="shared" si="47"/>
        <v>4.34</v>
      </c>
      <c r="U57" s="800">
        <f t="shared" si="47"/>
        <v>4.34</v>
      </c>
      <c r="V57" s="800">
        <f t="shared" si="47"/>
        <v>4.34</v>
      </c>
      <c r="W57" s="800">
        <f t="shared" si="47"/>
        <v>4.3400000000000034</v>
      </c>
      <c r="X57" s="800">
        <f t="shared" si="47"/>
        <v>4.3400000000000034</v>
      </c>
      <c r="Y57" s="800">
        <f t="shared" si="47"/>
        <v>4.3400000000000034</v>
      </c>
      <c r="Z57" s="800">
        <f t="shared" si="47"/>
        <v>4.3400000000000034</v>
      </c>
      <c r="AA57" s="800">
        <f t="shared" si="47"/>
        <v>4.3400000000000034</v>
      </c>
      <c r="AB57" s="802">
        <f t="shared" si="47"/>
        <v>4.3400000000000034</v>
      </c>
      <c r="AD57" s="948"/>
      <c r="AE57" s="793" t="str">
        <f t="shared" si="45"/>
        <v>36 - 30</v>
      </c>
      <c r="AF57" s="804">
        <f t="shared" si="46"/>
        <v>1.9399999999999995</v>
      </c>
      <c r="AG57" s="804">
        <f t="shared" si="43"/>
        <v>2.1799999999999997</v>
      </c>
      <c r="AH57" s="804">
        <f t="shared" si="43"/>
        <v>2.91</v>
      </c>
      <c r="AI57" s="804">
        <f t="shared" si="43"/>
        <v>3.6400000000000006</v>
      </c>
      <c r="AJ57" s="804">
        <f t="shared" si="43"/>
        <v>4.370000000000001</v>
      </c>
      <c r="AK57" s="804">
        <f t="shared" si="43"/>
        <v>5.1000000000000014</v>
      </c>
      <c r="AL57" s="804">
        <f t="shared" si="43"/>
        <v>5.8299999999999983</v>
      </c>
      <c r="AM57" s="804">
        <f t="shared" si="43"/>
        <v>6.5599999999999952</v>
      </c>
      <c r="AN57" s="804">
        <f t="shared" si="43"/>
        <v>7.289999999999992</v>
      </c>
      <c r="AO57" s="804">
        <f t="shared" si="43"/>
        <v>8.0199999999999889</v>
      </c>
      <c r="AP57" s="804">
        <f t="shared" si="43"/>
        <v>8.7499999999999858</v>
      </c>
      <c r="AQ57" s="804">
        <f t="shared" si="43"/>
        <v>9.4799999999999898</v>
      </c>
    </row>
    <row r="58" spans="2:43" x14ac:dyDescent="0.25">
      <c r="P58" s="948"/>
      <c r="Q58" s="788">
        <v>36</v>
      </c>
      <c r="R58" s="799">
        <f t="shared" si="47"/>
        <v>1.6899999999999995</v>
      </c>
      <c r="S58" s="800">
        <f t="shared" si="47"/>
        <v>5.07</v>
      </c>
      <c r="T58" s="800">
        <f t="shared" si="47"/>
        <v>5.07</v>
      </c>
      <c r="U58" s="800">
        <f t="shared" si="47"/>
        <v>5.07</v>
      </c>
      <c r="V58" s="800">
        <f t="shared" si="47"/>
        <v>5.07</v>
      </c>
      <c r="W58" s="800">
        <f t="shared" si="47"/>
        <v>5.07</v>
      </c>
      <c r="X58" s="800">
        <f t="shared" si="47"/>
        <v>5.07</v>
      </c>
      <c r="Y58" s="800">
        <f t="shared" si="47"/>
        <v>5.07</v>
      </c>
      <c r="Z58" s="800">
        <f t="shared" si="47"/>
        <v>5.07</v>
      </c>
      <c r="AA58" s="800">
        <f t="shared" si="47"/>
        <v>5.07</v>
      </c>
      <c r="AB58" s="802">
        <f t="shared" si="47"/>
        <v>5.0700000000000074</v>
      </c>
      <c r="AD58" s="948"/>
      <c r="AE58" s="793" t="str">
        <f t="shared" si="45"/>
        <v>42 - 36</v>
      </c>
      <c r="AF58" s="804">
        <f t="shared" si="46"/>
        <v>1.9299999999999997</v>
      </c>
      <c r="AG58" s="804">
        <f t="shared" si="43"/>
        <v>2.1700000000000017</v>
      </c>
      <c r="AH58" s="804">
        <f t="shared" si="43"/>
        <v>2.91</v>
      </c>
      <c r="AI58" s="804">
        <f t="shared" si="43"/>
        <v>3.6400000000000006</v>
      </c>
      <c r="AJ58" s="804">
        <f t="shared" si="43"/>
        <v>4.3800000000000026</v>
      </c>
      <c r="AK58" s="804">
        <f t="shared" si="43"/>
        <v>5.1200000000000045</v>
      </c>
      <c r="AL58" s="804">
        <f t="shared" si="43"/>
        <v>5.8600000000000065</v>
      </c>
      <c r="AM58" s="804">
        <f t="shared" si="43"/>
        <v>6.6000000000000085</v>
      </c>
      <c r="AN58" s="804">
        <f t="shared" si="43"/>
        <v>7.3400000000000105</v>
      </c>
      <c r="AO58" s="804">
        <f t="shared" si="43"/>
        <v>8.0800000000000125</v>
      </c>
      <c r="AP58" s="804">
        <f t="shared" si="43"/>
        <v>8.8200000000000074</v>
      </c>
      <c r="AQ58" s="804">
        <f t="shared" si="43"/>
        <v>9.5600000000000023</v>
      </c>
    </row>
    <row r="59" spans="2:43" x14ac:dyDescent="0.25">
      <c r="P59" s="948"/>
      <c r="Q59" s="788">
        <v>42</v>
      </c>
      <c r="R59" s="797">
        <f t="shared" si="47"/>
        <v>1.9300000000000015</v>
      </c>
      <c r="S59" s="798">
        <f t="shared" si="47"/>
        <v>5.8099999999999987</v>
      </c>
      <c r="T59" s="798">
        <f t="shared" si="47"/>
        <v>5.8000000000000007</v>
      </c>
      <c r="U59" s="798">
        <f t="shared" si="47"/>
        <v>5.8100000000000023</v>
      </c>
      <c r="V59" s="798">
        <f t="shared" si="47"/>
        <v>5.8100000000000023</v>
      </c>
      <c r="W59" s="798">
        <f t="shared" si="47"/>
        <v>5.8100000000000023</v>
      </c>
      <c r="X59" s="798">
        <f t="shared" si="47"/>
        <v>5.8100000000000023</v>
      </c>
      <c r="Y59" s="798">
        <f t="shared" si="47"/>
        <v>5.8100000000000023</v>
      </c>
      <c r="Z59" s="798">
        <f t="shared" si="47"/>
        <v>5.8100000000000023</v>
      </c>
      <c r="AA59" s="798">
        <f t="shared" si="47"/>
        <v>5.8099999999999952</v>
      </c>
      <c r="AB59" s="801">
        <f t="shared" si="47"/>
        <v>5.8100000000000023</v>
      </c>
      <c r="AD59" s="948"/>
      <c r="AE59" s="793" t="str">
        <f t="shared" si="45"/>
        <v>48 - 42</v>
      </c>
      <c r="AF59" s="804">
        <f t="shared" si="46"/>
        <v>1.9300000000000015</v>
      </c>
      <c r="AG59" s="804">
        <f t="shared" si="43"/>
        <v>2.1799999999999997</v>
      </c>
      <c r="AH59" s="804">
        <f t="shared" si="43"/>
        <v>2.91</v>
      </c>
      <c r="AI59" s="804">
        <f t="shared" si="43"/>
        <v>3.6400000000000006</v>
      </c>
      <c r="AJ59" s="804">
        <f t="shared" si="43"/>
        <v>4.3699999999999974</v>
      </c>
      <c r="AK59" s="804">
        <f t="shared" si="43"/>
        <v>5.0999999999999943</v>
      </c>
      <c r="AL59" s="804">
        <f t="shared" si="43"/>
        <v>5.8299999999999912</v>
      </c>
      <c r="AM59" s="804">
        <f t="shared" si="43"/>
        <v>6.5599999999999881</v>
      </c>
      <c r="AN59" s="804">
        <f t="shared" si="43"/>
        <v>7.2899999999999849</v>
      </c>
      <c r="AO59" s="804">
        <f t="shared" si="43"/>
        <v>8.0199999999999889</v>
      </c>
      <c r="AP59" s="804">
        <f t="shared" si="43"/>
        <v>8.75</v>
      </c>
      <c r="AQ59" s="804">
        <f t="shared" si="43"/>
        <v>9.480000000000004</v>
      </c>
    </row>
    <row r="60" spans="2:43" x14ac:dyDescent="0.25">
      <c r="P60" s="948"/>
      <c r="Q60" s="788">
        <v>48</v>
      </c>
      <c r="R60" s="799">
        <f t="shared" si="47"/>
        <v>2.1799999999999997</v>
      </c>
      <c r="S60" s="800">
        <f t="shared" si="47"/>
        <v>6.5399999999999991</v>
      </c>
      <c r="T60" s="800">
        <f t="shared" si="47"/>
        <v>6.5300000000000011</v>
      </c>
      <c r="U60" s="800">
        <f t="shared" si="47"/>
        <v>6.5399999999999991</v>
      </c>
      <c r="V60" s="800">
        <f t="shared" si="47"/>
        <v>6.5399999999999991</v>
      </c>
      <c r="W60" s="800">
        <f t="shared" si="47"/>
        <v>6.5399999999999991</v>
      </c>
      <c r="X60" s="800">
        <f t="shared" si="47"/>
        <v>6.5399999999999991</v>
      </c>
      <c r="Y60" s="800">
        <f t="shared" si="47"/>
        <v>6.5399999999999991</v>
      </c>
      <c r="Z60" s="800">
        <f t="shared" si="47"/>
        <v>6.5400000000000063</v>
      </c>
      <c r="AA60" s="800">
        <f t="shared" si="47"/>
        <v>6.5400000000000063</v>
      </c>
      <c r="AB60" s="802">
        <f t="shared" si="47"/>
        <v>6.5400000000000063</v>
      </c>
      <c r="AD60" s="948"/>
      <c r="AE60" s="793" t="str">
        <f t="shared" si="45"/>
        <v>54 - 48</v>
      </c>
      <c r="AF60" s="804">
        <f t="shared" si="46"/>
        <v>1.9299999999999997</v>
      </c>
      <c r="AG60" s="804">
        <f t="shared" si="43"/>
        <v>2.1799999999999997</v>
      </c>
      <c r="AH60" s="804">
        <f t="shared" si="43"/>
        <v>2.91</v>
      </c>
      <c r="AI60" s="804">
        <f t="shared" si="43"/>
        <v>3.6499999999999986</v>
      </c>
      <c r="AJ60" s="804">
        <f t="shared" si="43"/>
        <v>4.3799999999999955</v>
      </c>
      <c r="AK60" s="804">
        <f t="shared" si="43"/>
        <v>5.1099999999999923</v>
      </c>
      <c r="AL60" s="804">
        <f t="shared" si="43"/>
        <v>5.8399999999999892</v>
      </c>
      <c r="AM60" s="804">
        <f t="shared" si="43"/>
        <v>6.5699999999999861</v>
      </c>
      <c r="AN60" s="804">
        <f t="shared" si="43"/>
        <v>7.2999999999999829</v>
      </c>
      <c r="AO60" s="804">
        <f t="shared" si="43"/>
        <v>8.0299999999999727</v>
      </c>
      <c r="AP60" s="804">
        <f t="shared" si="43"/>
        <v>8.7599999999999625</v>
      </c>
      <c r="AQ60" s="804">
        <f t="shared" si="43"/>
        <v>9.4899999999999523</v>
      </c>
    </row>
    <row r="61" spans="2:43" x14ac:dyDescent="0.25">
      <c r="P61" s="948"/>
      <c r="Q61" s="788">
        <v>54</v>
      </c>
      <c r="R61" s="799">
        <f t="shared" si="47"/>
        <v>2.4299999999999997</v>
      </c>
      <c r="S61" s="800">
        <f t="shared" si="47"/>
        <v>7.27</v>
      </c>
      <c r="T61" s="800">
        <f t="shared" si="47"/>
        <v>7.27</v>
      </c>
      <c r="U61" s="800">
        <f t="shared" si="47"/>
        <v>7.269999999999996</v>
      </c>
      <c r="V61" s="800">
        <f t="shared" si="47"/>
        <v>7.269999999999996</v>
      </c>
      <c r="W61" s="800">
        <f t="shared" si="47"/>
        <v>7.269999999999996</v>
      </c>
      <c r="X61" s="800">
        <f t="shared" si="47"/>
        <v>7.269999999999996</v>
      </c>
      <c r="Y61" s="800">
        <f t="shared" si="47"/>
        <v>7.269999999999996</v>
      </c>
      <c r="Z61" s="800">
        <f t="shared" si="47"/>
        <v>7.269999999999996</v>
      </c>
      <c r="AA61" s="800">
        <f t="shared" si="47"/>
        <v>7.269999999999996</v>
      </c>
      <c r="AB61" s="802">
        <f t="shared" si="47"/>
        <v>7.269999999999996</v>
      </c>
      <c r="AD61" s="948"/>
      <c r="AE61" s="793" t="str">
        <f t="shared" si="45"/>
        <v>60 - 54</v>
      </c>
      <c r="AF61" s="804">
        <f t="shared" si="46"/>
        <v>1.9399999999999977</v>
      </c>
      <c r="AG61" s="804">
        <f t="shared" si="43"/>
        <v>2.1699999999999982</v>
      </c>
      <c r="AH61" s="804">
        <f t="shared" si="43"/>
        <v>2.91</v>
      </c>
      <c r="AI61" s="804">
        <f t="shared" si="43"/>
        <v>3.6400000000000006</v>
      </c>
      <c r="AJ61" s="804">
        <f t="shared" si="43"/>
        <v>4.3800000000000026</v>
      </c>
      <c r="AK61" s="804">
        <f t="shared" si="43"/>
        <v>5.1200000000000045</v>
      </c>
      <c r="AL61" s="804">
        <f t="shared" si="43"/>
        <v>5.8600000000000065</v>
      </c>
      <c r="AM61" s="804">
        <f t="shared" si="43"/>
        <v>6.6000000000000085</v>
      </c>
      <c r="AN61" s="804">
        <f t="shared" si="43"/>
        <v>7.3400000000000176</v>
      </c>
      <c r="AO61" s="804">
        <f t="shared" si="43"/>
        <v>8.0800000000000267</v>
      </c>
      <c r="AP61" s="804">
        <f t="shared" si="43"/>
        <v>8.8200000000000358</v>
      </c>
      <c r="AQ61" s="804">
        <f t="shared" si="43"/>
        <v>9.5600000000000449</v>
      </c>
    </row>
    <row r="62" spans="2:43" x14ac:dyDescent="0.25">
      <c r="P62" s="948"/>
      <c r="Q62" s="788">
        <v>60</v>
      </c>
      <c r="R62" s="797">
        <f t="shared" si="47"/>
        <v>2.66</v>
      </c>
      <c r="S62" s="798">
        <f t="shared" si="47"/>
        <v>8.0100000000000016</v>
      </c>
      <c r="T62" s="798">
        <f t="shared" si="47"/>
        <v>8</v>
      </c>
      <c r="U62" s="798">
        <f t="shared" si="47"/>
        <v>8.009999999999998</v>
      </c>
      <c r="V62" s="798">
        <f t="shared" si="47"/>
        <v>8.009999999999998</v>
      </c>
      <c r="W62" s="798">
        <f t="shared" si="47"/>
        <v>8.009999999999998</v>
      </c>
      <c r="X62" s="798">
        <f t="shared" si="47"/>
        <v>8.009999999999998</v>
      </c>
      <c r="Y62" s="798">
        <f t="shared" si="47"/>
        <v>8.0100000000000051</v>
      </c>
      <c r="Z62" s="798">
        <f t="shared" si="47"/>
        <v>8.0100000000000051</v>
      </c>
      <c r="AA62" s="798">
        <f t="shared" si="47"/>
        <v>8.0100000000000051</v>
      </c>
      <c r="AB62" s="801">
        <f t="shared" si="47"/>
        <v>8.0100000000000051</v>
      </c>
      <c r="AD62" s="948"/>
      <c r="AE62" s="793" t="str">
        <f t="shared" si="45"/>
        <v>66 - 60</v>
      </c>
      <c r="AF62" s="804">
        <f t="shared" si="46"/>
        <v>1.9300000000000033</v>
      </c>
      <c r="AG62" s="804">
        <f t="shared" si="43"/>
        <v>2.1800000000000033</v>
      </c>
      <c r="AH62" s="804">
        <f t="shared" si="43"/>
        <v>2.8999999999999986</v>
      </c>
      <c r="AI62" s="804">
        <f t="shared" si="43"/>
        <v>3.6400000000000006</v>
      </c>
      <c r="AJ62" s="804">
        <f t="shared" si="43"/>
        <v>4.3700000000000045</v>
      </c>
      <c r="AK62" s="804">
        <f t="shared" si="43"/>
        <v>5.1000000000000085</v>
      </c>
      <c r="AL62" s="804">
        <f t="shared" si="43"/>
        <v>5.8300000000000054</v>
      </c>
      <c r="AM62" s="804">
        <f t="shared" si="43"/>
        <v>6.5600000000000023</v>
      </c>
      <c r="AN62" s="804">
        <f t="shared" si="43"/>
        <v>7.289999999999992</v>
      </c>
      <c r="AO62" s="804">
        <f t="shared" si="43"/>
        <v>8.0199999999999818</v>
      </c>
      <c r="AP62" s="804">
        <f t="shared" si="43"/>
        <v>8.7499999999999716</v>
      </c>
      <c r="AQ62" s="804">
        <f t="shared" si="43"/>
        <v>9.4799999999999613</v>
      </c>
    </row>
    <row r="63" spans="2:43" x14ac:dyDescent="0.25">
      <c r="P63" s="948"/>
      <c r="Q63" s="788">
        <v>66</v>
      </c>
      <c r="R63" s="799">
        <f t="shared" si="47"/>
        <v>2.91</v>
      </c>
      <c r="S63" s="800">
        <f t="shared" si="47"/>
        <v>8.7299999999999969</v>
      </c>
      <c r="T63" s="800">
        <f t="shared" si="47"/>
        <v>8.740000000000002</v>
      </c>
      <c r="U63" s="800">
        <f t="shared" si="47"/>
        <v>8.740000000000002</v>
      </c>
      <c r="V63" s="800">
        <f t="shared" si="47"/>
        <v>8.740000000000002</v>
      </c>
      <c r="W63" s="800">
        <f t="shared" si="47"/>
        <v>8.7399999999999949</v>
      </c>
      <c r="X63" s="800">
        <f t="shared" si="47"/>
        <v>8.7399999999999949</v>
      </c>
      <c r="Y63" s="800">
        <f t="shared" si="47"/>
        <v>8.7399999999999949</v>
      </c>
      <c r="Z63" s="800">
        <f t="shared" si="47"/>
        <v>8.7399999999999949</v>
      </c>
      <c r="AA63" s="800">
        <f t="shared" si="47"/>
        <v>8.7399999999999949</v>
      </c>
      <c r="AB63" s="802">
        <f t="shared" si="47"/>
        <v>8.7399999999999949</v>
      </c>
      <c r="AD63" s="949"/>
      <c r="AE63" s="794" t="str">
        <f t="shared" si="45"/>
        <v>72 - 66</v>
      </c>
      <c r="AF63" s="805">
        <f t="shared" si="46"/>
        <v>1.9299999999999997</v>
      </c>
      <c r="AG63" s="805">
        <f t="shared" si="43"/>
        <v>2.1799999999999997</v>
      </c>
      <c r="AH63" s="805">
        <f t="shared" si="43"/>
        <v>2.9100000000000037</v>
      </c>
      <c r="AI63" s="805">
        <f t="shared" si="43"/>
        <v>3.6400000000000006</v>
      </c>
      <c r="AJ63" s="805">
        <f t="shared" si="43"/>
        <v>4.3699999999999974</v>
      </c>
      <c r="AK63" s="805">
        <f t="shared" si="43"/>
        <v>5.0999999999999943</v>
      </c>
      <c r="AL63" s="805">
        <f t="shared" si="43"/>
        <v>5.8299999999999983</v>
      </c>
      <c r="AM63" s="805">
        <f t="shared" si="43"/>
        <v>6.5600000000000023</v>
      </c>
      <c r="AN63" s="805">
        <f t="shared" si="43"/>
        <v>7.2900000000000063</v>
      </c>
      <c r="AO63" s="805">
        <f t="shared" si="43"/>
        <v>8.0200000000000102</v>
      </c>
      <c r="AP63" s="805">
        <f t="shared" si="43"/>
        <v>8.7500000000000142</v>
      </c>
      <c r="AQ63" s="805">
        <f t="shared" si="43"/>
        <v>9.4800000000000182</v>
      </c>
    </row>
    <row r="64" spans="2:43" x14ac:dyDescent="0.25">
      <c r="P64" s="949"/>
      <c r="Q64" s="790">
        <v>72</v>
      </c>
      <c r="R64" s="799">
        <f t="shared" si="47"/>
        <v>3.16</v>
      </c>
      <c r="S64" s="800">
        <f t="shared" si="47"/>
        <v>9.4600000000000009</v>
      </c>
      <c r="T64" s="800">
        <f t="shared" si="47"/>
        <v>9.4699999999999989</v>
      </c>
      <c r="U64" s="800">
        <f t="shared" si="47"/>
        <v>9.4699999999999989</v>
      </c>
      <c r="V64" s="800">
        <f t="shared" si="47"/>
        <v>9.4699999999999989</v>
      </c>
      <c r="W64" s="800">
        <f t="shared" si="47"/>
        <v>9.4699999999999989</v>
      </c>
      <c r="X64" s="800">
        <f t="shared" si="47"/>
        <v>9.4699999999999989</v>
      </c>
      <c r="Y64" s="800">
        <f t="shared" si="47"/>
        <v>9.4699999999999989</v>
      </c>
      <c r="Z64" s="800">
        <f t="shared" si="47"/>
        <v>9.4699999999999989</v>
      </c>
      <c r="AA64" s="800">
        <f t="shared" si="47"/>
        <v>9.4699999999999989</v>
      </c>
      <c r="AB64" s="802">
        <f t="shared" si="47"/>
        <v>9.4699999999999989</v>
      </c>
      <c r="AD64" s="791"/>
      <c r="AE64" s="792"/>
      <c r="AF64" s="599"/>
      <c r="AG64" s="599"/>
      <c r="AH64" s="599"/>
      <c r="AI64" s="599"/>
      <c r="AJ64" s="599"/>
      <c r="AK64" s="599"/>
      <c r="AL64" s="599"/>
      <c r="AM64" s="599"/>
      <c r="AN64" s="599"/>
      <c r="AO64" s="599"/>
      <c r="AP64" s="599"/>
    </row>
    <row r="65" spans="2:46" ht="15.75" thickBot="1" x14ac:dyDescent="0.3">
      <c r="S65" s="716"/>
      <c r="T65" s="716"/>
      <c r="U65" s="716"/>
      <c r="V65" s="716"/>
      <c r="W65" s="716"/>
      <c r="X65" s="716"/>
      <c r="Y65" s="716"/>
      <c r="Z65" s="716"/>
      <c r="AA65" s="716"/>
      <c r="AB65" s="716"/>
      <c r="AC65" s="716"/>
      <c r="AD65" s="716"/>
      <c r="AE65" s="716"/>
      <c r="AF65" s="716"/>
      <c r="AG65" s="716"/>
      <c r="AH65" s="716"/>
      <c r="AI65" s="716"/>
      <c r="AJ65" s="716"/>
    </row>
    <row r="66" spans="2:46" ht="28.5" customHeight="1" thickBot="1" x14ac:dyDescent="0.3">
      <c r="B66" s="666" t="s">
        <v>84</v>
      </c>
      <c r="C66" s="667"/>
      <c r="D66" s="667"/>
      <c r="E66" s="667"/>
      <c r="F66" s="667"/>
      <c r="G66" s="667"/>
      <c r="H66" s="667"/>
      <c r="I66" s="667"/>
      <c r="J66" s="667"/>
      <c r="K66" s="667"/>
      <c r="L66" s="668"/>
      <c r="N66" s="822" t="s">
        <v>188</v>
      </c>
      <c r="O66" s="760"/>
      <c r="P66" s="760"/>
      <c r="Q66" s="760"/>
      <c r="R66" s="760"/>
      <c r="S66" s="760"/>
      <c r="T66" s="760"/>
      <c r="U66" s="760"/>
      <c r="V66" s="760"/>
      <c r="W66" s="760"/>
      <c r="X66" s="760"/>
      <c r="Y66" s="821"/>
      <c r="Z66" s="821"/>
      <c r="AA66" s="821"/>
      <c r="AB66" s="821"/>
      <c r="AC66" s="821"/>
      <c r="AD66" s="821"/>
      <c r="AE66" s="821"/>
      <c r="AF66" s="821"/>
      <c r="AG66" s="821"/>
      <c r="AH66" s="821"/>
      <c r="AI66" s="821"/>
      <c r="AJ66" s="821"/>
      <c r="AK66" s="760"/>
      <c r="AL66" s="760"/>
      <c r="AM66" s="760"/>
      <c r="AN66" s="761"/>
    </row>
    <row r="67" spans="2:46" ht="25.5" customHeight="1" thickBot="1" x14ac:dyDescent="0.3">
      <c r="B67" s="672" t="s">
        <v>41</v>
      </c>
      <c r="C67" s="673" t="e">
        <f>C9</f>
        <v>#VALUE!</v>
      </c>
      <c r="D67" s="674"/>
      <c r="E67" s="674"/>
      <c r="F67" s="674"/>
      <c r="G67" s="674"/>
      <c r="H67" s="674"/>
      <c r="I67" s="674"/>
      <c r="J67" s="674"/>
      <c r="K67" s="674"/>
      <c r="L67" s="675"/>
      <c r="N67" s="956" t="s">
        <v>312</v>
      </c>
      <c r="O67" s="739"/>
      <c r="P67" s="740"/>
      <c r="Q67" s="758">
        <f>F11</f>
        <v>10</v>
      </c>
      <c r="R67" s="759">
        <v>12</v>
      </c>
      <c r="S67" s="759">
        <f t="shared" ref="S67:AJ67" si="48">R67+6</f>
        <v>18</v>
      </c>
      <c r="T67" s="759">
        <f t="shared" si="48"/>
        <v>24</v>
      </c>
      <c r="U67" s="759">
        <f t="shared" si="48"/>
        <v>30</v>
      </c>
      <c r="V67" s="759">
        <f t="shared" si="48"/>
        <v>36</v>
      </c>
      <c r="W67" s="759">
        <f t="shared" si="48"/>
        <v>42</v>
      </c>
      <c r="X67" s="759">
        <f t="shared" si="48"/>
        <v>48</v>
      </c>
      <c r="Y67" s="759">
        <f t="shared" si="48"/>
        <v>54</v>
      </c>
      <c r="Z67" s="759">
        <f t="shared" si="48"/>
        <v>60</v>
      </c>
      <c r="AA67" s="759">
        <f t="shared" si="48"/>
        <v>66</v>
      </c>
      <c r="AB67" s="759">
        <f t="shared" si="48"/>
        <v>72</v>
      </c>
      <c r="AC67" s="759">
        <f t="shared" si="48"/>
        <v>78</v>
      </c>
      <c r="AD67" s="759">
        <f t="shared" si="48"/>
        <v>84</v>
      </c>
      <c r="AE67" s="759">
        <f t="shared" si="48"/>
        <v>90</v>
      </c>
      <c r="AF67" s="759">
        <f t="shared" si="48"/>
        <v>96</v>
      </c>
      <c r="AG67" s="759">
        <f t="shared" si="48"/>
        <v>102</v>
      </c>
      <c r="AH67" s="759">
        <f t="shared" si="48"/>
        <v>108</v>
      </c>
      <c r="AI67" s="759">
        <f t="shared" si="48"/>
        <v>114</v>
      </c>
      <c r="AJ67" s="759">
        <f t="shared" si="48"/>
        <v>120</v>
      </c>
      <c r="AK67" s="918" t="s">
        <v>71</v>
      </c>
      <c r="AL67" s="919"/>
      <c r="AM67" s="919"/>
      <c r="AN67" s="920"/>
    </row>
    <row r="68" spans="2:46" ht="19.5" thickBot="1" x14ac:dyDescent="0.3">
      <c r="B68" s="676" t="s">
        <v>42</v>
      </c>
      <c r="C68" s="677" t="e">
        <f>F9</f>
        <v>#VALUE!</v>
      </c>
      <c r="E68" s="678"/>
      <c r="F68" s="678"/>
      <c r="G68" s="678"/>
      <c r="H68" s="678"/>
      <c r="I68" s="678"/>
      <c r="J68" s="678"/>
      <c r="K68" s="678"/>
      <c r="L68" s="679"/>
      <c r="N68" s="957"/>
      <c r="O68" s="741"/>
      <c r="P68" s="580">
        <v>1</v>
      </c>
      <c r="Q68" s="741">
        <v>2</v>
      </c>
      <c r="R68" s="579">
        <v>3</v>
      </c>
      <c r="S68" s="579">
        <v>4</v>
      </c>
      <c r="T68" s="579">
        <v>5</v>
      </c>
      <c r="U68" s="579">
        <v>6</v>
      </c>
      <c r="V68" s="579">
        <v>7</v>
      </c>
      <c r="W68" s="579">
        <v>8</v>
      </c>
      <c r="X68" s="579">
        <v>9</v>
      </c>
      <c r="Y68" s="579">
        <v>10</v>
      </c>
      <c r="Z68" s="579">
        <v>11</v>
      </c>
      <c r="AA68" s="579">
        <v>12</v>
      </c>
      <c r="AB68" s="579">
        <v>13</v>
      </c>
      <c r="AC68" s="579">
        <v>14</v>
      </c>
      <c r="AD68" s="579">
        <v>15</v>
      </c>
      <c r="AE68" s="579">
        <v>16</v>
      </c>
      <c r="AF68" s="579">
        <v>17</v>
      </c>
      <c r="AG68" s="579">
        <v>18</v>
      </c>
      <c r="AH68" s="579">
        <v>19</v>
      </c>
      <c r="AI68" s="579">
        <v>20</v>
      </c>
      <c r="AJ68" s="579">
        <v>21</v>
      </c>
      <c r="AK68" s="742"/>
      <c r="AL68" s="742"/>
      <c r="AM68" s="742"/>
      <c r="AN68" s="743"/>
    </row>
    <row r="69" spans="2:46" ht="16.5" customHeight="1" thickBot="1" x14ac:dyDescent="0.3">
      <c r="B69" s="681" t="s">
        <v>77</v>
      </c>
      <c r="C69" s="678"/>
      <c r="D69" s="678"/>
      <c r="E69" s="678"/>
      <c r="F69" s="678"/>
      <c r="G69" s="678"/>
      <c r="H69" s="678"/>
      <c r="I69" s="678"/>
      <c r="J69" s="678"/>
      <c r="K69" s="678"/>
      <c r="L69" s="679"/>
      <c r="N69" s="680"/>
      <c r="O69" s="755">
        <f>F12</f>
        <v>9.625</v>
      </c>
      <c r="P69" s="576">
        <v>2</v>
      </c>
      <c r="Q69" s="844">
        <v>3.8</v>
      </c>
      <c r="R69" s="829">
        <v>4.4000000000000004</v>
      </c>
      <c r="S69" s="829">
        <v>6.2</v>
      </c>
      <c r="T69" s="829">
        <v>8.01</v>
      </c>
      <c r="U69" s="831">
        <v>9.81</v>
      </c>
      <c r="V69" s="831">
        <v>11.615</v>
      </c>
      <c r="W69" s="831">
        <v>13.419</v>
      </c>
      <c r="X69" s="831">
        <v>15.223000000000001</v>
      </c>
      <c r="Y69" s="831">
        <v>17.027000000000001</v>
      </c>
      <c r="Z69" s="831">
        <v>18.831</v>
      </c>
      <c r="AA69" s="831">
        <v>20.635000000000002</v>
      </c>
      <c r="AB69" s="831">
        <v>22.439</v>
      </c>
      <c r="AC69" s="815">
        <v>24.243266666666699</v>
      </c>
      <c r="AD69" s="815">
        <v>26.047333333333299</v>
      </c>
      <c r="AE69" s="816">
        <v>27.851400000000002</v>
      </c>
      <c r="AF69" s="815">
        <v>29.655466666666701</v>
      </c>
      <c r="AG69" s="815">
        <v>31.459533333333301</v>
      </c>
      <c r="AH69" s="815">
        <v>33.263599999999997</v>
      </c>
      <c r="AI69" s="816">
        <v>35.067666666666703</v>
      </c>
      <c r="AJ69" s="815">
        <v>36.871733333333303</v>
      </c>
      <c r="AK69" s="913" t="s">
        <v>306</v>
      </c>
      <c r="AL69" s="914"/>
      <c r="AM69" s="589" t="s">
        <v>305</v>
      </c>
      <c r="AN69" s="573"/>
      <c r="AO69" s="574"/>
      <c r="AP69" s="574"/>
      <c r="AQ69" s="574"/>
      <c r="AR69" s="574"/>
    </row>
    <row r="70" spans="2:46" ht="16.5" thickBot="1" x14ac:dyDescent="0.3">
      <c r="B70" s="682"/>
      <c r="D70" s="678"/>
      <c r="E70" s="678"/>
      <c r="F70" s="678"/>
      <c r="G70" s="678"/>
      <c r="H70" s="678"/>
      <c r="I70" s="678"/>
      <c r="J70" s="678"/>
      <c r="K70" s="678"/>
      <c r="L70" s="679"/>
      <c r="M70" s="725"/>
      <c r="N70" s="752">
        <f xml:space="preserve"> ROUNDUP(AVERAGE(S70-R70, T70-S70), 2)</f>
        <v>2.14</v>
      </c>
      <c r="O70" s="756">
        <v>12</v>
      </c>
      <c r="P70" s="578">
        <v>3</v>
      </c>
      <c r="Q70" s="828">
        <v>4.62</v>
      </c>
      <c r="R70" s="826">
        <v>5.33</v>
      </c>
      <c r="S70" s="826">
        <v>7.47</v>
      </c>
      <c r="T70" s="852">
        <v>9.61</v>
      </c>
      <c r="U70" s="849">
        <f t="shared" ref="U70" si="49">T70+$N70</f>
        <v>11.75</v>
      </c>
      <c r="V70" s="849">
        <f t="shared" ref="V70:V80" si="50">U70+$N70</f>
        <v>13.89</v>
      </c>
      <c r="W70" s="849">
        <f t="shared" ref="W70:W80" si="51">V70+$N70</f>
        <v>16.03</v>
      </c>
      <c r="X70" s="837">
        <f t="shared" ref="X70:X80" si="52">W70+$N70</f>
        <v>18.170000000000002</v>
      </c>
      <c r="Y70" s="837">
        <f t="shared" ref="Y70:Y80" si="53">X70+$N70</f>
        <v>20.310000000000002</v>
      </c>
      <c r="Z70" s="837">
        <f t="shared" ref="Z70:Z80" si="54">Y70+$N70</f>
        <v>22.450000000000003</v>
      </c>
      <c r="AA70" s="837">
        <f t="shared" ref="AA70:AA80" si="55">Z70+$N70</f>
        <v>24.590000000000003</v>
      </c>
      <c r="AB70" s="851">
        <f t="shared" ref="AB70:AB80" si="56">AA70+$N70</f>
        <v>26.730000000000004</v>
      </c>
      <c r="AC70" s="824">
        <f t="shared" ref="AC70:AC88" si="57">AB70+$N70</f>
        <v>28.870000000000005</v>
      </c>
      <c r="AD70" s="824">
        <f t="shared" ref="AD70:AD88" si="58">AC70+$N70</f>
        <v>31.010000000000005</v>
      </c>
      <c r="AE70" s="824">
        <f t="shared" ref="AE70:AE88" si="59">AD70+$N70</f>
        <v>33.150000000000006</v>
      </c>
      <c r="AF70" s="824">
        <f t="shared" ref="AF70:AF88" si="60">AE70+$N70</f>
        <v>35.290000000000006</v>
      </c>
      <c r="AG70" s="824">
        <f t="shared" ref="AG70:AG88" si="61">AF70+$N70</f>
        <v>37.430000000000007</v>
      </c>
      <c r="AH70" s="824">
        <f t="shared" ref="AH70:AH88" si="62">AG70+$N70</f>
        <v>39.570000000000007</v>
      </c>
      <c r="AI70" s="824">
        <f t="shared" ref="AI70:AI88" si="63">AH70+$N70</f>
        <v>41.710000000000008</v>
      </c>
      <c r="AJ70" s="845">
        <f t="shared" ref="AJ70:AJ88" si="64">AI70+$N70</f>
        <v>43.850000000000009</v>
      </c>
      <c r="AK70" s="776" t="s">
        <v>35</v>
      </c>
      <c r="AL70" s="593" t="e">
        <f xml:space="preserve"> C67</f>
        <v>#VALUE!</v>
      </c>
      <c r="AM70" s="600" t="e">
        <f xml:space="preserve"> MATCH(AL70, Q67:AJ67, 1)</f>
        <v>#VALUE!</v>
      </c>
      <c r="AN70" s="596"/>
    </row>
    <row r="71" spans="2:46" ht="16.5" thickBot="1" x14ac:dyDescent="0.3">
      <c r="B71" s="682"/>
      <c r="C71" s="555"/>
      <c r="D71" s="556" t="s">
        <v>35</v>
      </c>
      <c r="E71" s="557"/>
      <c r="F71" s="557"/>
      <c r="G71" s="558"/>
      <c r="H71" s="556" t="s">
        <v>36</v>
      </c>
      <c r="I71" s="559"/>
      <c r="J71" s="780"/>
      <c r="K71" s="781"/>
      <c r="L71" s="782"/>
      <c r="M71" s="725"/>
      <c r="N71" s="752">
        <f xml:space="preserve"> ROUNDUP(AVERAGE(S71-R71, T71-S71), 2)+0.005</f>
        <v>2.875</v>
      </c>
      <c r="O71" s="756">
        <f t="shared" ref="O71:O88" si="65">O70+6</f>
        <v>18</v>
      </c>
      <c r="P71" s="578">
        <v>4</v>
      </c>
      <c r="Q71" s="828">
        <v>6.55</v>
      </c>
      <c r="R71" s="826">
        <v>7.51</v>
      </c>
      <c r="S71" s="826">
        <v>10.38</v>
      </c>
      <c r="T71" s="852">
        <v>13.25</v>
      </c>
      <c r="U71" s="849">
        <f>T71+$N71</f>
        <v>16.125</v>
      </c>
      <c r="V71" s="837">
        <f t="shared" si="50"/>
        <v>19</v>
      </c>
      <c r="W71" s="837">
        <f t="shared" si="51"/>
        <v>21.875</v>
      </c>
      <c r="X71" s="849">
        <f t="shared" si="52"/>
        <v>24.75</v>
      </c>
      <c r="Y71" s="837">
        <f t="shared" si="53"/>
        <v>27.625</v>
      </c>
      <c r="Z71" s="837">
        <f t="shared" si="54"/>
        <v>30.5</v>
      </c>
      <c r="AA71" s="837">
        <f t="shared" si="55"/>
        <v>33.375</v>
      </c>
      <c r="AB71" s="851">
        <f t="shared" si="56"/>
        <v>36.25</v>
      </c>
      <c r="AC71" s="807">
        <f t="shared" si="57"/>
        <v>39.125</v>
      </c>
      <c r="AD71" s="807">
        <f t="shared" si="58"/>
        <v>42</v>
      </c>
      <c r="AE71" s="807">
        <f t="shared" si="59"/>
        <v>44.875</v>
      </c>
      <c r="AF71" s="807">
        <f t="shared" si="60"/>
        <v>47.75</v>
      </c>
      <c r="AG71" s="807">
        <f t="shared" si="61"/>
        <v>50.625</v>
      </c>
      <c r="AH71" s="807">
        <f t="shared" si="62"/>
        <v>53.5</v>
      </c>
      <c r="AI71" s="807">
        <f t="shared" si="63"/>
        <v>56.375</v>
      </c>
      <c r="AJ71" s="846">
        <f t="shared" si="64"/>
        <v>59.25</v>
      </c>
      <c r="AK71" s="818" t="s">
        <v>36</v>
      </c>
      <c r="AL71" s="593" t="e">
        <f xml:space="preserve"> C68</f>
        <v>#VALUE!</v>
      </c>
      <c r="AM71" s="600" t="e">
        <f xml:space="preserve"> MATCH(AL71, O69:O88, 1)</f>
        <v>#VALUE!</v>
      </c>
      <c r="AN71" s="596"/>
    </row>
    <row r="72" spans="2:46" ht="15.75" thickBot="1" x14ac:dyDescent="0.3">
      <c r="B72" s="682"/>
      <c r="C72" s="561"/>
      <c r="D72" s="562" t="s">
        <v>78</v>
      </c>
      <c r="E72" s="563" t="s">
        <v>79</v>
      </c>
      <c r="F72" s="563"/>
      <c r="G72" s="564"/>
      <c r="H72" s="562" t="s">
        <v>78</v>
      </c>
      <c r="I72" s="565" t="s">
        <v>79</v>
      </c>
      <c r="J72" s="780"/>
      <c r="K72" s="781"/>
      <c r="L72" s="782"/>
      <c r="M72" s="725"/>
      <c r="N72" s="752">
        <f t="shared" ref="N72:N88" si="66" xml:space="preserve"> ROUNDUP(AVERAGE(S72-R72, T72-S72), 2)</f>
        <v>3.61</v>
      </c>
      <c r="O72" s="757">
        <f t="shared" si="65"/>
        <v>24</v>
      </c>
      <c r="P72" s="754">
        <v>5</v>
      </c>
      <c r="Q72" s="828">
        <v>8.48</v>
      </c>
      <c r="R72" s="826">
        <v>9.68</v>
      </c>
      <c r="S72" s="826">
        <v>13.29</v>
      </c>
      <c r="T72" s="852">
        <v>16.899999999999999</v>
      </c>
      <c r="U72" s="837">
        <f t="shared" ref="U72:U81" si="67">T72+$N72</f>
        <v>20.509999999999998</v>
      </c>
      <c r="V72" s="837">
        <f t="shared" si="50"/>
        <v>24.119999999999997</v>
      </c>
      <c r="W72" s="837">
        <f t="shared" si="51"/>
        <v>27.729999999999997</v>
      </c>
      <c r="X72" s="837">
        <f t="shared" si="52"/>
        <v>31.339999999999996</v>
      </c>
      <c r="Y72" s="837">
        <f t="shared" si="53"/>
        <v>34.949999999999996</v>
      </c>
      <c r="Z72" s="837">
        <f t="shared" si="54"/>
        <v>38.559999999999995</v>
      </c>
      <c r="AA72" s="837">
        <f t="shared" si="55"/>
        <v>42.169999999999995</v>
      </c>
      <c r="AB72" s="851">
        <f t="shared" si="56"/>
        <v>45.779999999999994</v>
      </c>
      <c r="AC72" s="807">
        <f t="shared" si="57"/>
        <v>49.389999999999993</v>
      </c>
      <c r="AD72" s="807">
        <f t="shared" si="58"/>
        <v>52.999999999999993</v>
      </c>
      <c r="AE72" s="807">
        <f t="shared" si="59"/>
        <v>56.609999999999992</v>
      </c>
      <c r="AF72" s="807">
        <f t="shared" si="60"/>
        <v>60.219999999999992</v>
      </c>
      <c r="AG72" s="807">
        <f t="shared" si="61"/>
        <v>63.829999999999991</v>
      </c>
      <c r="AH72" s="807">
        <f t="shared" si="62"/>
        <v>67.44</v>
      </c>
      <c r="AI72" s="807">
        <f t="shared" si="63"/>
        <v>71.05</v>
      </c>
      <c r="AJ72" s="846">
        <f t="shared" si="64"/>
        <v>74.66</v>
      </c>
      <c r="AK72" s="552"/>
      <c r="AL72" s="552"/>
      <c r="AM72" s="552"/>
      <c r="AN72" s="573"/>
    </row>
    <row r="73" spans="2:46" ht="15.75" thickBot="1" x14ac:dyDescent="0.3">
      <c r="B73" s="682"/>
      <c r="C73" s="561"/>
      <c r="D73" s="562" t="e">
        <f>IF(FLOOR(C67/6,1)*6&lt;&gt;6, FLOOR(C67/6,1)*6, F11)</f>
        <v>#VALUE!</v>
      </c>
      <c r="E73" s="563" t="e">
        <f>IF(CEILING(C67/6,1)*6=D73,D73,CEILING(C67/6,1)*6)</f>
        <v>#VALUE!</v>
      </c>
      <c r="F73" s="563"/>
      <c r="G73" s="564"/>
      <c r="H73" s="562" t="e">
        <f>IF(FLOOR(C68/6,1)*6&lt;&gt;6, FLOOR(C68/6,1)*6, F12)</f>
        <v>#VALUE!</v>
      </c>
      <c r="I73" s="565" t="e">
        <f>IF(CEILING(C68/6,1)*6=H73,H73,CEILING(C68/6,1)*6)</f>
        <v>#VALUE!</v>
      </c>
      <c r="J73" s="780"/>
      <c r="K73" s="781"/>
      <c r="L73" s="782"/>
      <c r="M73" s="725"/>
      <c r="N73" s="752">
        <f t="shared" si="66"/>
        <v>4.34</v>
      </c>
      <c r="O73" s="757">
        <f t="shared" si="65"/>
        <v>30</v>
      </c>
      <c r="P73" s="754">
        <v>6</v>
      </c>
      <c r="Q73" s="828">
        <v>10.41</v>
      </c>
      <c r="R73" s="826">
        <v>11.86</v>
      </c>
      <c r="S73" s="806">
        <v>16.2</v>
      </c>
      <c r="T73" s="852">
        <v>20.54</v>
      </c>
      <c r="U73" s="837">
        <f t="shared" si="67"/>
        <v>24.88</v>
      </c>
      <c r="V73" s="837">
        <f t="shared" si="50"/>
        <v>29.22</v>
      </c>
      <c r="W73" s="837">
        <f t="shared" si="51"/>
        <v>33.56</v>
      </c>
      <c r="X73" s="837">
        <f t="shared" si="52"/>
        <v>37.900000000000006</v>
      </c>
      <c r="Y73" s="837">
        <f t="shared" si="53"/>
        <v>42.240000000000009</v>
      </c>
      <c r="Z73" s="837">
        <f t="shared" si="54"/>
        <v>46.580000000000013</v>
      </c>
      <c r="AA73" s="837">
        <f t="shared" si="55"/>
        <v>50.920000000000016</v>
      </c>
      <c r="AB73" s="851">
        <f t="shared" si="56"/>
        <v>55.260000000000019</v>
      </c>
      <c r="AC73" s="807">
        <f t="shared" si="57"/>
        <v>59.600000000000023</v>
      </c>
      <c r="AD73" s="807">
        <f t="shared" si="58"/>
        <v>63.940000000000026</v>
      </c>
      <c r="AE73" s="807">
        <f t="shared" si="59"/>
        <v>68.28000000000003</v>
      </c>
      <c r="AF73" s="807">
        <f t="shared" si="60"/>
        <v>72.620000000000033</v>
      </c>
      <c r="AG73" s="807">
        <f t="shared" si="61"/>
        <v>76.960000000000036</v>
      </c>
      <c r="AH73" s="807">
        <f t="shared" si="62"/>
        <v>81.30000000000004</v>
      </c>
      <c r="AI73" s="807">
        <f t="shared" si="63"/>
        <v>85.640000000000043</v>
      </c>
      <c r="AJ73" s="846">
        <f t="shared" si="64"/>
        <v>89.980000000000047</v>
      </c>
      <c r="AK73" s="552"/>
      <c r="AL73" s="552"/>
      <c r="AM73" s="913" t="s">
        <v>35</v>
      </c>
      <c r="AN73" s="917"/>
    </row>
    <row r="74" spans="2:46" ht="16.5" thickBot="1" x14ac:dyDescent="0.3">
      <c r="B74" s="682"/>
      <c r="C74" s="566"/>
      <c r="D74" s="567"/>
      <c r="E74" s="568"/>
      <c r="F74" s="568"/>
      <c r="G74" s="569"/>
      <c r="H74" s="567"/>
      <c r="I74" s="570"/>
      <c r="J74" s="780"/>
      <c r="K74" s="781"/>
      <c r="L74" s="782"/>
      <c r="M74" s="725"/>
      <c r="N74" s="752">
        <f t="shared" si="66"/>
        <v>5.07</v>
      </c>
      <c r="O74" s="756">
        <f t="shared" si="65"/>
        <v>36</v>
      </c>
      <c r="P74" s="578">
        <v>7</v>
      </c>
      <c r="Q74" s="828">
        <v>12.35</v>
      </c>
      <c r="R74" s="826">
        <v>14.04</v>
      </c>
      <c r="S74" s="826">
        <v>19.11</v>
      </c>
      <c r="T74" s="852">
        <v>24.18</v>
      </c>
      <c r="U74" s="837">
        <f t="shared" si="67"/>
        <v>29.25</v>
      </c>
      <c r="V74" s="849">
        <f t="shared" si="50"/>
        <v>34.32</v>
      </c>
      <c r="W74" s="837">
        <f t="shared" si="51"/>
        <v>39.39</v>
      </c>
      <c r="X74" s="837">
        <f t="shared" si="52"/>
        <v>44.46</v>
      </c>
      <c r="Y74" s="837">
        <f t="shared" si="53"/>
        <v>49.53</v>
      </c>
      <c r="Z74" s="837">
        <f t="shared" si="54"/>
        <v>54.6</v>
      </c>
      <c r="AA74" s="837">
        <f t="shared" si="55"/>
        <v>59.67</v>
      </c>
      <c r="AB74" s="851">
        <f t="shared" si="56"/>
        <v>64.740000000000009</v>
      </c>
      <c r="AC74" s="807">
        <f t="shared" si="57"/>
        <v>69.81</v>
      </c>
      <c r="AD74" s="824">
        <f t="shared" si="58"/>
        <v>74.88</v>
      </c>
      <c r="AE74" s="807">
        <f t="shared" si="59"/>
        <v>79.949999999999989</v>
      </c>
      <c r="AF74" s="807">
        <f t="shared" si="60"/>
        <v>85.019999999999982</v>
      </c>
      <c r="AG74" s="807">
        <f t="shared" si="61"/>
        <v>90.089999999999975</v>
      </c>
      <c r="AH74" s="807">
        <f t="shared" si="62"/>
        <v>95.159999999999968</v>
      </c>
      <c r="AI74" s="807">
        <f t="shared" si="63"/>
        <v>100.22999999999996</v>
      </c>
      <c r="AJ74" s="846">
        <f t="shared" si="64"/>
        <v>105.29999999999995</v>
      </c>
      <c r="AK74" s="552"/>
      <c r="AL74" s="552"/>
      <c r="AM74" s="595" t="e" cm="1">
        <f t="array" ref="AM74" xml:space="preserve"> INDEX(Q67:AJ67, 1, AM70)</f>
        <v>#VALUE!</v>
      </c>
      <c r="AN74" s="597" t="e" cm="1">
        <f t="array" ref="AN74" xml:space="preserve"> INDEX(Q67:AJ67, 1, AM70+1)</f>
        <v>#VALUE!</v>
      </c>
    </row>
    <row r="75" spans="2:46" ht="15.75" customHeight="1" thickBot="1" x14ac:dyDescent="0.3">
      <c r="B75" s="682"/>
      <c r="C75" s="678"/>
      <c r="D75" s="678"/>
      <c r="E75" s="678"/>
      <c r="F75" s="678"/>
      <c r="G75" s="678"/>
      <c r="H75" s="678"/>
      <c r="I75" s="678"/>
      <c r="J75" s="678"/>
      <c r="K75" s="678"/>
      <c r="L75" s="679"/>
      <c r="M75" s="725"/>
      <c r="N75" s="752">
        <f t="shared" si="66"/>
        <v>5.81</v>
      </c>
      <c r="O75" s="756">
        <f t="shared" si="65"/>
        <v>42</v>
      </c>
      <c r="P75" s="578">
        <v>8</v>
      </c>
      <c r="Q75" s="828">
        <v>14.28</v>
      </c>
      <c r="R75" s="826">
        <v>16.21</v>
      </c>
      <c r="S75" s="826">
        <v>22.02</v>
      </c>
      <c r="T75" s="852">
        <v>27.82</v>
      </c>
      <c r="U75" s="837">
        <f t="shared" si="67"/>
        <v>33.630000000000003</v>
      </c>
      <c r="V75" s="837">
        <f t="shared" si="50"/>
        <v>39.440000000000005</v>
      </c>
      <c r="W75" s="837">
        <f t="shared" si="51"/>
        <v>45.250000000000007</v>
      </c>
      <c r="X75" s="837">
        <f t="shared" si="52"/>
        <v>51.060000000000009</v>
      </c>
      <c r="Y75" s="837">
        <f t="shared" si="53"/>
        <v>56.870000000000012</v>
      </c>
      <c r="Z75" s="837">
        <f t="shared" si="54"/>
        <v>62.680000000000014</v>
      </c>
      <c r="AA75" s="837">
        <f t="shared" si="55"/>
        <v>68.490000000000009</v>
      </c>
      <c r="AB75" s="851">
        <f t="shared" si="56"/>
        <v>74.300000000000011</v>
      </c>
      <c r="AC75" s="807">
        <f t="shared" si="57"/>
        <v>80.110000000000014</v>
      </c>
      <c r="AD75" s="807">
        <f t="shared" si="58"/>
        <v>85.920000000000016</v>
      </c>
      <c r="AE75" s="807">
        <f t="shared" si="59"/>
        <v>91.730000000000018</v>
      </c>
      <c r="AF75" s="807">
        <f t="shared" si="60"/>
        <v>97.54000000000002</v>
      </c>
      <c r="AG75" s="807">
        <f t="shared" si="61"/>
        <v>103.35000000000002</v>
      </c>
      <c r="AH75" s="807">
        <f t="shared" si="62"/>
        <v>109.16000000000003</v>
      </c>
      <c r="AI75" s="807">
        <f t="shared" si="63"/>
        <v>114.97000000000003</v>
      </c>
      <c r="AJ75" s="846">
        <f t="shared" si="64"/>
        <v>120.78000000000003</v>
      </c>
      <c r="AK75" s="961" t="s">
        <v>36</v>
      </c>
      <c r="AL75" s="588" t="e" cm="1">
        <f t="array" ref="AL75" xml:space="preserve"> INDEX(O69:O88, AM71, 1)</f>
        <v>#VALUE!</v>
      </c>
      <c r="AM75" s="582" t="e" cm="1">
        <f t="array" ref="AM75" xml:space="preserve"> INDEX(Q69:AJ88, AM71, AM70)</f>
        <v>#VALUE!</v>
      </c>
      <c r="AN75" s="592" t="e" cm="1">
        <f t="array" ref="AN75" xml:space="preserve"> INDEX(Q69:AJ88, AM71, AM70+1)</f>
        <v>#VALUE!</v>
      </c>
      <c r="AT75" s="683"/>
    </row>
    <row r="76" spans="2:46" ht="16.5" customHeight="1" thickBot="1" x14ac:dyDescent="0.3">
      <c r="B76" s="684" t="s">
        <v>71</v>
      </c>
      <c r="C76" s="678"/>
      <c r="E76" s="950" t="s">
        <v>41</v>
      </c>
      <c r="F76" s="951"/>
      <c r="G76" s="952"/>
      <c r="H76" s="678"/>
      <c r="I76" s="678"/>
      <c r="J76" s="678"/>
      <c r="K76" s="678"/>
      <c r="L76" s="679"/>
      <c r="M76" s="725"/>
      <c r="N76" s="752">
        <f t="shared" si="66"/>
        <v>6.54</v>
      </c>
      <c r="O76" s="756">
        <f t="shared" si="65"/>
        <v>48</v>
      </c>
      <c r="P76" s="578">
        <v>9</v>
      </c>
      <c r="Q76" s="828">
        <v>16.21</v>
      </c>
      <c r="R76" s="826">
        <v>18.39</v>
      </c>
      <c r="S76" s="806">
        <v>24.93</v>
      </c>
      <c r="T76" s="852">
        <v>31.46</v>
      </c>
      <c r="U76" s="837">
        <f t="shared" si="67"/>
        <v>38</v>
      </c>
      <c r="V76" s="837">
        <f t="shared" si="50"/>
        <v>44.54</v>
      </c>
      <c r="W76" s="837">
        <f t="shared" si="51"/>
        <v>51.08</v>
      </c>
      <c r="X76" s="849">
        <f t="shared" si="52"/>
        <v>57.62</v>
      </c>
      <c r="Y76" s="837">
        <f t="shared" si="53"/>
        <v>64.16</v>
      </c>
      <c r="Z76" s="837">
        <f t="shared" si="54"/>
        <v>70.7</v>
      </c>
      <c r="AA76" s="837">
        <f t="shared" si="55"/>
        <v>77.240000000000009</v>
      </c>
      <c r="AB76" s="851">
        <f t="shared" si="56"/>
        <v>83.780000000000015</v>
      </c>
      <c r="AC76" s="807">
        <f t="shared" si="57"/>
        <v>90.320000000000022</v>
      </c>
      <c r="AD76" s="807">
        <f t="shared" si="58"/>
        <v>96.860000000000028</v>
      </c>
      <c r="AE76" s="807">
        <f t="shared" si="59"/>
        <v>103.40000000000003</v>
      </c>
      <c r="AF76" s="824">
        <f t="shared" si="60"/>
        <v>109.94000000000004</v>
      </c>
      <c r="AG76" s="807">
        <f t="shared" si="61"/>
        <v>116.48000000000005</v>
      </c>
      <c r="AH76" s="807">
        <f t="shared" si="62"/>
        <v>123.02000000000005</v>
      </c>
      <c r="AI76" s="807">
        <f t="shared" si="63"/>
        <v>129.56000000000006</v>
      </c>
      <c r="AJ76" s="846">
        <f t="shared" si="64"/>
        <v>136.10000000000005</v>
      </c>
      <c r="AK76" s="962"/>
      <c r="AL76" s="588" t="e" cm="1">
        <f t="array" ref="AL76" xml:space="preserve"> INDEX(O69:O88, AM71+1, 1)</f>
        <v>#VALUE!</v>
      </c>
      <c r="AM76" s="582" t="e" cm="1">
        <f t="array" ref="AM76" xml:space="preserve"> INDEX(Q69:AJ88, AM71+1, AM70)</f>
        <v>#VALUE!</v>
      </c>
      <c r="AN76" s="592" t="e" cm="1">
        <f t="array" ref="AN76" xml:space="preserve"> INDEX(Q69:AJ88, AM71+1, AM70+1)</f>
        <v>#VALUE!</v>
      </c>
    </row>
    <row r="77" spans="2:46" ht="16.5" thickBot="1" x14ac:dyDescent="0.3">
      <c r="B77" s="682"/>
      <c r="C77" s="678"/>
      <c r="D77" s="685"/>
      <c r="E77" s="686" t="e">
        <f>D73</f>
        <v>#VALUE!</v>
      </c>
      <c r="F77" s="686" t="e">
        <f>C67</f>
        <v>#VALUE!</v>
      </c>
      <c r="G77" s="686" t="e">
        <f>E73</f>
        <v>#VALUE!</v>
      </c>
      <c r="H77" s="678"/>
      <c r="I77" s="678"/>
      <c r="J77" s="678"/>
      <c r="K77" s="678"/>
      <c r="L77" s="679"/>
      <c r="M77" s="725"/>
      <c r="N77" s="752">
        <f t="shared" si="66"/>
        <v>7.27</v>
      </c>
      <c r="O77" s="756">
        <f t="shared" si="65"/>
        <v>54</v>
      </c>
      <c r="P77" s="578">
        <v>10</v>
      </c>
      <c r="Q77" s="828">
        <v>18.14</v>
      </c>
      <c r="R77" s="826">
        <v>20.57</v>
      </c>
      <c r="S77" s="826">
        <v>27.84</v>
      </c>
      <c r="T77" s="852">
        <v>35.11</v>
      </c>
      <c r="U77" s="837">
        <f t="shared" si="67"/>
        <v>42.379999999999995</v>
      </c>
      <c r="V77" s="837">
        <f t="shared" si="50"/>
        <v>49.649999999999991</v>
      </c>
      <c r="W77" s="837">
        <f t="shared" si="51"/>
        <v>56.919999999999987</v>
      </c>
      <c r="X77" s="837">
        <f t="shared" si="52"/>
        <v>64.189999999999984</v>
      </c>
      <c r="Y77" s="837">
        <f t="shared" si="53"/>
        <v>71.45999999999998</v>
      </c>
      <c r="Z77" s="837">
        <f t="shared" si="54"/>
        <v>78.729999999999976</v>
      </c>
      <c r="AA77" s="837">
        <f t="shared" si="55"/>
        <v>85.999999999999972</v>
      </c>
      <c r="AB77" s="851">
        <f t="shared" si="56"/>
        <v>93.269999999999968</v>
      </c>
      <c r="AC77" s="807">
        <f t="shared" si="57"/>
        <v>100.53999999999996</v>
      </c>
      <c r="AD77" s="807">
        <f t="shared" si="58"/>
        <v>107.80999999999996</v>
      </c>
      <c r="AE77" s="807">
        <f t="shared" si="59"/>
        <v>115.07999999999996</v>
      </c>
      <c r="AF77" s="807">
        <f t="shared" si="60"/>
        <v>122.34999999999995</v>
      </c>
      <c r="AG77" s="807">
        <f t="shared" si="61"/>
        <v>129.61999999999995</v>
      </c>
      <c r="AH77" s="807">
        <f t="shared" si="62"/>
        <v>136.88999999999996</v>
      </c>
      <c r="AI77" s="807">
        <f t="shared" si="63"/>
        <v>144.15999999999997</v>
      </c>
      <c r="AJ77" s="846">
        <f t="shared" si="64"/>
        <v>151.42999999999998</v>
      </c>
      <c r="AK77" s="552"/>
      <c r="AL77" s="552"/>
      <c r="AM77" s="552"/>
      <c r="AN77" s="573"/>
    </row>
    <row r="78" spans="2:46" ht="16.5" thickBot="1" x14ac:dyDescent="0.3">
      <c r="B78" s="682"/>
      <c r="C78" s="953" t="s">
        <v>42</v>
      </c>
      <c r="D78" s="686" t="e">
        <f>H73</f>
        <v>#VALUE!</v>
      </c>
      <c r="E78" s="687" t="e">
        <f>INDEX(E21:AB32, MATCH(D78,C21:C32,0),MATCH(E77,E20:AB20,0))</f>
        <v>#VALUE!</v>
      </c>
      <c r="F78" s="687" t="e">
        <f>IF(E77&lt;&gt;G77,(((G78-E78)/((G77-E77)))*(F77-E77))+E78,E78)</f>
        <v>#VALUE!</v>
      </c>
      <c r="G78" s="687" t="e">
        <f>INDEX(E21:AB32, MATCH(D78,C21:C32,0),MATCH(G77,E20:AB20,0))</f>
        <v>#VALUE!</v>
      </c>
      <c r="H78" s="678"/>
      <c r="I78" s="678"/>
      <c r="J78" s="678"/>
      <c r="K78" s="678"/>
      <c r="L78" s="679"/>
      <c r="M78" s="725"/>
      <c r="N78" s="752">
        <f t="shared" si="66"/>
        <v>8.01</v>
      </c>
      <c r="O78" s="756">
        <f t="shared" si="65"/>
        <v>60</v>
      </c>
      <c r="P78" s="578">
        <v>11</v>
      </c>
      <c r="Q78" s="828">
        <v>20.079999999999998</v>
      </c>
      <c r="R78" s="826">
        <v>22.74</v>
      </c>
      <c r="S78" s="826">
        <v>30.75</v>
      </c>
      <c r="T78" s="852">
        <v>38.75</v>
      </c>
      <c r="U78" s="837">
        <f t="shared" si="67"/>
        <v>46.76</v>
      </c>
      <c r="V78" s="837">
        <f t="shared" si="50"/>
        <v>54.769999999999996</v>
      </c>
      <c r="W78" s="837">
        <f t="shared" si="51"/>
        <v>62.779999999999994</v>
      </c>
      <c r="X78" s="837">
        <f t="shared" si="52"/>
        <v>70.789999999999992</v>
      </c>
      <c r="Y78" s="837">
        <f t="shared" si="53"/>
        <v>78.8</v>
      </c>
      <c r="Z78" s="849">
        <f t="shared" si="54"/>
        <v>86.81</v>
      </c>
      <c r="AA78" s="837">
        <f t="shared" si="55"/>
        <v>94.820000000000007</v>
      </c>
      <c r="AB78" s="851">
        <f t="shared" si="56"/>
        <v>102.83000000000001</v>
      </c>
      <c r="AC78" s="807">
        <f t="shared" si="57"/>
        <v>110.84000000000002</v>
      </c>
      <c r="AD78" s="807">
        <f t="shared" si="58"/>
        <v>118.85000000000002</v>
      </c>
      <c r="AE78" s="807">
        <f t="shared" si="59"/>
        <v>126.86000000000003</v>
      </c>
      <c r="AF78" s="807">
        <f t="shared" si="60"/>
        <v>134.87000000000003</v>
      </c>
      <c r="AG78" s="807">
        <f t="shared" si="61"/>
        <v>142.88000000000002</v>
      </c>
      <c r="AH78" s="824">
        <f t="shared" si="62"/>
        <v>150.89000000000001</v>
      </c>
      <c r="AI78" s="807">
        <f t="shared" si="63"/>
        <v>158.9</v>
      </c>
      <c r="AJ78" s="846">
        <f t="shared" si="64"/>
        <v>166.91</v>
      </c>
      <c r="AK78" s="552"/>
      <c r="AL78" s="552"/>
      <c r="AM78" s="588" t="e">
        <f xml:space="preserve"> AM74</f>
        <v>#VALUE!</v>
      </c>
      <c r="AN78" s="594" t="e">
        <f xml:space="preserve"> AN74</f>
        <v>#VALUE!</v>
      </c>
    </row>
    <row r="79" spans="2:46" ht="16.5" thickBot="1" x14ac:dyDescent="0.3">
      <c r="B79" s="682"/>
      <c r="C79" s="954"/>
      <c r="D79" s="686" t="e">
        <f>C68</f>
        <v>#VALUE!</v>
      </c>
      <c r="E79" s="687" t="e">
        <f>IF(D78&lt;&gt;D80, (((E80-E78)/((D80-D78)))*(D79-D78))+E78, E78)</f>
        <v>#VALUE!</v>
      </c>
      <c r="F79" s="687" t="e">
        <f>IF(E77&lt;&gt;G77,(((G79-E79)/((G78-E78)))*(F78-E78))+E79,E79)</f>
        <v>#VALUE!</v>
      </c>
      <c r="G79" s="687" t="e">
        <f>IF(D78&lt;&gt;D80,(((G80-G78)/((D80-D78)))*(D79-D78))+G78,G78)</f>
        <v>#VALUE!</v>
      </c>
      <c r="H79" s="678"/>
      <c r="I79" s="678"/>
      <c r="J79" s="678"/>
      <c r="K79" s="678"/>
      <c r="L79" s="679"/>
      <c r="M79" s="725"/>
      <c r="N79" s="752">
        <f t="shared" si="66"/>
        <v>8.74</v>
      </c>
      <c r="O79" s="756">
        <f t="shared" si="65"/>
        <v>66</v>
      </c>
      <c r="P79" s="578">
        <v>12</v>
      </c>
      <c r="Q79" s="828">
        <v>22.01</v>
      </c>
      <c r="R79" s="826">
        <v>24.92</v>
      </c>
      <c r="S79" s="806">
        <v>33.65</v>
      </c>
      <c r="T79" s="852">
        <v>42.39</v>
      </c>
      <c r="U79" s="837">
        <f t="shared" si="67"/>
        <v>51.13</v>
      </c>
      <c r="V79" s="837">
        <f t="shared" si="50"/>
        <v>59.870000000000005</v>
      </c>
      <c r="W79" s="837">
        <f t="shared" si="51"/>
        <v>68.61</v>
      </c>
      <c r="X79" s="837">
        <f t="shared" si="52"/>
        <v>77.349999999999994</v>
      </c>
      <c r="Y79" s="837">
        <f t="shared" si="53"/>
        <v>86.089999999999989</v>
      </c>
      <c r="Z79" s="837">
        <f t="shared" si="54"/>
        <v>94.829999999999984</v>
      </c>
      <c r="AA79" s="837">
        <f t="shared" si="55"/>
        <v>103.56999999999998</v>
      </c>
      <c r="AB79" s="851">
        <f t="shared" si="56"/>
        <v>112.30999999999997</v>
      </c>
      <c r="AC79" s="807">
        <f t="shared" si="57"/>
        <v>121.04999999999997</v>
      </c>
      <c r="AD79" s="807">
        <f t="shared" si="58"/>
        <v>129.78999999999996</v>
      </c>
      <c r="AE79" s="807">
        <f t="shared" si="59"/>
        <v>138.52999999999997</v>
      </c>
      <c r="AF79" s="807">
        <f t="shared" si="60"/>
        <v>147.26999999999998</v>
      </c>
      <c r="AG79" s="807">
        <f t="shared" si="61"/>
        <v>156.01</v>
      </c>
      <c r="AH79" s="807">
        <f t="shared" si="62"/>
        <v>164.75</v>
      </c>
      <c r="AI79" s="807">
        <f t="shared" si="63"/>
        <v>173.49</v>
      </c>
      <c r="AJ79" s="846">
        <f t="shared" si="64"/>
        <v>182.23000000000002</v>
      </c>
      <c r="AK79" s="552"/>
      <c r="AL79" s="589" t="e">
        <f xml:space="preserve"> AL75&amp;" to "&amp;AL76</f>
        <v>#VALUE!</v>
      </c>
      <c r="AM79" s="582" t="e">
        <f xml:space="preserve"> _xlfn.FORECAST.LINEAR(AL71, AM75:AM76, AL75:AL76)</f>
        <v>#VALUE!</v>
      </c>
      <c r="AN79" s="592" t="e">
        <f xml:space="preserve"> _xlfn.FORECAST.LINEAR(AL71, AN75:AN76, AL75:AL76)</f>
        <v>#VALUE!</v>
      </c>
      <c r="AO79" s="574"/>
      <c r="AP79" s="598"/>
      <c r="AQ79" s="574"/>
      <c r="AR79" s="574"/>
    </row>
    <row r="80" spans="2:46" ht="16.5" thickBot="1" x14ac:dyDescent="0.3">
      <c r="B80" s="682"/>
      <c r="C80" s="955"/>
      <c r="D80" s="686" t="e">
        <f>I73</f>
        <v>#VALUE!</v>
      </c>
      <c r="E80" s="687" t="e">
        <f>INDEX(E21:AB32, MATCH(D80,C21:C32,0),MATCH(E77,E20:AB20,0))</f>
        <v>#VALUE!</v>
      </c>
      <c r="F80" s="687" t="e">
        <f>IF(E77&lt;&gt;G77,(((G80-E80)/((G77-E77)))*(F77-E77))+E80,E80)</f>
        <v>#VALUE!</v>
      </c>
      <c r="G80" s="687" t="e">
        <f>INDEX(G22:AB32, MATCH(D80,C22:C32,0),MATCH(G77,G20:AB20,0))</f>
        <v>#VALUE!</v>
      </c>
      <c r="H80" s="678"/>
      <c r="I80" s="678"/>
      <c r="J80" s="678"/>
      <c r="K80" s="678"/>
      <c r="L80" s="679"/>
      <c r="M80" s="725"/>
      <c r="N80" s="752">
        <f t="shared" si="66"/>
        <v>9.4700000000000006</v>
      </c>
      <c r="O80" s="756">
        <f t="shared" si="65"/>
        <v>72</v>
      </c>
      <c r="P80" s="578">
        <v>13</v>
      </c>
      <c r="Q80" s="828">
        <v>23.94</v>
      </c>
      <c r="R80" s="826">
        <v>27.1</v>
      </c>
      <c r="S80" s="826">
        <v>36.56</v>
      </c>
      <c r="T80" s="852">
        <v>46.03</v>
      </c>
      <c r="U80" s="842">
        <f t="shared" si="67"/>
        <v>55.5</v>
      </c>
      <c r="V80" s="842">
        <f t="shared" si="50"/>
        <v>64.97</v>
      </c>
      <c r="W80" s="842">
        <f t="shared" si="51"/>
        <v>74.44</v>
      </c>
      <c r="X80" s="842">
        <f t="shared" si="52"/>
        <v>83.91</v>
      </c>
      <c r="Y80" s="842">
        <f t="shared" si="53"/>
        <v>93.38</v>
      </c>
      <c r="Z80" s="842">
        <f t="shared" si="54"/>
        <v>102.85</v>
      </c>
      <c r="AA80" s="842">
        <f t="shared" si="55"/>
        <v>112.32</v>
      </c>
      <c r="AB80" s="850">
        <f t="shared" si="56"/>
        <v>121.78999999999999</v>
      </c>
      <c r="AC80" s="847">
        <f t="shared" si="57"/>
        <v>131.26</v>
      </c>
      <c r="AD80" s="847">
        <f t="shared" si="58"/>
        <v>140.72999999999999</v>
      </c>
      <c r="AE80" s="847">
        <f t="shared" si="59"/>
        <v>150.19999999999999</v>
      </c>
      <c r="AF80" s="847">
        <f t="shared" si="60"/>
        <v>159.66999999999999</v>
      </c>
      <c r="AG80" s="847">
        <f t="shared" si="61"/>
        <v>169.14</v>
      </c>
      <c r="AH80" s="847">
        <f t="shared" si="62"/>
        <v>178.60999999999999</v>
      </c>
      <c r="AI80" s="847">
        <f t="shared" si="63"/>
        <v>188.07999999999998</v>
      </c>
      <c r="AJ80" s="848">
        <f t="shared" si="64"/>
        <v>197.54999999999998</v>
      </c>
      <c r="AK80" s="552"/>
      <c r="AL80" s="552"/>
      <c r="AM80" s="552"/>
      <c r="AN80" s="573"/>
      <c r="AO80" s="574"/>
      <c r="AP80" s="574"/>
      <c r="AQ80" s="574"/>
      <c r="AR80" s="574"/>
    </row>
    <row r="81" spans="2:44" ht="15.75" thickBot="1" x14ac:dyDescent="0.3">
      <c r="B81" s="682"/>
      <c r="C81" s="678"/>
      <c r="D81" s="678"/>
      <c r="E81" s="678"/>
      <c r="F81" s="678"/>
      <c r="G81" s="678"/>
      <c r="H81" s="678"/>
      <c r="I81" s="678"/>
      <c r="J81" s="678"/>
      <c r="K81" s="678"/>
      <c r="L81" s="679"/>
      <c r="M81" s="725"/>
      <c r="N81" s="752">
        <f t="shared" si="66"/>
        <v>10.209999999999999</v>
      </c>
      <c r="O81" s="756">
        <f t="shared" si="65"/>
        <v>78</v>
      </c>
      <c r="P81" s="578">
        <v>14</v>
      </c>
      <c r="Q81" s="810">
        <v>25.87</v>
      </c>
      <c r="R81" s="806">
        <v>29.274000000000001</v>
      </c>
      <c r="S81" s="806">
        <v>39.479999999999997</v>
      </c>
      <c r="T81" s="806">
        <v>49.686</v>
      </c>
      <c r="U81" s="824">
        <f t="shared" si="67"/>
        <v>59.896000000000001</v>
      </c>
      <c r="V81" s="824">
        <f t="shared" ref="V81:V88" si="68">U81+$N81</f>
        <v>70.105999999999995</v>
      </c>
      <c r="W81" s="824">
        <f t="shared" ref="W81:W88" si="69">V81+$N81</f>
        <v>80.315999999999988</v>
      </c>
      <c r="X81" s="824">
        <f t="shared" ref="X81:X88" si="70">W81+$N81</f>
        <v>90.525999999999982</v>
      </c>
      <c r="Y81" s="824">
        <f t="shared" ref="Y81:Y88" si="71">X81+$N81</f>
        <v>100.73599999999998</v>
      </c>
      <c r="Z81" s="824">
        <f t="shared" ref="Z81:Z88" si="72">Y81+$N81</f>
        <v>110.94599999999997</v>
      </c>
      <c r="AA81" s="824">
        <f t="shared" ref="AA81:AA88" si="73">Z81+$N81</f>
        <v>121.15599999999996</v>
      </c>
      <c r="AB81" s="845">
        <f t="shared" ref="AB81:AB88" si="74">AA81+$N81</f>
        <v>131.36599999999996</v>
      </c>
      <c r="AC81" s="824">
        <f t="shared" si="57"/>
        <v>141.57599999999996</v>
      </c>
      <c r="AD81" s="824">
        <f t="shared" si="58"/>
        <v>151.78599999999997</v>
      </c>
      <c r="AE81" s="824">
        <f t="shared" si="59"/>
        <v>161.99599999999998</v>
      </c>
      <c r="AF81" s="824">
        <f t="shared" si="60"/>
        <v>172.20599999999999</v>
      </c>
      <c r="AG81" s="824">
        <f t="shared" si="61"/>
        <v>182.416</v>
      </c>
      <c r="AH81" s="824">
        <f t="shared" si="62"/>
        <v>192.626</v>
      </c>
      <c r="AI81" s="824">
        <f t="shared" si="63"/>
        <v>202.83600000000001</v>
      </c>
      <c r="AJ81" s="845">
        <f t="shared" si="64"/>
        <v>213.04600000000002</v>
      </c>
      <c r="AK81" s="552"/>
      <c r="AL81" s="913" t="s">
        <v>314</v>
      </c>
      <c r="AM81" s="914"/>
      <c r="AN81" s="592" t="e">
        <f xml:space="preserve"> _xlfn.FORECAST.LINEAR(AL70, AM79:AN79, AM78:AN78)</f>
        <v>#VALUE!</v>
      </c>
      <c r="AO81" s="574"/>
      <c r="AP81" s="574"/>
      <c r="AQ81" s="574"/>
      <c r="AR81" s="574"/>
    </row>
    <row r="82" spans="2:44" ht="15.75" thickBot="1" x14ac:dyDescent="0.3">
      <c r="B82" s="682"/>
      <c r="C82" s="678"/>
      <c r="D82" s="678"/>
      <c r="E82" s="678"/>
      <c r="F82" s="678"/>
      <c r="G82" s="678"/>
      <c r="H82" s="678"/>
      <c r="I82" s="678"/>
      <c r="J82" s="678"/>
      <c r="K82" s="678"/>
      <c r="L82" s="679"/>
      <c r="M82" s="725"/>
      <c r="N82" s="752">
        <f t="shared" si="66"/>
        <v>10.94</v>
      </c>
      <c r="O82" s="756">
        <f t="shared" si="65"/>
        <v>84</v>
      </c>
      <c r="P82" s="578">
        <v>15</v>
      </c>
      <c r="Q82" s="810">
        <v>27.8</v>
      </c>
      <c r="R82" s="806">
        <v>31.450727272727299</v>
      </c>
      <c r="S82" s="806">
        <v>42.39</v>
      </c>
      <c r="T82" s="806">
        <v>53.329272727272702</v>
      </c>
      <c r="U82" s="807">
        <f t="shared" ref="U82:U88" si="75">T82+$N82</f>
        <v>64.269272727272707</v>
      </c>
      <c r="V82" s="807">
        <f t="shared" si="68"/>
        <v>75.209272727272705</v>
      </c>
      <c r="W82" s="807">
        <f t="shared" si="69"/>
        <v>86.149272727272702</v>
      </c>
      <c r="X82" s="807">
        <f t="shared" si="70"/>
        <v>97.0892727272727</v>
      </c>
      <c r="Y82" s="807">
        <f t="shared" si="71"/>
        <v>108.0292727272727</v>
      </c>
      <c r="Z82" s="807">
        <f t="shared" si="72"/>
        <v>118.9692727272727</v>
      </c>
      <c r="AA82" s="807">
        <f t="shared" si="73"/>
        <v>129.90927272727271</v>
      </c>
      <c r="AB82" s="846">
        <f t="shared" si="74"/>
        <v>140.84927272727271</v>
      </c>
      <c r="AC82" s="807">
        <f t="shared" si="57"/>
        <v>151.7892727272727</v>
      </c>
      <c r="AD82" s="807">
        <f t="shared" si="58"/>
        <v>162.7292727272727</v>
      </c>
      <c r="AE82" s="807">
        <f t="shared" si="59"/>
        <v>173.6692727272727</v>
      </c>
      <c r="AF82" s="807">
        <f t="shared" si="60"/>
        <v>184.6092727272727</v>
      </c>
      <c r="AG82" s="807">
        <f t="shared" si="61"/>
        <v>195.54927272727269</v>
      </c>
      <c r="AH82" s="807">
        <f t="shared" si="62"/>
        <v>206.48927272727269</v>
      </c>
      <c r="AI82" s="807">
        <f t="shared" si="63"/>
        <v>217.42927272727269</v>
      </c>
      <c r="AJ82" s="846">
        <f t="shared" si="64"/>
        <v>228.36927272727269</v>
      </c>
      <c r="AK82" s="552"/>
      <c r="AL82" s="913" t="s">
        <v>315</v>
      </c>
      <c r="AM82" s="914"/>
      <c r="AN82" s="582" t="e">
        <f xml:space="preserve"> AN81*C11</f>
        <v>#VALUE!</v>
      </c>
      <c r="AO82" s="574"/>
      <c r="AP82" s="574"/>
      <c r="AQ82" s="574"/>
      <c r="AR82" s="599"/>
    </row>
    <row r="83" spans="2:44" ht="15.75" thickBot="1" x14ac:dyDescent="0.3">
      <c r="B83" s="682"/>
      <c r="C83" s="678"/>
      <c r="D83" s="678"/>
      <c r="E83" s="678"/>
      <c r="F83" s="678"/>
      <c r="G83" s="678"/>
      <c r="H83" s="678"/>
      <c r="I83" s="678"/>
      <c r="J83" s="678"/>
      <c r="K83" s="678"/>
      <c r="L83" s="679"/>
      <c r="M83" s="725"/>
      <c r="N83" s="752">
        <f t="shared" si="66"/>
        <v>11.68</v>
      </c>
      <c r="O83" s="756">
        <f t="shared" si="65"/>
        <v>90</v>
      </c>
      <c r="P83" s="578">
        <v>16</v>
      </c>
      <c r="Q83" s="810">
        <v>29.73</v>
      </c>
      <c r="R83" s="806">
        <v>33.627454545454597</v>
      </c>
      <c r="S83" s="806">
        <v>45.3</v>
      </c>
      <c r="T83" s="806">
        <v>56.972545454545397</v>
      </c>
      <c r="U83" s="807">
        <f t="shared" si="75"/>
        <v>68.65254545454539</v>
      </c>
      <c r="V83" s="807">
        <f t="shared" si="68"/>
        <v>80.332545454545397</v>
      </c>
      <c r="W83" s="807">
        <f t="shared" si="69"/>
        <v>92.012545454545403</v>
      </c>
      <c r="X83" s="807">
        <f t="shared" si="70"/>
        <v>103.69254545454541</v>
      </c>
      <c r="Y83" s="807">
        <f t="shared" si="71"/>
        <v>115.37254545454542</v>
      </c>
      <c r="Z83" s="807">
        <f t="shared" si="72"/>
        <v>127.05254545454542</v>
      </c>
      <c r="AA83" s="807">
        <f t="shared" si="73"/>
        <v>138.73254545454543</v>
      </c>
      <c r="AB83" s="846">
        <f t="shared" si="74"/>
        <v>150.41254545454544</v>
      </c>
      <c r="AC83" s="807">
        <f t="shared" si="57"/>
        <v>162.09254545454544</v>
      </c>
      <c r="AD83" s="807">
        <f t="shared" si="58"/>
        <v>173.77254545454545</v>
      </c>
      <c r="AE83" s="807">
        <f t="shared" si="59"/>
        <v>185.45254545454546</v>
      </c>
      <c r="AF83" s="807">
        <f t="shared" si="60"/>
        <v>197.13254545454546</v>
      </c>
      <c r="AG83" s="807">
        <f t="shared" si="61"/>
        <v>208.81254545454547</v>
      </c>
      <c r="AH83" s="807">
        <f t="shared" si="62"/>
        <v>220.49254545454548</v>
      </c>
      <c r="AI83" s="807">
        <f t="shared" si="63"/>
        <v>232.17254545454549</v>
      </c>
      <c r="AJ83" s="846">
        <f t="shared" si="64"/>
        <v>243.85254545454549</v>
      </c>
      <c r="AK83" s="552"/>
      <c r="AL83" s="552"/>
      <c r="AM83" s="552"/>
      <c r="AN83" s="573"/>
      <c r="AO83" s="574"/>
      <c r="AP83" s="574"/>
      <c r="AQ83" s="574"/>
      <c r="AR83" s="599"/>
    </row>
    <row r="84" spans="2:44" ht="21.75" thickBot="1" x14ac:dyDescent="0.3">
      <c r="B84" s="684" t="s">
        <v>80</v>
      </c>
      <c r="C84" s="678"/>
      <c r="D84" s="678"/>
      <c r="E84" s="678"/>
      <c r="F84" s="678"/>
      <c r="G84" s="678"/>
      <c r="H84" s="678"/>
      <c r="I84" s="678"/>
      <c r="J84" s="678"/>
      <c r="K84" s="678"/>
      <c r="L84" s="679"/>
      <c r="M84" s="725"/>
      <c r="N84" s="752">
        <f t="shared" si="66"/>
        <v>12.41</v>
      </c>
      <c r="O84" s="756">
        <f t="shared" si="65"/>
        <v>96</v>
      </c>
      <c r="P84" s="578">
        <v>17</v>
      </c>
      <c r="Q84" s="810">
        <v>31.66</v>
      </c>
      <c r="R84" s="806">
        <v>35.804181818181803</v>
      </c>
      <c r="S84" s="806">
        <v>48.21</v>
      </c>
      <c r="T84" s="806">
        <v>60.615818181818199</v>
      </c>
      <c r="U84" s="807">
        <f t="shared" si="75"/>
        <v>73.025818181818195</v>
      </c>
      <c r="V84" s="807">
        <f t="shared" si="68"/>
        <v>85.435818181818192</v>
      </c>
      <c r="W84" s="807">
        <f t="shared" si="69"/>
        <v>97.845818181818188</v>
      </c>
      <c r="X84" s="807">
        <f t="shared" si="70"/>
        <v>110.25581818181819</v>
      </c>
      <c r="Y84" s="807">
        <f t="shared" si="71"/>
        <v>122.66581818181818</v>
      </c>
      <c r="Z84" s="807">
        <f t="shared" si="72"/>
        <v>135.07581818181819</v>
      </c>
      <c r="AA84" s="807">
        <f t="shared" si="73"/>
        <v>147.48581818181819</v>
      </c>
      <c r="AB84" s="846">
        <f t="shared" si="74"/>
        <v>159.89581818181819</v>
      </c>
      <c r="AC84" s="807">
        <f t="shared" si="57"/>
        <v>172.30581818181818</v>
      </c>
      <c r="AD84" s="807">
        <f t="shared" si="58"/>
        <v>184.71581818181818</v>
      </c>
      <c r="AE84" s="807">
        <f t="shared" si="59"/>
        <v>197.12581818181818</v>
      </c>
      <c r="AF84" s="807">
        <f t="shared" si="60"/>
        <v>209.53581818181817</v>
      </c>
      <c r="AG84" s="807">
        <f t="shared" si="61"/>
        <v>221.94581818181817</v>
      </c>
      <c r="AH84" s="807">
        <f t="shared" si="62"/>
        <v>234.35581818181817</v>
      </c>
      <c r="AI84" s="807">
        <f t="shared" si="63"/>
        <v>246.76581818181816</v>
      </c>
      <c r="AJ84" s="846">
        <f t="shared" si="64"/>
        <v>259.17581818181816</v>
      </c>
      <c r="AK84" s="552"/>
      <c r="AL84" s="552"/>
      <c r="AM84" s="552"/>
      <c r="AN84" s="573"/>
      <c r="AO84" s="574"/>
      <c r="AP84" s="574"/>
      <c r="AQ84" s="574"/>
      <c r="AR84" s="599"/>
    </row>
    <row r="85" spans="2:44" ht="19.5" thickBot="1" x14ac:dyDescent="0.3">
      <c r="B85" s="688" t="s">
        <v>46</v>
      </c>
      <c r="C85" s="678"/>
      <c r="D85" s="689" t="e">
        <f>F79*$C$11</f>
        <v>#VALUE!</v>
      </c>
      <c r="E85" s="690" t="s">
        <v>45</v>
      </c>
      <c r="F85" s="610" t="s">
        <v>303</v>
      </c>
      <c r="G85" s="678"/>
      <c r="H85" s="678"/>
      <c r="I85" s="678"/>
      <c r="J85" s="678"/>
      <c r="K85" s="678"/>
      <c r="L85" s="679"/>
      <c r="M85" s="725"/>
      <c r="N85" s="752">
        <f t="shared" si="66"/>
        <v>13.14</v>
      </c>
      <c r="O85" s="756">
        <f t="shared" si="65"/>
        <v>102</v>
      </c>
      <c r="P85" s="578">
        <v>18</v>
      </c>
      <c r="Q85" s="810">
        <v>33.590000000000003</v>
      </c>
      <c r="R85" s="806">
        <v>37.980909090909101</v>
      </c>
      <c r="S85" s="806">
        <v>51.12</v>
      </c>
      <c r="T85" s="806">
        <v>64.259090909090901</v>
      </c>
      <c r="U85" s="807">
        <f t="shared" si="75"/>
        <v>77.399090909090901</v>
      </c>
      <c r="V85" s="824">
        <f t="shared" si="68"/>
        <v>90.539090909090902</v>
      </c>
      <c r="W85" s="807">
        <f t="shared" si="69"/>
        <v>103.6790909090909</v>
      </c>
      <c r="X85" s="807">
        <f t="shared" si="70"/>
        <v>116.8190909090909</v>
      </c>
      <c r="Y85" s="807">
        <f t="shared" si="71"/>
        <v>129.95909090909089</v>
      </c>
      <c r="Z85" s="807">
        <f t="shared" si="72"/>
        <v>143.09909090909088</v>
      </c>
      <c r="AA85" s="807">
        <f t="shared" si="73"/>
        <v>156.23909090909086</v>
      </c>
      <c r="AB85" s="846">
        <f t="shared" si="74"/>
        <v>169.37909090909085</v>
      </c>
      <c r="AC85" s="807">
        <f t="shared" si="57"/>
        <v>182.51909090909083</v>
      </c>
      <c r="AD85" s="824">
        <f t="shared" si="58"/>
        <v>195.65909090909082</v>
      </c>
      <c r="AE85" s="807">
        <f t="shared" si="59"/>
        <v>208.79909090909081</v>
      </c>
      <c r="AF85" s="807">
        <f t="shared" si="60"/>
        <v>221.93909090909079</v>
      </c>
      <c r="AG85" s="807">
        <f t="shared" si="61"/>
        <v>235.07909090909078</v>
      </c>
      <c r="AH85" s="807">
        <f t="shared" si="62"/>
        <v>248.21909090909077</v>
      </c>
      <c r="AI85" s="807">
        <f t="shared" si="63"/>
        <v>261.35909090909075</v>
      </c>
      <c r="AJ85" s="846">
        <f t="shared" si="64"/>
        <v>274.49909090909074</v>
      </c>
      <c r="AK85" s="552"/>
      <c r="AL85" s="552"/>
      <c r="AM85" s="552"/>
      <c r="AN85" s="573"/>
      <c r="AO85" s="574"/>
      <c r="AP85" s="574"/>
      <c r="AQ85" s="574"/>
      <c r="AR85" s="599"/>
    </row>
    <row r="86" spans="2:44" ht="19.5" thickBot="1" x14ac:dyDescent="0.3">
      <c r="B86" s="688" t="s">
        <v>47</v>
      </c>
      <c r="C86" s="678"/>
      <c r="D86" s="689" t="e">
        <f>(D3*D4)/144</f>
        <v>#VALUE!</v>
      </c>
      <c r="E86" s="690" t="s">
        <v>45</v>
      </c>
      <c r="F86" s="678"/>
      <c r="G86" s="678"/>
      <c r="H86" s="678"/>
      <c r="I86" s="678"/>
      <c r="J86" s="678"/>
      <c r="K86" s="678"/>
      <c r="L86" s="679"/>
      <c r="M86" s="725"/>
      <c r="N86" s="752">
        <f t="shared" si="66"/>
        <v>13.879999999999999</v>
      </c>
      <c r="O86" s="756">
        <f t="shared" si="65"/>
        <v>108</v>
      </c>
      <c r="P86" s="578">
        <v>19</v>
      </c>
      <c r="Q86" s="810">
        <v>35.520000000000003</v>
      </c>
      <c r="R86" s="806">
        <v>40.157636363636399</v>
      </c>
      <c r="S86" s="806">
        <v>54.03</v>
      </c>
      <c r="T86" s="806">
        <v>67.902363636363603</v>
      </c>
      <c r="U86" s="807">
        <f t="shared" si="75"/>
        <v>81.782363636363598</v>
      </c>
      <c r="V86" s="807">
        <f t="shared" si="68"/>
        <v>95.662363636363594</v>
      </c>
      <c r="W86" s="807">
        <f t="shared" si="69"/>
        <v>109.54236363636359</v>
      </c>
      <c r="X86" s="807">
        <f t="shared" si="70"/>
        <v>123.42236363636358</v>
      </c>
      <c r="Y86" s="807">
        <f t="shared" si="71"/>
        <v>137.30236363636359</v>
      </c>
      <c r="Z86" s="807">
        <f t="shared" si="72"/>
        <v>151.18236363636359</v>
      </c>
      <c r="AA86" s="807">
        <f t="shared" si="73"/>
        <v>165.06236363636359</v>
      </c>
      <c r="AB86" s="846">
        <f t="shared" si="74"/>
        <v>178.94236363636358</v>
      </c>
      <c r="AC86" s="807">
        <f t="shared" si="57"/>
        <v>192.82236363636358</v>
      </c>
      <c r="AD86" s="807">
        <f t="shared" si="58"/>
        <v>206.70236363636357</v>
      </c>
      <c r="AE86" s="807">
        <f t="shared" si="59"/>
        <v>220.58236363636357</v>
      </c>
      <c r="AF86" s="807">
        <f t="shared" si="60"/>
        <v>234.46236363636356</v>
      </c>
      <c r="AG86" s="807">
        <f t="shared" si="61"/>
        <v>248.34236363636356</v>
      </c>
      <c r="AH86" s="807">
        <f t="shared" si="62"/>
        <v>262.22236363636358</v>
      </c>
      <c r="AI86" s="807">
        <f t="shared" si="63"/>
        <v>276.10236363636358</v>
      </c>
      <c r="AJ86" s="846">
        <f t="shared" si="64"/>
        <v>289.98236363636357</v>
      </c>
      <c r="AK86" s="552"/>
      <c r="AL86" s="552"/>
      <c r="AM86" s="583"/>
      <c r="AN86" s="585"/>
      <c r="AO86" s="574"/>
      <c r="AP86" s="574"/>
      <c r="AQ86" s="574"/>
      <c r="AR86" s="599"/>
    </row>
    <row r="87" spans="2:44" ht="19.5" thickBot="1" x14ac:dyDescent="0.3">
      <c r="B87" s="688" t="s">
        <v>81</v>
      </c>
      <c r="C87" s="678"/>
      <c r="D87" s="689" t="e">
        <f>D85/D86*100</f>
        <v>#VALUE!</v>
      </c>
      <c r="E87" s="690" t="s">
        <v>16</v>
      </c>
      <c r="F87" s="678"/>
      <c r="G87" s="678"/>
      <c r="H87" s="678"/>
      <c r="I87" s="678"/>
      <c r="J87" s="678"/>
      <c r="K87" s="678"/>
      <c r="L87" s="679"/>
      <c r="M87" s="725"/>
      <c r="N87" s="752">
        <f t="shared" si="66"/>
        <v>14.61</v>
      </c>
      <c r="O87" s="756">
        <f t="shared" si="65"/>
        <v>114</v>
      </c>
      <c r="P87" s="578">
        <v>20</v>
      </c>
      <c r="Q87" s="810">
        <v>37.450000000000003</v>
      </c>
      <c r="R87" s="806">
        <v>42.334363636363697</v>
      </c>
      <c r="S87" s="806">
        <v>56.94</v>
      </c>
      <c r="T87" s="806">
        <v>71.545636363636305</v>
      </c>
      <c r="U87" s="807">
        <f t="shared" si="75"/>
        <v>86.155636363636305</v>
      </c>
      <c r="V87" s="807">
        <f t="shared" si="68"/>
        <v>100.7656363636363</v>
      </c>
      <c r="W87" s="807">
        <f t="shared" si="69"/>
        <v>115.3756363636363</v>
      </c>
      <c r="X87" s="824">
        <f t="shared" si="70"/>
        <v>129.9856363636363</v>
      </c>
      <c r="Y87" s="807">
        <f t="shared" si="71"/>
        <v>144.59563636363629</v>
      </c>
      <c r="Z87" s="807">
        <f t="shared" si="72"/>
        <v>159.2056363636363</v>
      </c>
      <c r="AA87" s="807">
        <f t="shared" si="73"/>
        <v>173.81563636363632</v>
      </c>
      <c r="AB87" s="846">
        <f t="shared" si="74"/>
        <v>188.42563636363633</v>
      </c>
      <c r="AC87" s="807">
        <f t="shared" si="57"/>
        <v>203.03563636363634</v>
      </c>
      <c r="AD87" s="807">
        <f t="shared" si="58"/>
        <v>217.64563636363636</v>
      </c>
      <c r="AE87" s="807">
        <f t="shared" si="59"/>
        <v>232.25563636363637</v>
      </c>
      <c r="AF87" s="824">
        <f t="shared" si="60"/>
        <v>246.86563636363638</v>
      </c>
      <c r="AG87" s="807">
        <f t="shared" si="61"/>
        <v>261.4756363636364</v>
      </c>
      <c r="AH87" s="807">
        <f t="shared" si="62"/>
        <v>276.08563636363641</v>
      </c>
      <c r="AI87" s="807">
        <f t="shared" si="63"/>
        <v>290.69563636363642</v>
      </c>
      <c r="AJ87" s="846">
        <f t="shared" si="64"/>
        <v>305.30563636363644</v>
      </c>
      <c r="AK87" s="552"/>
      <c r="AL87" s="552"/>
      <c r="AM87" s="552"/>
      <c r="AN87" s="573"/>
      <c r="AO87" s="574"/>
      <c r="AP87" s="574"/>
      <c r="AQ87" s="574"/>
      <c r="AR87" s="599"/>
    </row>
    <row r="88" spans="2:44" ht="19.5" thickBot="1" x14ac:dyDescent="0.3">
      <c r="B88" s="682"/>
      <c r="C88" s="691"/>
      <c r="D88" s="692"/>
      <c r="E88" s="690"/>
      <c r="F88" s="678"/>
      <c r="G88" s="678"/>
      <c r="H88" s="678"/>
      <c r="I88" s="678"/>
      <c r="J88" s="678"/>
      <c r="K88" s="678"/>
      <c r="L88" s="679"/>
      <c r="M88" s="725"/>
      <c r="N88" s="752">
        <f t="shared" si="66"/>
        <v>15.34</v>
      </c>
      <c r="O88" s="756">
        <f t="shared" si="65"/>
        <v>120</v>
      </c>
      <c r="P88" s="578">
        <v>21</v>
      </c>
      <c r="Q88" s="810">
        <v>39.380000000000003</v>
      </c>
      <c r="R88" s="806">
        <v>44.511090909090903</v>
      </c>
      <c r="S88" s="806">
        <v>59.85</v>
      </c>
      <c r="T88" s="806">
        <v>75.188909090909107</v>
      </c>
      <c r="U88" s="807">
        <f t="shared" si="75"/>
        <v>90.52890909090911</v>
      </c>
      <c r="V88" s="807">
        <f t="shared" si="68"/>
        <v>105.86890909090911</v>
      </c>
      <c r="W88" s="807">
        <f t="shared" si="69"/>
        <v>121.20890909090912</v>
      </c>
      <c r="X88" s="807">
        <f t="shared" si="70"/>
        <v>136.54890909090912</v>
      </c>
      <c r="Y88" s="807">
        <f t="shared" si="71"/>
        <v>151.88890909090912</v>
      </c>
      <c r="Z88" s="807">
        <f t="shared" si="72"/>
        <v>167.22890909090913</v>
      </c>
      <c r="AA88" s="807">
        <f t="shared" si="73"/>
        <v>182.56890909090913</v>
      </c>
      <c r="AB88" s="846">
        <f t="shared" si="74"/>
        <v>197.90890909090913</v>
      </c>
      <c r="AC88" s="807">
        <f t="shared" si="57"/>
        <v>213.24890909090914</v>
      </c>
      <c r="AD88" s="807">
        <f t="shared" si="58"/>
        <v>228.58890909090914</v>
      </c>
      <c r="AE88" s="807">
        <f t="shared" si="59"/>
        <v>243.92890909090914</v>
      </c>
      <c r="AF88" s="807">
        <f t="shared" si="60"/>
        <v>259.26890909090912</v>
      </c>
      <c r="AG88" s="807">
        <f t="shared" si="61"/>
        <v>274.60890909090909</v>
      </c>
      <c r="AH88" s="807">
        <f t="shared" si="62"/>
        <v>289.94890909090907</v>
      </c>
      <c r="AI88" s="807">
        <f t="shared" si="63"/>
        <v>305.28890909090904</v>
      </c>
      <c r="AJ88" s="846">
        <f t="shared" si="64"/>
        <v>320.62890909090902</v>
      </c>
      <c r="AK88" s="552"/>
      <c r="AL88" s="552"/>
      <c r="AM88" s="552"/>
      <c r="AN88" s="573"/>
      <c r="AO88" s="574"/>
      <c r="AP88" s="574"/>
      <c r="AQ88" s="574"/>
      <c r="AR88" s="599"/>
    </row>
    <row r="89" spans="2:44" ht="19.5" thickBot="1" x14ac:dyDescent="0.3">
      <c r="B89" s="693" t="s">
        <v>82</v>
      </c>
      <c r="D89" s="689" t="e">
        <f>C5/D85</f>
        <v>#VALUE!</v>
      </c>
      <c r="E89" s="690" t="s">
        <v>48</v>
      </c>
      <c r="F89" s="694"/>
      <c r="G89" s="694"/>
      <c r="H89" s="694"/>
      <c r="I89" s="694"/>
      <c r="J89" s="694"/>
      <c r="K89" s="694"/>
      <c r="L89" s="695"/>
      <c r="M89" s="725"/>
      <c r="N89" s="744"/>
      <c r="O89" s="745"/>
      <c r="P89" s="578"/>
      <c r="Q89" s="746"/>
      <c r="R89" s="577"/>
      <c r="S89" s="577"/>
      <c r="T89" s="577"/>
      <c r="U89" s="819"/>
      <c r="V89" s="823"/>
      <c r="W89" s="819"/>
      <c r="X89" s="819"/>
      <c r="Y89" s="819"/>
      <c r="Z89" s="819"/>
      <c r="AA89" s="819"/>
      <c r="AB89" s="819"/>
      <c r="AC89" s="819"/>
      <c r="AD89" s="819"/>
      <c r="AE89" s="819"/>
      <c r="AF89" s="819"/>
      <c r="AG89" s="819"/>
      <c r="AH89" s="819"/>
      <c r="AI89" s="819"/>
      <c r="AJ89" s="820"/>
      <c r="AK89" s="552"/>
      <c r="AL89" s="552"/>
      <c r="AM89" s="552"/>
      <c r="AN89" s="573"/>
      <c r="AO89" s="574"/>
      <c r="AP89" s="574"/>
      <c r="AQ89" s="574"/>
      <c r="AR89" s="574"/>
    </row>
    <row r="90" spans="2:44" ht="19.5" thickBot="1" x14ac:dyDescent="0.3">
      <c r="B90" s="697" t="s">
        <v>83</v>
      </c>
      <c r="C90" s="698" t="s">
        <v>9</v>
      </c>
      <c r="D90" s="689"/>
      <c r="E90" s="690" t="s">
        <v>99</v>
      </c>
      <c r="F90" s="694"/>
      <c r="G90" s="694"/>
      <c r="H90" s="694"/>
      <c r="I90" s="694"/>
      <c r="J90" s="694"/>
      <c r="K90" s="694"/>
      <c r="L90" s="695"/>
      <c r="N90" s="744"/>
      <c r="O90" s="745"/>
      <c r="P90" s="578"/>
      <c r="Q90" s="746"/>
      <c r="R90" s="577"/>
      <c r="S90" s="577"/>
      <c r="T90" s="577"/>
      <c r="U90" s="577"/>
      <c r="V90" s="577"/>
      <c r="W90" s="577"/>
      <c r="X90" s="577"/>
      <c r="Y90" s="577"/>
      <c r="Z90" s="577"/>
      <c r="AA90" s="577"/>
      <c r="AB90" s="577"/>
      <c r="AC90" s="577"/>
      <c r="AD90" s="577"/>
      <c r="AE90" s="577"/>
      <c r="AF90" s="577"/>
      <c r="AG90" s="577"/>
      <c r="AH90" s="577"/>
      <c r="AI90" s="577"/>
      <c r="AJ90" s="747"/>
      <c r="AK90" s="552"/>
      <c r="AL90" s="552"/>
      <c r="AM90" s="552"/>
      <c r="AN90" s="573"/>
      <c r="AO90" s="574"/>
      <c r="AP90" s="574"/>
      <c r="AQ90" s="574"/>
      <c r="AR90" s="574"/>
    </row>
    <row r="91" spans="2:44" ht="19.5" thickBot="1" x14ac:dyDescent="0.3">
      <c r="B91" s="699"/>
      <c r="C91" s="698" t="s">
        <v>10</v>
      </c>
      <c r="D91" s="689" t="e">
        <f>0.000000145823849*D89^2 - 2.24971951E-18*D89 + 2.07472928E-15</f>
        <v>#VALUE!</v>
      </c>
      <c r="E91" s="690" t="s">
        <v>99</v>
      </c>
      <c r="F91" s="694"/>
      <c r="G91" s="694"/>
      <c r="H91" s="694"/>
      <c r="I91" s="694"/>
      <c r="J91" s="694"/>
      <c r="K91" s="694"/>
      <c r="L91" s="695"/>
      <c r="N91" s="748"/>
      <c r="O91" s="749"/>
      <c r="P91" s="580"/>
      <c r="Q91" s="741"/>
      <c r="R91" s="579"/>
      <c r="S91" s="579"/>
      <c r="T91" s="579"/>
      <c r="U91" s="579"/>
      <c r="V91" s="579"/>
      <c r="W91" s="579"/>
      <c r="X91" s="579"/>
      <c r="Y91" s="579"/>
      <c r="Z91" s="579"/>
      <c r="AA91" s="579"/>
      <c r="AB91" s="579"/>
      <c r="AC91" s="579"/>
      <c r="AD91" s="579"/>
      <c r="AE91" s="579"/>
      <c r="AF91" s="579"/>
      <c r="AG91" s="579"/>
      <c r="AH91" s="579"/>
      <c r="AI91" s="579"/>
      <c r="AJ91" s="750"/>
      <c r="AK91" s="586"/>
      <c r="AL91" s="586"/>
      <c r="AM91" s="586"/>
      <c r="AN91" s="587"/>
      <c r="AO91" s="574"/>
      <c r="AP91" s="574"/>
      <c r="AQ91" s="574"/>
      <c r="AR91" s="574"/>
    </row>
    <row r="92" spans="2:44" ht="18.75" customHeight="1" thickBot="1" x14ac:dyDescent="0.3">
      <c r="B92" s="700"/>
      <c r="C92" s="701"/>
      <c r="D92" s="701"/>
      <c r="E92" s="701"/>
      <c r="F92" s="701"/>
      <c r="G92" s="701"/>
      <c r="H92" s="701"/>
      <c r="I92" s="701"/>
      <c r="J92" s="701"/>
      <c r="K92" s="701"/>
      <c r="L92" s="702"/>
    </row>
    <row r="93" spans="2:44" ht="15.75" customHeight="1" thickBot="1" x14ac:dyDescent="0.3"/>
    <row r="94" spans="2:44" ht="22.5" customHeight="1" thickBot="1" x14ac:dyDescent="0.3">
      <c r="N94" s="669" t="s">
        <v>209</v>
      </c>
      <c r="O94" s="670"/>
      <c r="P94" s="670"/>
      <c r="Q94" s="670"/>
      <c r="R94" s="670"/>
      <c r="S94" s="670"/>
      <c r="T94" s="670"/>
      <c r="U94" s="670"/>
      <c r="V94" s="670"/>
      <c r="W94" s="671"/>
      <c r="Y94" s="703" t="s">
        <v>98</v>
      </c>
      <c r="Z94" s="704"/>
      <c r="AA94" s="618"/>
      <c r="AB94" s="618"/>
      <c r="AC94" s="618"/>
      <c r="AD94" s="618"/>
      <c r="AE94" s="618"/>
      <c r="AF94" s="618"/>
      <c r="AG94" s="618"/>
      <c r="AH94" s="618"/>
      <c r="AI94" s="618"/>
      <c r="AJ94" s="619"/>
    </row>
    <row r="95" spans="2:44" ht="15" customHeight="1" x14ac:dyDescent="0.25">
      <c r="N95" s="705"/>
      <c r="O95" s="618"/>
      <c r="P95" s="618"/>
      <c r="Q95" s="706"/>
      <c r="R95" s="706"/>
      <c r="S95" s="706"/>
      <c r="T95" s="706"/>
      <c r="U95" s="706"/>
      <c r="V95" s="706"/>
      <c r="W95" s="707"/>
      <c r="X95" s="708"/>
      <c r="Y95" s="622"/>
      <c r="Z95" s="584"/>
      <c r="AA95" s="584"/>
      <c r="AB95" s="584"/>
      <c r="AC95" s="584"/>
      <c r="AD95" s="584"/>
      <c r="AE95" s="584"/>
      <c r="AF95" s="584"/>
      <c r="AG95" s="584"/>
      <c r="AH95" s="584"/>
      <c r="AI95" s="584"/>
      <c r="AJ95" s="591"/>
    </row>
    <row r="96" spans="2:44" ht="15.75" thickBot="1" x14ac:dyDescent="0.3">
      <c r="N96" s="709"/>
      <c r="O96" s="710" t="s">
        <v>194</v>
      </c>
      <c r="P96" s="552"/>
      <c r="Q96" s="584"/>
      <c r="R96" s="584"/>
      <c r="S96" s="584"/>
      <c r="T96" s="584"/>
      <c r="U96" s="584"/>
      <c r="V96" s="584"/>
      <c r="W96" s="591"/>
      <c r="Y96" s="622"/>
      <c r="Z96" s="584" t="s">
        <v>193</v>
      </c>
      <c r="AA96" s="584"/>
      <c r="AB96" s="711" t="e">
        <f xml:space="preserve"> AN82</f>
        <v>#VALUE!</v>
      </c>
      <c r="AC96" s="584" t="s">
        <v>184</v>
      </c>
      <c r="AD96" s="584"/>
      <c r="AE96" s="584"/>
      <c r="AF96" s="584"/>
      <c r="AG96" s="584"/>
      <c r="AH96" s="584"/>
      <c r="AI96" s="584"/>
      <c r="AJ96" s="591"/>
    </row>
    <row r="97" spans="14:44" ht="15.75" thickBot="1" x14ac:dyDescent="0.3">
      <c r="N97" s="712"/>
      <c r="O97" s="584" t="s">
        <v>185</v>
      </c>
      <c r="P97" s="696">
        <v>1.9E-2</v>
      </c>
      <c r="Q97" s="584" t="s">
        <v>182</v>
      </c>
      <c r="R97" s="584"/>
      <c r="S97" s="584"/>
      <c r="T97" s="584"/>
      <c r="U97" s="584"/>
      <c r="V97" s="584"/>
      <c r="W97" s="591"/>
      <c r="Y97" s="622"/>
      <c r="Z97" s="584" t="s">
        <v>194</v>
      </c>
      <c r="AA97" s="584"/>
      <c r="AB97" s="713" t="e">
        <f>P100</f>
        <v>#VALUE!</v>
      </c>
      <c r="AC97" s="584" t="s">
        <v>184</v>
      </c>
      <c r="AD97" s="584"/>
      <c r="AE97" s="584"/>
      <c r="AF97" s="584"/>
      <c r="AG97" s="584"/>
      <c r="AH97" s="584"/>
      <c r="AI97" s="584"/>
      <c r="AJ97" s="591"/>
    </row>
    <row r="98" spans="14:44" ht="16.5" thickBot="1" x14ac:dyDescent="0.3">
      <c r="N98" s="709"/>
      <c r="O98" s="584" t="s">
        <v>195</v>
      </c>
      <c r="P98" s="696" t="e">
        <f>((2*D3)+(2*D4))</f>
        <v>#VALUE!</v>
      </c>
      <c r="Q98" s="584" t="s">
        <v>196</v>
      </c>
      <c r="R98" s="584"/>
      <c r="S98" s="584"/>
      <c r="T98" s="584"/>
      <c r="U98" s="584"/>
      <c r="V98" s="584"/>
      <c r="W98" s="591"/>
      <c r="Y98" s="622"/>
      <c r="Z98" s="584" t="s">
        <v>192</v>
      </c>
      <c r="AA98" s="584"/>
      <c r="AB98" s="713" t="e">
        <f>P107</f>
        <v>#VALUE!</v>
      </c>
      <c r="AC98" s="584" t="s">
        <v>184</v>
      </c>
      <c r="AD98" s="584"/>
      <c r="AE98" s="584"/>
      <c r="AF98" s="584"/>
      <c r="AG98" s="584"/>
      <c r="AH98" s="584"/>
      <c r="AI98" s="584"/>
      <c r="AJ98" s="591"/>
      <c r="AL98" s="714"/>
      <c r="AM98" s="714"/>
      <c r="AN98" s="714"/>
      <c r="AO98" s="715"/>
      <c r="AP98" s="714"/>
    </row>
    <row r="99" spans="14:44" ht="16.5" thickBot="1" x14ac:dyDescent="0.3">
      <c r="N99" s="622"/>
      <c r="O99" s="584"/>
      <c r="P99" s="584"/>
      <c r="Q99" s="584"/>
      <c r="R99" s="584"/>
      <c r="S99" s="584"/>
      <c r="T99" s="584"/>
      <c r="U99" s="584"/>
      <c r="V99" s="584"/>
      <c r="W99" s="591"/>
      <c r="Y99" s="622"/>
      <c r="Z99" s="584"/>
      <c r="AA99" s="584"/>
      <c r="AB99" s="584"/>
      <c r="AC99" s="584"/>
      <c r="AD99" s="584"/>
      <c r="AE99" s="584"/>
      <c r="AF99" s="584"/>
      <c r="AG99" s="584"/>
      <c r="AH99" s="584"/>
      <c r="AI99" s="584"/>
      <c r="AJ99" s="591"/>
      <c r="AK99" s="716"/>
      <c r="AL99" s="714"/>
      <c r="AM99" s="715"/>
      <c r="AN99" s="715"/>
      <c r="AO99" s="715"/>
      <c r="AP99" s="715"/>
    </row>
    <row r="100" spans="14:44" ht="16.5" thickBot="1" x14ac:dyDescent="0.3">
      <c r="N100" s="622"/>
      <c r="O100" s="717" t="s">
        <v>183</v>
      </c>
      <c r="P100" s="718" t="e">
        <f xml:space="preserve"> P97 * P98</f>
        <v>#VALUE!</v>
      </c>
      <c r="Q100" s="584" t="s">
        <v>184</v>
      </c>
      <c r="S100" s="584"/>
      <c r="T100" s="584"/>
      <c r="U100" s="584"/>
      <c r="V100" s="584"/>
      <c r="W100" s="591"/>
      <c r="Y100" s="622"/>
      <c r="Z100" s="584" t="s">
        <v>91</v>
      </c>
      <c r="AA100" s="584"/>
      <c r="AB100" s="713" t="e">
        <f>AB96+AB97+AB98</f>
        <v>#VALUE!</v>
      </c>
      <c r="AC100" s="584" t="s">
        <v>184</v>
      </c>
      <c r="AD100" s="584"/>
      <c r="AE100" s="584"/>
      <c r="AF100" s="584"/>
      <c r="AG100" s="584"/>
      <c r="AH100" s="584"/>
      <c r="AI100" s="584"/>
      <c r="AJ100" s="591"/>
      <c r="AL100" s="719"/>
      <c r="AM100" s="715"/>
      <c r="AN100" s="715"/>
      <c r="AO100" s="720"/>
      <c r="AP100" s="715"/>
    </row>
    <row r="101" spans="14:44" ht="15.75" x14ac:dyDescent="0.25">
      <c r="N101" s="622"/>
      <c r="O101" s="710"/>
      <c r="P101" s="584"/>
      <c r="Q101" s="584"/>
      <c r="R101" s="584"/>
      <c r="S101" s="584"/>
      <c r="T101" s="584"/>
      <c r="U101" s="584"/>
      <c r="V101" s="584"/>
      <c r="W101" s="591"/>
      <c r="Y101" s="622"/>
      <c r="Z101" s="584" t="s">
        <v>90</v>
      </c>
      <c r="AA101" s="584"/>
      <c r="AB101" s="713" t="e">
        <f>AB100/C11</f>
        <v>#VALUE!</v>
      </c>
      <c r="AC101" s="584" t="s">
        <v>184</v>
      </c>
      <c r="AD101" s="584"/>
      <c r="AE101" s="584"/>
      <c r="AF101" s="584"/>
      <c r="AG101" s="584"/>
      <c r="AH101" s="584"/>
      <c r="AI101" s="584"/>
      <c r="AJ101" s="591"/>
      <c r="AL101" s="714"/>
      <c r="AM101" s="715"/>
      <c r="AN101" s="715"/>
      <c r="AO101" s="715"/>
      <c r="AP101" s="715"/>
    </row>
    <row r="102" spans="14:44" x14ac:dyDescent="0.25">
      <c r="N102" s="622"/>
      <c r="O102" s="710"/>
      <c r="P102" s="584"/>
      <c r="Q102" s="584"/>
      <c r="R102" s="584"/>
      <c r="S102" s="584"/>
      <c r="T102" s="584"/>
      <c r="U102" s="584"/>
      <c r="V102" s="584"/>
      <c r="W102" s="591"/>
      <c r="Y102" s="622"/>
      <c r="Z102" s="584"/>
      <c r="AA102" s="584"/>
      <c r="AB102" s="584"/>
      <c r="AC102" s="584"/>
      <c r="AD102" s="584"/>
      <c r="AE102" s="584"/>
      <c r="AF102" s="584"/>
      <c r="AG102" s="584"/>
      <c r="AH102" s="584"/>
      <c r="AI102" s="584"/>
      <c r="AJ102" s="591"/>
    </row>
    <row r="103" spans="14:44" ht="15.75" thickBot="1" x14ac:dyDescent="0.3">
      <c r="N103" s="622"/>
      <c r="O103" s="710" t="s">
        <v>192</v>
      </c>
      <c r="P103" s="584"/>
      <c r="Q103" s="584"/>
      <c r="R103" s="584"/>
      <c r="S103" s="584"/>
      <c r="T103" s="584"/>
      <c r="U103" s="584"/>
      <c r="V103" s="584"/>
      <c r="W103" s="591"/>
      <c r="Y103" s="622"/>
      <c r="Z103" s="584"/>
      <c r="AA103" s="584"/>
      <c r="AB103" s="584"/>
      <c r="AC103" s="584"/>
      <c r="AD103" s="584"/>
      <c r="AE103" s="584"/>
      <c r="AF103" s="584"/>
      <c r="AG103" s="584"/>
      <c r="AH103" s="584"/>
      <c r="AI103" s="584"/>
      <c r="AJ103" s="591"/>
    </row>
    <row r="104" spans="14:44" ht="15.75" thickBot="1" x14ac:dyDescent="0.3">
      <c r="N104" s="622"/>
      <c r="O104" s="584" t="s">
        <v>185</v>
      </c>
      <c r="P104" s="696">
        <v>8.9999999999999998E-4</v>
      </c>
      <c r="Q104" s="584" t="s">
        <v>190</v>
      </c>
      <c r="R104" s="696"/>
      <c r="S104" s="584"/>
      <c r="T104" s="584"/>
      <c r="U104" s="584"/>
      <c r="V104" s="584"/>
      <c r="W104" s="591"/>
      <c r="Y104" s="622"/>
      <c r="Z104" s="584"/>
      <c r="AA104" s="584"/>
      <c r="AB104" s="584"/>
      <c r="AC104" s="584"/>
      <c r="AD104" s="584"/>
      <c r="AE104" s="584"/>
      <c r="AF104" s="584"/>
      <c r="AG104" s="584"/>
      <c r="AH104" s="584"/>
      <c r="AI104" s="584"/>
      <c r="AJ104" s="591"/>
    </row>
    <row r="105" spans="14:44" ht="15.75" thickBot="1" x14ac:dyDescent="0.3">
      <c r="N105" s="622"/>
      <c r="O105" s="584" t="s">
        <v>197</v>
      </c>
      <c r="P105" s="696" t="e">
        <f>(D3*D4)</f>
        <v>#VALUE!</v>
      </c>
      <c r="Q105" s="584" t="s">
        <v>198</v>
      </c>
      <c r="R105" s="696"/>
      <c r="S105" s="584"/>
      <c r="T105" s="584"/>
      <c r="U105" s="584"/>
      <c r="V105" s="584"/>
      <c r="W105" s="591"/>
      <c r="Y105" s="622"/>
      <c r="Z105" s="584"/>
      <c r="AA105" s="584"/>
      <c r="AB105" s="584"/>
      <c r="AC105" s="584"/>
      <c r="AD105" s="584"/>
      <c r="AE105" s="584"/>
      <c r="AF105" s="584"/>
      <c r="AG105" s="584"/>
      <c r="AH105" s="584"/>
      <c r="AI105" s="584"/>
      <c r="AJ105" s="591"/>
    </row>
    <row r="106" spans="14:44" ht="15.75" thickBot="1" x14ac:dyDescent="0.3">
      <c r="N106" s="622"/>
      <c r="O106" s="584"/>
      <c r="P106" s="584"/>
      <c r="Q106" s="584"/>
      <c r="R106" s="696"/>
      <c r="S106" s="584"/>
      <c r="T106" s="584"/>
      <c r="U106" s="584"/>
      <c r="V106" s="584"/>
      <c r="W106" s="591"/>
      <c r="Y106" s="622"/>
      <c r="Z106" s="584"/>
      <c r="AA106" s="584"/>
      <c r="AB106" s="584"/>
      <c r="AC106" s="584"/>
      <c r="AD106" s="584"/>
      <c r="AE106" s="584"/>
      <c r="AF106" s="584"/>
      <c r="AG106" s="584"/>
      <c r="AH106" s="584"/>
      <c r="AI106" s="584"/>
      <c r="AJ106" s="591"/>
    </row>
    <row r="107" spans="14:44" ht="16.5" thickBot="1" x14ac:dyDescent="0.3">
      <c r="N107" s="622"/>
      <c r="O107" s="721" t="s">
        <v>192</v>
      </c>
      <c r="P107" s="718" t="e">
        <f>P104*P105</f>
        <v>#VALUE!</v>
      </c>
      <c r="Q107" s="584" t="s">
        <v>184</v>
      </c>
      <c r="S107" s="584"/>
      <c r="T107" s="584"/>
      <c r="U107" s="584"/>
      <c r="V107" s="584"/>
      <c r="W107" s="591"/>
      <c r="Y107" s="622"/>
      <c r="Z107" s="584"/>
      <c r="AA107" s="584"/>
      <c r="AB107" s="584"/>
      <c r="AC107" s="584"/>
      <c r="AD107" s="584"/>
      <c r="AE107" s="584"/>
      <c r="AF107" s="584"/>
      <c r="AG107" s="584"/>
      <c r="AH107" s="584"/>
      <c r="AI107" s="584"/>
      <c r="AJ107" s="591"/>
      <c r="AM107" s="722"/>
      <c r="AN107" s="722"/>
      <c r="AO107" s="722"/>
    </row>
    <row r="108" spans="14:44" ht="15.75" x14ac:dyDescent="0.25">
      <c r="N108" s="622"/>
      <c r="O108" s="710"/>
      <c r="P108" s="552"/>
      <c r="Q108" s="584"/>
      <c r="R108" s="584"/>
      <c r="S108" s="584"/>
      <c r="T108" s="584"/>
      <c r="U108" s="584"/>
      <c r="V108" s="584"/>
      <c r="W108" s="591"/>
      <c r="Y108" s="622"/>
      <c r="Z108" s="584"/>
      <c r="AA108" s="584"/>
      <c r="AB108" s="584"/>
      <c r="AC108" s="584"/>
      <c r="AD108" s="584"/>
      <c r="AE108" s="584"/>
      <c r="AF108" s="584"/>
      <c r="AG108" s="584"/>
      <c r="AH108" s="584"/>
      <c r="AI108" s="584"/>
      <c r="AJ108" s="591"/>
      <c r="AM108" s="722"/>
      <c r="AN108" s="722"/>
      <c r="AO108" s="722"/>
    </row>
    <row r="109" spans="14:44" x14ac:dyDescent="0.25">
      <c r="N109" s="622"/>
      <c r="O109" s="710"/>
      <c r="P109" s="552"/>
      <c r="Q109" s="584"/>
      <c r="R109" s="584"/>
      <c r="S109" s="584"/>
      <c r="T109" s="584"/>
      <c r="U109" s="584"/>
      <c r="V109" s="584"/>
      <c r="W109" s="591"/>
      <c r="Y109" s="622"/>
      <c r="Z109" s="584"/>
      <c r="AA109" s="584"/>
      <c r="AB109" s="584"/>
      <c r="AC109" s="584"/>
      <c r="AD109" s="584"/>
      <c r="AE109" s="584"/>
      <c r="AF109" s="584"/>
      <c r="AG109" s="584"/>
      <c r="AH109" s="584"/>
      <c r="AI109" s="584"/>
      <c r="AJ109" s="591"/>
    </row>
    <row r="110" spans="14:44" ht="15.75" thickBot="1" x14ac:dyDescent="0.3">
      <c r="N110" s="723"/>
      <c r="O110" s="724"/>
      <c r="P110" s="586"/>
      <c r="Q110" s="641"/>
      <c r="R110" s="641"/>
      <c r="S110" s="641"/>
      <c r="T110" s="641"/>
      <c r="U110" s="641"/>
      <c r="V110" s="641"/>
      <c r="W110" s="642"/>
      <c r="Y110" s="723"/>
      <c r="Z110" s="641"/>
      <c r="AA110" s="641"/>
      <c r="AB110" s="641"/>
      <c r="AC110" s="641"/>
      <c r="AD110" s="641"/>
      <c r="AE110" s="641"/>
      <c r="AF110" s="641"/>
      <c r="AG110" s="641"/>
      <c r="AH110" s="641"/>
      <c r="AI110" s="641"/>
      <c r="AJ110" s="642"/>
      <c r="AR110" s="716"/>
    </row>
    <row r="111" spans="14:44" x14ac:dyDescent="0.25">
      <c r="O111" s="708"/>
      <c r="P111" s="574"/>
      <c r="AC111" s="725"/>
      <c r="AD111" s="725"/>
      <c r="AE111" s="725"/>
      <c r="AF111" s="725"/>
      <c r="AG111" s="725"/>
      <c r="AH111" s="725"/>
      <c r="AI111" s="725"/>
      <c r="AJ111" s="725"/>
      <c r="AK111" s="725"/>
      <c r="AR111" s="716"/>
    </row>
    <row r="112" spans="14:44" x14ac:dyDescent="0.25">
      <c r="O112" s="708"/>
      <c r="P112" s="574"/>
      <c r="AC112" s="725"/>
      <c r="AD112" s="725"/>
      <c r="AE112" s="725"/>
      <c r="AF112" s="725"/>
      <c r="AG112" s="725"/>
      <c r="AH112" s="725"/>
      <c r="AI112" s="725"/>
      <c r="AJ112" s="725"/>
      <c r="AK112" s="725"/>
      <c r="AR112" s="716"/>
    </row>
    <row r="113" spans="14:44" x14ac:dyDescent="0.25">
      <c r="O113" s="708"/>
      <c r="P113" s="574"/>
      <c r="X113" s="751"/>
      <c r="Y113" s="751"/>
      <c r="Z113" s="751"/>
      <c r="AA113" s="751"/>
      <c r="AB113" s="751"/>
      <c r="AC113" s="725"/>
      <c r="AD113" s="725"/>
      <c r="AE113" s="725"/>
      <c r="AF113" s="725"/>
      <c r="AG113" s="725"/>
      <c r="AH113" s="725"/>
      <c r="AI113" s="725"/>
      <c r="AJ113" s="725"/>
      <c r="AK113" s="725"/>
      <c r="AR113" s="716"/>
    </row>
    <row r="114" spans="14:44" x14ac:dyDescent="0.25">
      <c r="O114" s="708"/>
      <c r="P114" s="574"/>
      <c r="AC114" s="725"/>
      <c r="AD114" s="725"/>
      <c r="AE114" s="725"/>
      <c r="AF114" s="725"/>
      <c r="AG114" s="725"/>
      <c r="AH114" s="725"/>
      <c r="AI114" s="725"/>
      <c r="AJ114" s="725"/>
      <c r="AK114" s="725"/>
      <c r="AR114" s="716"/>
    </row>
    <row r="115" spans="14:44" x14ac:dyDescent="0.25">
      <c r="O115" s="708"/>
      <c r="P115" s="574"/>
      <c r="AC115" s="725"/>
      <c r="AD115" s="725"/>
      <c r="AE115" s="725"/>
      <c r="AF115" s="725"/>
      <c r="AG115" s="725"/>
      <c r="AH115" s="725"/>
      <c r="AI115" s="725"/>
      <c r="AJ115" s="725"/>
      <c r="AK115" s="725"/>
      <c r="AR115" s="716"/>
    </row>
    <row r="116" spans="14:44" x14ac:dyDescent="0.25">
      <c r="O116" s="708"/>
      <c r="P116" s="574"/>
      <c r="AC116" s="725"/>
      <c r="AD116" s="725"/>
      <c r="AE116" s="725"/>
      <c r="AF116" s="725"/>
      <c r="AG116" s="725"/>
      <c r="AH116" s="725"/>
      <c r="AI116" s="725"/>
      <c r="AJ116" s="725"/>
      <c r="AK116" s="725"/>
      <c r="AR116" s="716"/>
    </row>
    <row r="117" spans="14:44" x14ac:dyDescent="0.25">
      <c r="P117" s="574"/>
    </row>
    <row r="122" spans="14:44" ht="21" x14ac:dyDescent="0.25">
      <c r="N122" s="726"/>
    </row>
    <row r="123" spans="14:44" x14ac:dyDescent="0.25">
      <c r="N123" s="727"/>
      <c r="Q123" s="708"/>
      <c r="R123" s="708"/>
      <c r="S123" s="708"/>
      <c r="T123" s="708"/>
      <c r="U123" s="708"/>
      <c r="V123" s="708"/>
      <c r="W123" s="708"/>
      <c r="X123" s="708"/>
      <c r="Y123" s="708"/>
      <c r="Z123" s="708"/>
      <c r="AA123" s="708"/>
      <c r="AB123" s="708"/>
      <c r="AC123" s="708"/>
      <c r="AD123" s="708"/>
      <c r="AE123" s="708"/>
      <c r="AF123" s="708"/>
      <c r="AG123" s="708"/>
      <c r="AH123" s="708"/>
      <c r="AI123" s="708"/>
      <c r="AJ123" s="708"/>
    </row>
    <row r="124" spans="14:44" x14ac:dyDescent="0.25">
      <c r="N124" s="727"/>
      <c r="P124" s="574"/>
    </row>
    <row r="125" spans="14:44" x14ac:dyDescent="0.25">
      <c r="N125" s="728"/>
      <c r="O125" s="708"/>
      <c r="P125" s="574"/>
    </row>
    <row r="126" spans="14:44" ht="15.75" x14ac:dyDescent="0.25">
      <c r="N126" s="727"/>
      <c r="O126" s="708"/>
      <c r="P126" s="574"/>
      <c r="AL126" s="714"/>
      <c r="AM126" s="714"/>
      <c r="AN126" s="714"/>
      <c r="AO126" s="715"/>
      <c r="AP126" s="714"/>
    </row>
    <row r="127" spans="14:44" ht="15.75" x14ac:dyDescent="0.25">
      <c r="O127" s="708"/>
      <c r="P127" s="574"/>
      <c r="AK127" s="716"/>
      <c r="AL127" s="714"/>
      <c r="AM127" s="715"/>
      <c r="AN127" s="715"/>
      <c r="AO127" s="715"/>
      <c r="AP127" s="715"/>
    </row>
    <row r="128" spans="14:44" ht="15.75" x14ac:dyDescent="0.25">
      <c r="O128" s="708"/>
      <c r="P128" s="574"/>
      <c r="AL128" s="719"/>
      <c r="AM128" s="715"/>
      <c r="AN128" s="715"/>
      <c r="AO128" s="720"/>
      <c r="AP128" s="715"/>
    </row>
    <row r="129" spans="15:44" ht="15.75" x14ac:dyDescent="0.25">
      <c r="O129" s="708"/>
      <c r="P129" s="574"/>
      <c r="AL129" s="714"/>
      <c r="AM129" s="715"/>
      <c r="AN129" s="715"/>
      <c r="AO129" s="715"/>
      <c r="AP129" s="715"/>
    </row>
    <row r="130" spans="15:44" x14ac:dyDescent="0.25">
      <c r="O130" s="708"/>
      <c r="P130" s="574"/>
    </row>
    <row r="131" spans="15:44" x14ac:dyDescent="0.25">
      <c r="O131" s="708"/>
      <c r="P131" s="574"/>
    </row>
    <row r="132" spans="15:44" x14ac:dyDescent="0.25">
      <c r="O132" s="708"/>
      <c r="P132" s="574"/>
    </row>
    <row r="133" spans="15:44" x14ac:dyDescent="0.25">
      <c r="O133" s="708"/>
      <c r="P133" s="574"/>
    </row>
    <row r="134" spans="15:44" x14ac:dyDescent="0.25">
      <c r="O134" s="708"/>
      <c r="P134" s="574"/>
    </row>
    <row r="135" spans="15:44" ht="15.75" x14ac:dyDescent="0.25">
      <c r="O135" s="708"/>
      <c r="P135" s="574"/>
      <c r="AO135" s="722"/>
    </row>
    <row r="136" spans="15:44" ht="15.75" x14ac:dyDescent="0.25">
      <c r="O136" s="708"/>
      <c r="P136" s="574"/>
      <c r="AM136" s="722"/>
      <c r="AN136" s="722"/>
      <c r="AO136" s="722"/>
    </row>
    <row r="137" spans="15:44" x14ac:dyDescent="0.25">
      <c r="O137" s="708"/>
      <c r="P137" s="574"/>
      <c r="AC137" s="725"/>
      <c r="AD137" s="725"/>
      <c r="AE137" s="725"/>
      <c r="AF137" s="725"/>
      <c r="AG137" s="725"/>
      <c r="AH137" s="725"/>
      <c r="AI137" s="725"/>
      <c r="AJ137" s="725"/>
    </row>
    <row r="138" spans="15:44" x14ac:dyDescent="0.25">
      <c r="O138" s="708"/>
      <c r="P138" s="574"/>
      <c r="AC138" s="725"/>
      <c r="AD138" s="725"/>
      <c r="AE138" s="725"/>
      <c r="AF138" s="725"/>
      <c r="AG138" s="725"/>
      <c r="AH138" s="725"/>
      <c r="AI138" s="725"/>
      <c r="AJ138" s="725"/>
      <c r="AR138" s="716"/>
    </row>
    <row r="139" spans="15:44" x14ac:dyDescent="0.25">
      <c r="O139" s="708"/>
      <c r="P139" s="574"/>
      <c r="AC139" s="725"/>
      <c r="AD139" s="725"/>
      <c r="AE139" s="725"/>
      <c r="AF139" s="725"/>
      <c r="AG139" s="725"/>
      <c r="AH139" s="725"/>
      <c r="AI139" s="725"/>
      <c r="AJ139" s="725"/>
      <c r="AK139" s="725"/>
      <c r="AR139" s="716"/>
    </row>
    <row r="140" spans="15:44" x14ac:dyDescent="0.25">
      <c r="O140" s="708"/>
      <c r="P140" s="574"/>
      <c r="AC140" s="725"/>
      <c r="AD140" s="725"/>
      <c r="AE140" s="725"/>
      <c r="AF140" s="725"/>
      <c r="AG140" s="725"/>
      <c r="AH140" s="725"/>
      <c r="AI140" s="725"/>
      <c r="AJ140" s="725"/>
      <c r="AK140" s="725"/>
      <c r="AR140" s="716"/>
    </row>
    <row r="141" spans="15:44" x14ac:dyDescent="0.25">
      <c r="O141" s="708"/>
      <c r="P141" s="574"/>
      <c r="AC141" s="725"/>
      <c r="AD141" s="725"/>
      <c r="AE141" s="725"/>
      <c r="AF141" s="725"/>
      <c r="AG141" s="725"/>
      <c r="AH141" s="725"/>
      <c r="AI141" s="725"/>
      <c r="AJ141" s="725"/>
      <c r="AK141" s="725"/>
      <c r="AR141" s="716"/>
    </row>
    <row r="142" spans="15:44" x14ac:dyDescent="0.25">
      <c r="O142" s="708"/>
      <c r="P142" s="574"/>
      <c r="AC142" s="725"/>
      <c r="AD142" s="725"/>
      <c r="AE142" s="725"/>
      <c r="AF142" s="725"/>
      <c r="AG142" s="725"/>
      <c r="AH142" s="725"/>
      <c r="AI142" s="725"/>
      <c r="AJ142" s="725"/>
      <c r="AK142" s="725"/>
      <c r="AR142" s="716"/>
    </row>
    <row r="143" spans="15:44" x14ac:dyDescent="0.25">
      <c r="O143" s="708"/>
      <c r="P143" s="574"/>
      <c r="AC143" s="725"/>
      <c r="AD143" s="725"/>
      <c r="AE143" s="725"/>
      <c r="AF143" s="725"/>
      <c r="AG143" s="725"/>
      <c r="AH143" s="725"/>
      <c r="AI143" s="725"/>
      <c r="AJ143" s="725"/>
      <c r="AK143" s="725"/>
      <c r="AR143" s="716"/>
    </row>
    <row r="144" spans="15:44" x14ac:dyDescent="0.25">
      <c r="O144" s="708"/>
      <c r="P144" s="574"/>
      <c r="AC144" s="725"/>
      <c r="AD144" s="725"/>
      <c r="AE144" s="725"/>
      <c r="AF144" s="725"/>
      <c r="AG144" s="725"/>
      <c r="AH144" s="725"/>
      <c r="AI144" s="725"/>
      <c r="AJ144" s="725"/>
      <c r="AK144" s="725"/>
      <c r="AR144" s="716"/>
    </row>
    <row r="145" spans="16:16" x14ac:dyDescent="0.25">
      <c r="P145" s="574"/>
    </row>
    <row r="159" spans="16:16" ht="150.75" customHeight="1" x14ac:dyDescent="0.25"/>
    <row r="167" spans="3:3" x14ac:dyDescent="0.25">
      <c r="C167" s="179"/>
    </row>
    <row r="168" spans="3:3" x14ac:dyDescent="0.25">
      <c r="C168" s="179"/>
    </row>
    <row r="300" spans="24:25" x14ac:dyDescent="0.25">
      <c r="X300" s="729"/>
      <c r="Y300" s="730"/>
    </row>
  </sheetData>
  <sheetProtection selectLockedCells="1" selectUnlockedCells="1"/>
  <mergeCells count="186">
    <mergeCell ref="E76:G76"/>
    <mergeCell ref="C78:C80"/>
    <mergeCell ref="AA50:AB50"/>
    <mergeCell ref="N67:N68"/>
    <mergeCell ref="AK67:AN67"/>
    <mergeCell ref="AK69:AL69"/>
    <mergeCell ref="AM73:AN73"/>
    <mergeCell ref="AK75:AK76"/>
    <mergeCell ref="O50:P50"/>
    <mergeCell ref="Q50:R50"/>
    <mergeCell ref="S50:T50"/>
    <mergeCell ref="U50:V50"/>
    <mergeCell ref="W50:X50"/>
    <mergeCell ref="Y50:Z50"/>
    <mergeCell ref="P52:P64"/>
    <mergeCell ref="AD52:AD63"/>
    <mergeCell ref="U49:V49"/>
    <mergeCell ref="W49:X49"/>
    <mergeCell ref="Y49:Z49"/>
    <mergeCell ref="AA49:AB49"/>
    <mergeCell ref="C50:D50"/>
    <mergeCell ref="E50:F50"/>
    <mergeCell ref="G50:H50"/>
    <mergeCell ref="I50:J50"/>
    <mergeCell ref="K50:L50"/>
    <mergeCell ref="M50:N50"/>
    <mergeCell ref="C49:D49"/>
    <mergeCell ref="E49:F49"/>
    <mergeCell ref="G49:H49"/>
    <mergeCell ref="I49:J49"/>
    <mergeCell ref="K49:L49"/>
    <mergeCell ref="M49:N49"/>
    <mergeCell ref="O49:P49"/>
    <mergeCell ref="Q49:R49"/>
    <mergeCell ref="S49:T49"/>
    <mergeCell ref="U47:V47"/>
    <mergeCell ref="W47:X47"/>
    <mergeCell ref="Y47:Z47"/>
    <mergeCell ref="AA47:AB47"/>
    <mergeCell ref="C48:D48"/>
    <mergeCell ref="E48:F48"/>
    <mergeCell ref="G48:H48"/>
    <mergeCell ref="I48:J48"/>
    <mergeCell ref="K48:L48"/>
    <mergeCell ref="M48:N48"/>
    <mergeCell ref="AA48:AB48"/>
    <mergeCell ref="O48:P48"/>
    <mergeCell ref="Q48:R48"/>
    <mergeCell ref="S48:T48"/>
    <mergeCell ref="U48:V48"/>
    <mergeCell ref="W48:X48"/>
    <mergeCell ref="Y48:Z48"/>
    <mergeCell ref="C47:D47"/>
    <mergeCell ref="E47:F47"/>
    <mergeCell ref="G47:H47"/>
    <mergeCell ref="I47:J47"/>
    <mergeCell ref="K47:L47"/>
    <mergeCell ref="M47:N47"/>
    <mergeCell ref="O47:P47"/>
    <mergeCell ref="Q47:R47"/>
    <mergeCell ref="S47:T47"/>
    <mergeCell ref="U45:V45"/>
    <mergeCell ref="W45:X45"/>
    <mergeCell ref="Y45:Z45"/>
    <mergeCell ref="AA45:AB45"/>
    <mergeCell ref="C46:D46"/>
    <mergeCell ref="E46:F46"/>
    <mergeCell ref="G46:H46"/>
    <mergeCell ref="I46:J46"/>
    <mergeCell ref="K46:L46"/>
    <mergeCell ref="M46:N46"/>
    <mergeCell ref="AA46:AB46"/>
    <mergeCell ref="O46:P46"/>
    <mergeCell ref="Q46:R46"/>
    <mergeCell ref="S46:T46"/>
    <mergeCell ref="U46:V46"/>
    <mergeCell ref="W46:X46"/>
    <mergeCell ref="Y46:Z46"/>
    <mergeCell ref="C45:D45"/>
    <mergeCell ref="E45:F45"/>
    <mergeCell ref="G45:H45"/>
    <mergeCell ref="I45:J45"/>
    <mergeCell ref="K45:L45"/>
    <mergeCell ref="M45:N45"/>
    <mergeCell ref="O45:P45"/>
    <mergeCell ref="Q45:R45"/>
    <mergeCell ref="S45:T45"/>
    <mergeCell ref="U43:V43"/>
    <mergeCell ref="W43:X43"/>
    <mergeCell ref="Y43:Z43"/>
    <mergeCell ref="AA43:AB43"/>
    <mergeCell ref="C44:D44"/>
    <mergeCell ref="E44:F44"/>
    <mergeCell ref="G44:H44"/>
    <mergeCell ref="I44:J44"/>
    <mergeCell ref="K44:L44"/>
    <mergeCell ref="M44:N44"/>
    <mergeCell ref="AA44:AB44"/>
    <mergeCell ref="O44:P44"/>
    <mergeCell ref="Q44:R44"/>
    <mergeCell ref="S44:T44"/>
    <mergeCell ref="U44:V44"/>
    <mergeCell ref="W44:X44"/>
    <mergeCell ref="Y44:Z44"/>
    <mergeCell ref="C43:D43"/>
    <mergeCell ref="E43:F43"/>
    <mergeCell ref="G43:H43"/>
    <mergeCell ref="I43:J43"/>
    <mergeCell ref="K43:L43"/>
    <mergeCell ref="M43:N43"/>
    <mergeCell ref="O43:P43"/>
    <mergeCell ref="Q43:R43"/>
    <mergeCell ref="S43:T43"/>
    <mergeCell ref="Y41:Z41"/>
    <mergeCell ref="AA41:AB41"/>
    <mergeCell ref="C42:D42"/>
    <mergeCell ref="E42:F42"/>
    <mergeCell ref="G42:H42"/>
    <mergeCell ref="I42:J42"/>
    <mergeCell ref="K42:L42"/>
    <mergeCell ref="M42:N42"/>
    <mergeCell ref="AA42:AB42"/>
    <mergeCell ref="O42:P42"/>
    <mergeCell ref="Q42:R42"/>
    <mergeCell ref="S42:T42"/>
    <mergeCell ref="U42:V42"/>
    <mergeCell ref="W42:X42"/>
    <mergeCell ref="Y42:Z42"/>
    <mergeCell ref="AA40:AB40"/>
    <mergeCell ref="C41:D41"/>
    <mergeCell ref="E41:F41"/>
    <mergeCell ref="G41:H41"/>
    <mergeCell ref="I41:J41"/>
    <mergeCell ref="K41:L41"/>
    <mergeCell ref="M41:N41"/>
    <mergeCell ref="O41:P41"/>
    <mergeCell ref="Q41:R41"/>
    <mergeCell ref="S41:T41"/>
    <mergeCell ref="O40:P40"/>
    <mergeCell ref="Q40:R40"/>
    <mergeCell ref="S40:T40"/>
    <mergeCell ref="U40:V40"/>
    <mergeCell ref="W40:X40"/>
    <mergeCell ref="Y40:Z40"/>
    <mergeCell ref="C40:D40"/>
    <mergeCell ref="E40:F40"/>
    <mergeCell ref="G40:H40"/>
    <mergeCell ref="I40:J40"/>
    <mergeCell ref="K40:L40"/>
    <mergeCell ref="M40:N40"/>
    <mergeCell ref="U41:V41"/>
    <mergeCell ref="W41:X41"/>
    <mergeCell ref="U39:V39"/>
    <mergeCell ref="W39:X39"/>
    <mergeCell ref="Y39:Z39"/>
    <mergeCell ref="AA39:AB39"/>
    <mergeCell ref="W38:X38"/>
    <mergeCell ref="Y38:Z38"/>
    <mergeCell ref="AA38:AB38"/>
    <mergeCell ref="Q38:R38"/>
    <mergeCell ref="S38:T38"/>
    <mergeCell ref="U38:V38"/>
    <mergeCell ref="AL81:AM81"/>
    <mergeCell ref="AL82:AM82"/>
    <mergeCell ref="B16:AL16"/>
    <mergeCell ref="E18:AB19"/>
    <mergeCell ref="C20:D20"/>
    <mergeCell ref="C35:AB35"/>
    <mergeCell ref="C36:D38"/>
    <mergeCell ref="E36:AB36"/>
    <mergeCell ref="E37:AB37"/>
    <mergeCell ref="E38:F38"/>
    <mergeCell ref="G38:H38"/>
    <mergeCell ref="I38:J38"/>
    <mergeCell ref="C39:D39"/>
    <mergeCell ref="E39:F39"/>
    <mergeCell ref="G39:H39"/>
    <mergeCell ref="I39:J39"/>
    <mergeCell ref="K39:L39"/>
    <mergeCell ref="M39:N39"/>
    <mergeCell ref="O39:P39"/>
    <mergeCell ref="K38:L38"/>
    <mergeCell ref="M38:N38"/>
    <mergeCell ref="O38:P38"/>
    <mergeCell ref="Q39:R39"/>
    <mergeCell ref="S39:T39"/>
  </mergeCells>
  <conditionalFormatting sqref="Q69:AB80">
    <cfRule type="colorScale" priority="6">
      <colorScale>
        <cfvo type="min"/>
        <cfvo type="percentile" val="50"/>
        <cfvo type="max"/>
        <color rgb="FF63BE7B"/>
        <color rgb="FFFFEB84"/>
        <color rgb="FFF8696B"/>
      </colorScale>
    </cfRule>
  </conditionalFormatting>
  <conditionalFormatting sqref="Q111:AJ112 X97:X110 Q114:AJ116 Q113:W113 AC113:AJ113">
    <cfRule type="colorScale" priority="5">
      <colorScale>
        <cfvo type="min"/>
        <cfvo type="percentile" val="50"/>
        <cfvo type="max"/>
        <color rgb="FF63BE7B"/>
        <color rgb="FFFFEB84"/>
        <color rgb="FFF8696B"/>
      </colorScale>
    </cfRule>
  </conditionalFormatting>
  <conditionalFormatting sqref="Q125:AJ144">
    <cfRule type="colorScale" priority="4">
      <colorScale>
        <cfvo type="min"/>
        <cfvo type="percentile" val="50"/>
        <cfvo type="max"/>
        <color rgb="FF63BE7B"/>
        <color rgb="FFFFEB84"/>
        <color rgb="FFF8696B"/>
      </colorScale>
    </cfRule>
  </conditionalFormatting>
  <conditionalFormatting sqref="R101:W103 S97:W100 Q108:W110 S104:W107">
    <cfRule type="colorScale" priority="3">
      <colorScale>
        <cfvo type="min"/>
        <cfvo type="percentile" val="50"/>
        <cfvo type="max"/>
        <color rgb="FF63BE7B"/>
        <color rgb="FFFFEB84"/>
        <color rgb="FFF8696B"/>
      </colorScale>
    </cfRule>
  </conditionalFormatting>
  <conditionalFormatting sqref="R53:AB64">
    <cfRule type="colorScale" priority="2">
      <colorScale>
        <cfvo type="min"/>
        <cfvo type="percentile" val="50"/>
        <cfvo type="max"/>
        <color rgb="FF63BE7B"/>
        <color rgb="FFFFEB84"/>
        <color rgb="FFF8696B"/>
      </colorScale>
    </cfRule>
  </conditionalFormatting>
  <conditionalFormatting sqref="AF53:AQ6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G21:H32 I21:AB32 I20:AB20 N71"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4"/>
  <sheetViews>
    <sheetView workbookViewId="0">
      <selection activeCell="D28" sqref="D28"/>
    </sheetView>
  </sheetViews>
  <sheetFormatPr defaultRowHeight="15" x14ac:dyDescent="0.25"/>
  <cols>
    <col min="1" max="1" width="11.28515625" customWidth="1"/>
    <col min="2" max="2" width="13" customWidth="1"/>
    <col min="3" max="3" width="16.28515625" bestFit="1" customWidth="1"/>
    <col min="4" max="4" width="108" customWidth="1"/>
  </cols>
  <sheetData>
    <row r="1" spans="1:4" ht="23.25" x14ac:dyDescent="0.35">
      <c r="A1" s="82" t="s">
        <v>216</v>
      </c>
    </row>
    <row r="2" spans="1:4" x14ac:dyDescent="0.25">
      <c r="A2" t="s">
        <v>223</v>
      </c>
    </row>
    <row r="4" spans="1:4" ht="15.75" x14ac:dyDescent="0.25">
      <c r="A4" s="501" t="s">
        <v>217</v>
      </c>
      <c r="B4" s="501" t="s">
        <v>218</v>
      </c>
      <c r="C4" s="501" t="s">
        <v>220</v>
      </c>
      <c r="D4" s="501" t="s">
        <v>221</v>
      </c>
    </row>
    <row r="5" spans="1:4" x14ac:dyDescent="0.25">
      <c r="A5" s="773">
        <v>1</v>
      </c>
      <c r="B5" s="146" t="s">
        <v>219</v>
      </c>
      <c r="C5" s="774">
        <v>43651</v>
      </c>
      <c r="D5" s="145" t="s">
        <v>222</v>
      </c>
    </row>
    <row r="6" spans="1:4" x14ac:dyDescent="0.25">
      <c r="A6" s="146">
        <v>1.1000000000000001</v>
      </c>
      <c r="B6" s="146" t="s">
        <v>219</v>
      </c>
      <c r="C6" s="774">
        <v>43683</v>
      </c>
      <c r="D6" s="145" t="s">
        <v>257</v>
      </c>
    </row>
    <row r="7" spans="1:4" x14ac:dyDescent="0.25">
      <c r="A7" s="146">
        <v>1.2</v>
      </c>
      <c r="B7" s="146" t="s">
        <v>219</v>
      </c>
      <c r="C7" s="774">
        <v>43707</v>
      </c>
      <c r="D7" s="145" t="s">
        <v>264</v>
      </c>
    </row>
    <row r="8" spans="1:4" x14ac:dyDescent="0.25">
      <c r="A8" s="146">
        <v>1.3</v>
      </c>
      <c r="B8" s="146" t="s">
        <v>271</v>
      </c>
      <c r="C8" s="774">
        <v>43763</v>
      </c>
      <c r="D8" s="145" t="s">
        <v>272</v>
      </c>
    </row>
    <row r="9" spans="1:4" x14ac:dyDescent="0.25">
      <c r="A9" s="146">
        <v>1.4</v>
      </c>
      <c r="B9" s="146" t="s">
        <v>271</v>
      </c>
      <c r="C9" s="774">
        <v>43965</v>
      </c>
      <c r="D9" s="145" t="s">
        <v>273</v>
      </c>
    </row>
    <row r="10" spans="1:4" x14ac:dyDescent="0.25">
      <c r="A10" s="146">
        <v>1.5</v>
      </c>
      <c r="B10" s="146" t="s">
        <v>271</v>
      </c>
      <c r="C10" s="774">
        <v>43991</v>
      </c>
      <c r="D10" s="145" t="s">
        <v>282</v>
      </c>
    </row>
    <row r="11" spans="1:4" x14ac:dyDescent="0.25">
      <c r="A11" s="146">
        <v>1.6</v>
      </c>
      <c r="B11" s="146" t="s">
        <v>285</v>
      </c>
      <c r="C11" s="775">
        <v>45296</v>
      </c>
      <c r="D11" s="145" t="s">
        <v>308</v>
      </c>
    </row>
    <row r="12" spans="1:4" x14ac:dyDescent="0.25">
      <c r="A12" s="146"/>
      <c r="B12" s="146"/>
      <c r="C12" s="146"/>
      <c r="D12" s="145"/>
    </row>
    <row r="13" spans="1:4" x14ac:dyDescent="0.25">
      <c r="A13" s="146"/>
      <c r="B13" s="146"/>
      <c r="C13" s="146"/>
      <c r="D13" s="145"/>
    </row>
    <row r="14" spans="1:4" x14ac:dyDescent="0.25">
      <c r="A14" s="146"/>
      <c r="B14" s="146"/>
      <c r="C14" s="146"/>
      <c r="D14" s="145"/>
    </row>
    <row r="15" spans="1:4" x14ac:dyDescent="0.25">
      <c r="A15" s="146"/>
      <c r="B15" s="146"/>
      <c r="C15" s="146"/>
      <c r="D15" s="145"/>
    </row>
    <row r="16" spans="1:4" x14ac:dyDescent="0.25">
      <c r="A16" s="146"/>
      <c r="B16" s="146"/>
      <c r="C16" s="146"/>
      <c r="D16" s="145"/>
    </row>
    <row r="17" spans="1:4" x14ac:dyDescent="0.25">
      <c r="A17" s="146"/>
      <c r="B17" s="146"/>
      <c r="C17" s="146"/>
      <c r="D17" s="145"/>
    </row>
    <row r="18" spans="1:4" x14ac:dyDescent="0.25">
      <c r="A18" s="146"/>
      <c r="B18" s="146"/>
      <c r="C18" s="146"/>
      <c r="D18" s="145"/>
    </row>
    <row r="19" spans="1:4" x14ac:dyDescent="0.25">
      <c r="A19" s="146"/>
      <c r="B19" s="146"/>
      <c r="C19" s="146"/>
      <c r="D19" s="145"/>
    </row>
    <row r="20" spans="1:4" x14ac:dyDescent="0.25">
      <c r="A20" s="146"/>
      <c r="B20" s="146"/>
      <c r="C20" s="146"/>
      <c r="D20" s="145"/>
    </row>
    <row r="21" spans="1:4" x14ac:dyDescent="0.25">
      <c r="D21" s="145"/>
    </row>
    <row r="22" spans="1:4" x14ac:dyDescent="0.25">
      <c r="D22" s="145"/>
    </row>
    <row r="23" spans="1:4" x14ac:dyDescent="0.25">
      <c r="D23" s="145"/>
    </row>
    <row r="24" spans="1:4" x14ac:dyDescent="0.25">
      <c r="D24" s="145"/>
    </row>
  </sheetData>
  <sheetProtection selectLockedCells="1" selectUn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F48"/>
  <sheetViews>
    <sheetView topLeftCell="A38" zoomScale="70" zoomScaleNormal="70" workbookViewId="0">
      <selection activeCell="D28" sqref="D28"/>
    </sheetView>
  </sheetViews>
  <sheetFormatPr defaultRowHeight="15" x14ac:dyDescent="0.25"/>
  <cols>
    <col min="1" max="1" width="19.7109375" customWidth="1"/>
    <col min="3" max="3" width="7.85546875" customWidth="1"/>
    <col min="4" max="4" width="14.140625" customWidth="1"/>
    <col min="5" max="5" width="21.42578125" customWidth="1"/>
    <col min="6" max="6" width="3" customWidth="1"/>
    <col min="7" max="7" width="19.85546875" customWidth="1"/>
    <col min="8" max="8" width="9.140625" customWidth="1"/>
    <col min="9" max="9" width="11" customWidth="1"/>
    <col min="10" max="10" width="5.85546875" customWidth="1"/>
    <col min="13" max="13" width="16.42578125" customWidth="1"/>
    <col min="14" max="14" width="27.85546875" customWidth="1"/>
    <col min="15" max="15" width="21.140625" customWidth="1"/>
    <col min="16" max="16" width="18.140625" customWidth="1"/>
    <col min="17" max="17" width="37.28515625" customWidth="1"/>
    <col min="19" max="19" width="14.7109375" customWidth="1"/>
    <col min="20" max="20" width="16.28515625" customWidth="1"/>
    <col min="21" max="21" width="21.7109375" customWidth="1"/>
    <col min="22" max="22" width="12.85546875" customWidth="1"/>
    <col min="24" max="24" width="21.28515625" customWidth="1"/>
    <col min="26" max="26" width="17.85546875" customWidth="1"/>
    <col min="27" max="27" width="19.7109375" customWidth="1"/>
    <col min="30" max="30" width="22.28515625" customWidth="1"/>
    <col min="31" max="31" width="14.28515625" bestFit="1" customWidth="1"/>
    <col min="32" max="32" width="8.5703125" customWidth="1"/>
  </cols>
  <sheetData>
    <row r="1" spans="1:32" ht="23.25" x14ac:dyDescent="0.35">
      <c r="A1" s="365" t="s">
        <v>126</v>
      </c>
      <c r="B1" s="366" t="s">
        <v>3</v>
      </c>
      <c r="C1" s="316"/>
      <c r="D1" s="433"/>
      <c r="E1" s="436"/>
      <c r="F1" s="316"/>
      <c r="G1" s="366" t="s">
        <v>51</v>
      </c>
      <c r="H1" s="367" t="s">
        <v>52</v>
      </c>
      <c r="I1" s="367" t="s">
        <v>0</v>
      </c>
      <c r="J1" s="316"/>
      <c r="K1" s="316"/>
      <c r="L1" s="433"/>
      <c r="M1" s="434" t="s">
        <v>104</v>
      </c>
      <c r="N1" s="435"/>
      <c r="O1" s="435" t="s">
        <v>127</v>
      </c>
      <c r="P1" s="435" t="s">
        <v>128</v>
      </c>
      <c r="Q1" s="436"/>
      <c r="R1" s="316"/>
      <c r="S1" s="366" t="s">
        <v>177</v>
      </c>
      <c r="T1" s="316" t="s">
        <v>52</v>
      </c>
      <c r="U1" s="316" t="s">
        <v>236</v>
      </c>
      <c r="V1" s="418" t="s">
        <v>162</v>
      </c>
      <c r="W1" s="502" t="s">
        <v>163</v>
      </c>
      <c r="X1" s="503" t="s">
        <v>237</v>
      </c>
      <c r="Y1" s="367" t="s">
        <v>162</v>
      </c>
      <c r="Z1" s="504" t="s">
        <v>163</v>
      </c>
      <c r="AA1" s="473" t="s">
        <v>265</v>
      </c>
      <c r="AB1" s="316" t="s">
        <v>162</v>
      </c>
      <c r="AC1" s="316" t="s">
        <v>163</v>
      </c>
      <c r="AD1" s="316" t="s">
        <v>266</v>
      </c>
      <c r="AE1" s="316" t="s">
        <v>162</v>
      </c>
      <c r="AF1" s="324" t="s">
        <v>163</v>
      </c>
    </row>
    <row r="2" spans="1:32" x14ac:dyDescent="0.25">
      <c r="A2" s="48"/>
      <c r="B2" t="s">
        <v>225</v>
      </c>
      <c r="C2" s="47"/>
      <c r="D2" s="437" t="s">
        <v>6</v>
      </c>
      <c r="E2" s="439" t="s">
        <v>226</v>
      </c>
      <c r="F2" s="47"/>
      <c r="G2" s="47"/>
      <c r="H2" s="47" t="str">
        <f t="shared" ref="H2:H14" si="0">B3</f>
        <v>DE439</v>
      </c>
      <c r="I2" s="47">
        <v>886</v>
      </c>
      <c r="J2" s="47"/>
      <c r="K2" s="47"/>
      <c r="L2" s="437"/>
      <c r="M2" s="438"/>
      <c r="N2" s="438" t="s">
        <v>102</v>
      </c>
      <c r="O2" s="438" t="str">
        <f>'DATA ENTRY'!B8&amp;"_MODEL"</f>
        <v>SELECT MODEL_MODEL</v>
      </c>
      <c r="P2" s="438" t="e">
        <f t="array" aca="1" ref="P2" ca="1">VLOOKUP(O2,INDIRECT("'"&amp;INDEX(MODELS,MATCH(1,--(COUNTIF(INDIRECT("'"&amp;MODELS&amp;"'!$O$4:$P$14"),O2)&gt;0),0))&amp;"'!$O$4:$P$14"),2,FALSE)</f>
        <v>#N/A</v>
      </c>
      <c r="Q2" s="439"/>
      <c r="R2" s="47"/>
      <c r="S2" s="47"/>
      <c r="T2" s="47" t="str">
        <f t="shared" ref="T2:T14" si="1">B3</f>
        <v>DE439</v>
      </c>
      <c r="U2" s="368" t="s">
        <v>118</v>
      </c>
      <c r="V2" s="47">
        <v>9</v>
      </c>
      <c r="W2" s="278">
        <v>9.5</v>
      </c>
      <c r="X2" s="505" t="s">
        <v>238</v>
      </c>
      <c r="Y2" s="506">
        <v>229</v>
      </c>
      <c r="Z2" s="507">
        <v>242</v>
      </c>
      <c r="AA2" s="48"/>
      <c r="AB2" s="47">
        <v>100000000000</v>
      </c>
      <c r="AC2" s="47">
        <v>100000000000</v>
      </c>
      <c r="AD2" s="47"/>
      <c r="AE2" s="47">
        <v>100000000000</v>
      </c>
      <c r="AF2" s="278">
        <v>100000000000</v>
      </c>
    </row>
    <row r="3" spans="1:32" x14ac:dyDescent="0.25">
      <c r="A3" s="48"/>
      <c r="B3" s="47" t="s">
        <v>8</v>
      </c>
      <c r="C3" s="47"/>
      <c r="D3" s="437"/>
      <c r="E3" s="439" t="s">
        <v>87</v>
      </c>
      <c r="F3" s="47"/>
      <c r="G3" s="47"/>
      <c r="H3" s="47" t="str">
        <f t="shared" si="0"/>
        <v>DE635</v>
      </c>
      <c r="I3" s="47">
        <v>1233</v>
      </c>
      <c r="J3" s="47"/>
      <c r="K3" s="47"/>
      <c r="L3" s="437"/>
      <c r="M3" s="438"/>
      <c r="N3" s="438" t="s">
        <v>12</v>
      </c>
      <c r="O3" s="438" t="str">
        <f>'DATA ENTRY'!B8&amp;"_FA"</f>
        <v>SELECT MODEL_FA</v>
      </c>
      <c r="P3" s="438" t="e">
        <f t="array" aca="1" ref="P3" ca="1">VLOOKUP(O3,INDIRECT("'"&amp;INDEX(MODELS,MATCH(1,--(COUNTIF(INDIRECT("'"&amp;MODELS&amp;"'!$O$4:$P$14"),O3)&gt;0),0))&amp;"'!$O$4:$P$14"),2,FALSE)</f>
        <v>#N/A</v>
      </c>
      <c r="Q3" s="439"/>
      <c r="R3" s="47"/>
      <c r="S3" s="47"/>
      <c r="T3" s="47" t="str">
        <f t="shared" si="1"/>
        <v>DE635</v>
      </c>
      <c r="U3" s="368" t="s">
        <v>119</v>
      </c>
      <c r="V3" s="47">
        <v>9</v>
      </c>
      <c r="W3" s="278">
        <v>10.125</v>
      </c>
      <c r="X3" s="505" t="s">
        <v>239</v>
      </c>
      <c r="Y3" s="506">
        <v>229</v>
      </c>
      <c r="Z3" s="507">
        <v>258</v>
      </c>
      <c r="AA3" s="48"/>
      <c r="AB3" s="47">
        <v>100000000000</v>
      </c>
      <c r="AC3" s="47">
        <v>100000000000</v>
      </c>
      <c r="AD3" s="47"/>
      <c r="AE3" s="47">
        <v>100000000000</v>
      </c>
      <c r="AF3" s="278">
        <v>100000000000</v>
      </c>
    </row>
    <row r="4" spans="1:32" x14ac:dyDescent="0.25">
      <c r="A4" s="48"/>
      <c r="B4" s="47" t="s">
        <v>7</v>
      </c>
      <c r="C4" s="47"/>
      <c r="D4" s="437"/>
      <c r="E4" s="439" t="s">
        <v>88</v>
      </c>
      <c r="F4" s="47"/>
      <c r="G4" s="47"/>
      <c r="H4" s="47" t="str">
        <f t="shared" si="0"/>
        <v>ZE439</v>
      </c>
      <c r="I4" s="47">
        <v>849</v>
      </c>
      <c r="J4" s="47"/>
      <c r="K4" s="47"/>
      <c r="L4" s="437"/>
      <c r="M4" s="438"/>
      <c r="N4" s="438" t="s">
        <v>13</v>
      </c>
      <c r="O4" s="438" t="str">
        <f>'DATA ENTRY'!B8&amp;"_FA%"</f>
        <v>SELECT MODEL_FA%</v>
      </c>
      <c r="P4" s="438" t="e">
        <f t="array" aca="1" ref="P4" ca="1">VLOOKUP(O4,INDIRECT("'"&amp;INDEX(MODELS,MATCH(1,--(COUNTIF(INDIRECT("'"&amp;MODELS&amp;"'!$O$4:$P$14"),O4)&gt;0),0))&amp;"'!$O$4:$P$14"),2,FALSE)</f>
        <v>#N/A</v>
      </c>
      <c r="Q4" s="439"/>
      <c r="R4" s="47"/>
      <c r="S4" s="47"/>
      <c r="T4" s="47" t="str">
        <f t="shared" si="1"/>
        <v>ZE439</v>
      </c>
      <c r="U4" s="368" t="s">
        <v>118</v>
      </c>
      <c r="V4" s="47">
        <v>9</v>
      </c>
      <c r="W4" s="278">
        <v>9.5</v>
      </c>
      <c r="X4" s="505" t="s">
        <v>240</v>
      </c>
      <c r="Y4" s="506">
        <v>229</v>
      </c>
      <c r="Z4" s="507">
        <v>241</v>
      </c>
      <c r="AA4" s="48"/>
      <c r="AB4" s="47">
        <v>100000000000</v>
      </c>
      <c r="AC4" s="47">
        <v>100000000000</v>
      </c>
      <c r="AD4" s="47"/>
      <c r="AE4" s="47">
        <v>100000000000</v>
      </c>
      <c r="AF4" s="278">
        <v>100000000000</v>
      </c>
    </row>
    <row r="5" spans="1:32" x14ac:dyDescent="0.25">
      <c r="A5" s="48"/>
      <c r="B5" s="47" t="s">
        <v>54</v>
      </c>
      <c r="C5" s="47"/>
      <c r="D5" s="437"/>
      <c r="E5" s="439"/>
      <c r="F5" s="47"/>
      <c r="G5" s="47"/>
      <c r="H5" s="47" t="str">
        <f t="shared" si="0"/>
        <v>ZE445</v>
      </c>
      <c r="I5" s="47">
        <v>669</v>
      </c>
      <c r="J5" s="47"/>
      <c r="K5" s="47"/>
      <c r="L5" s="437"/>
      <c r="M5" s="438"/>
      <c r="N5" s="438" t="s">
        <v>14</v>
      </c>
      <c r="O5" s="438" t="str">
        <f>'DATA ENTRY'!B8&amp;"_VEL"</f>
        <v>SELECT MODEL_VEL</v>
      </c>
      <c r="P5" s="438" t="e">
        <f t="array" aca="1" ref="P5" ca="1">VLOOKUP(O5,INDIRECT("'"&amp;INDEX(MODELS,MATCH(1,--(COUNTIF(INDIRECT("'"&amp;MODELS&amp;"'!$O$4:$P$14"),O5)&gt;0),0))&amp;"'!$O$4:$P$14"),2,FALSE)</f>
        <v>#N/A</v>
      </c>
      <c r="Q5" s="439"/>
      <c r="R5" s="47"/>
      <c r="S5" s="47"/>
      <c r="T5" s="47" t="str">
        <f t="shared" si="1"/>
        <v>ZE445</v>
      </c>
      <c r="U5" s="368" t="s">
        <v>120</v>
      </c>
      <c r="V5" s="47">
        <v>9</v>
      </c>
      <c r="W5" s="278">
        <v>10.5</v>
      </c>
      <c r="X5" s="505" t="s">
        <v>241</v>
      </c>
      <c r="Y5" s="506">
        <v>229</v>
      </c>
      <c r="Z5" s="507">
        <v>267</v>
      </c>
      <c r="AA5" s="48"/>
      <c r="AB5" s="47">
        <v>100000000000</v>
      </c>
      <c r="AC5" s="47">
        <v>100000000000</v>
      </c>
      <c r="AD5" s="47"/>
      <c r="AE5" s="47">
        <v>100000000000</v>
      </c>
      <c r="AF5" s="278">
        <v>100000000000</v>
      </c>
    </row>
    <row r="6" spans="1:32" x14ac:dyDescent="0.25">
      <c r="A6" s="48"/>
      <c r="B6" s="47" t="s">
        <v>55</v>
      </c>
      <c r="C6" s="47"/>
      <c r="D6" s="437" t="s">
        <v>227</v>
      </c>
      <c r="E6" s="439" t="s">
        <v>228</v>
      </c>
      <c r="F6" s="47"/>
      <c r="G6" s="47"/>
      <c r="H6" s="47" t="str">
        <f t="shared" si="0"/>
        <v>JE443</v>
      </c>
      <c r="I6" s="47">
        <v>642</v>
      </c>
      <c r="J6" s="47"/>
      <c r="K6" s="47"/>
      <c r="L6" s="437"/>
      <c r="M6" s="438"/>
      <c r="N6" s="438" t="s">
        <v>15</v>
      </c>
      <c r="O6" s="438" t="str">
        <f>'DATA ENTRY'!B8&amp;"_"&amp;'DATA ENTRY'!B14</f>
        <v>SELECT MODEL_SELECT AIR DIRECTION</v>
      </c>
      <c r="P6" s="438" t="e">
        <f t="array" aca="1" ref="P6" ca="1">VLOOKUP(O6,INDIRECT("'"&amp;INDEX(MODELS,MATCH(1,--(COUNTIF(INDIRECT("'"&amp;MODELS&amp;"'!$O$4:$P$14"),O6)&gt;0),0))&amp;"'!$O$4:$P$14"),2,FALSE)</f>
        <v>#N/A</v>
      </c>
      <c r="Q6" s="439"/>
      <c r="R6" s="47"/>
      <c r="S6" s="47"/>
      <c r="T6" s="47" t="str">
        <f t="shared" si="1"/>
        <v>JE443</v>
      </c>
      <c r="U6" s="368" t="s">
        <v>120</v>
      </c>
      <c r="V6" s="47">
        <v>9</v>
      </c>
      <c r="W6" s="278">
        <v>10.5</v>
      </c>
      <c r="X6" s="505" t="s">
        <v>241</v>
      </c>
      <c r="Y6" s="506">
        <v>229</v>
      </c>
      <c r="Z6" s="507">
        <v>267</v>
      </c>
      <c r="AA6" s="48"/>
      <c r="AB6" s="47">
        <v>100000000000</v>
      </c>
      <c r="AC6" s="47">
        <v>100000000000</v>
      </c>
      <c r="AD6" s="47"/>
      <c r="AE6" s="47">
        <v>100000000000</v>
      </c>
      <c r="AF6" s="278">
        <v>100000000000</v>
      </c>
    </row>
    <row r="7" spans="1:32" x14ac:dyDescent="0.25">
      <c r="A7" s="48"/>
      <c r="B7" s="47" t="s">
        <v>53</v>
      </c>
      <c r="C7" s="47"/>
      <c r="D7" s="437"/>
      <c r="E7" s="439" t="s">
        <v>68</v>
      </c>
      <c r="F7" s="47"/>
      <c r="G7" s="47"/>
      <c r="H7" s="47" t="str">
        <f t="shared" si="0"/>
        <v>NJE2</v>
      </c>
      <c r="I7" s="47">
        <v>380</v>
      </c>
      <c r="J7" s="47"/>
      <c r="K7" s="47"/>
      <c r="L7" s="437"/>
      <c r="M7" s="438"/>
      <c r="N7" s="438" t="s">
        <v>100</v>
      </c>
      <c r="O7" s="438" t="str">
        <f>'DATA ENTRY'!B8&amp;"_SEC"</f>
        <v>SELECT MODEL_SEC</v>
      </c>
      <c r="P7" s="438" t="e">
        <f t="array" aca="1" ref="P7" ca="1">VLOOKUP(O7,INDIRECT("'"&amp;INDEX(MODELS,MATCH(1,--(COUNTIF(INDIRECT("'"&amp;MODELS&amp;"'!$O$4:$P$14"),O7)&gt;0),0))&amp;"'!$O$4:$P$14"),2,FALSE)</f>
        <v>#N/A</v>
      </c>
      <c r="Q7" s="439"/>
      <c r="R7" s="47"/>
      <c r="S7" s="47"/>
      <c r="T7" s="47" t="str">
        <f t="shared" si="1"/>
        <v>NJE2</v>
      </c>
      <c r="U7" s="368" t="s">
        <v>230</v>
      </c>
      <c r="V7" s="47">
        <v>7</v>
      </c>
      <c r="W7" s="278">
        <v>5.4375</v>
      </c>
      <c r="X7" s="505" t="s">
        <v>242</v>
      </c>
      <c r="Y7" s="506">
        <v>178</v>
      </c>
      <c r="Z7" s="507">
        <v>139</v>
      </c>
      <c r="AA7" s="48"/>
      <c r="AB7" s="47">
        <v>100000000000</v>
      </c>
      <c r="AC7" s="47">
        <v>100000000000</v>
      </c>
      <c r="AD7" s="47"/>
      <c r="AE7" s="47">
        <v>100000000000</v>
      </c>
      <c r="AF7" s="278">
        <v>100000000000</v>
      </c>
    </row>
    <row r="8" spans="1:32" x14ac:dyDescent="0.25">
      <c r="A8" s="48"/>
      <c r="B8" s="47" t="s">
        <v>56</v>
      </c>
      <c r="C8" s="47"/>
      <c r="D8" s="437"/>
      <c r="E8" s="439" t="s">
        <v>69</v>
      </c>
      <c r="F8" s="47"/>
      <c r="G8" s="47"/>
      <c r="H8" s="47" t="str">
        <f t="shared" si="0"/>
        <v>NSE1</v>
      </c>
      <c r="I8" s="369" t="s">
        <v>61</v>
      </c>
      <c r="J8" s="47"/>
      <c r="K8" s="47"/>
      <c r="L8" s="437"/>
      <c r="M8" s="438"/>
      <c r="N8" s="438" t="s">
        <v>97</v>
      </c>
      <c r="O8" s="438" t="str">
        <f>'DATA ENTRY'!B8&amp;"_SECW"</f>
        <v>SELECT MODEL_SECW</v>
      </c>
      <c r="P8" s="438" t="e">
        <f t="array" aca="1" ref="P8" ca="1">VLOOKUP(O8,INDIRECT("'"&amp;INDEX(MODELS,MATCH(1,--(COUNTIF(INDIRECT("'"&amp;MODELS&amp;"'!$O$4:$P$14"),O8)&gt;0),0))&amp;"'!$O$4:$P$14"),2,FALSE)</f>
        <v>#N/A</v>
      </c>
      <c r="Q8" s="439"/>
      <c r="R8" s="47"/>
      <c r="S8" s="47"/>
      <c r="T8" s="47" t="str">
        <f t="shared" si="1"/>
        <v>NSE1</v>
      </c>
      <c r="U8" s="368" t="s">
        <v>121</v>
      </c>
      <c r="V8" s="47">
        <v>6</v>
      </c>
      <c r="W8" s="278">
        <v>5.8125</v>
      </c>
      <c r="X8" s="505" t="s">
        <v>243</v>
      </c>
      <c r="Y8" s="506">
        <v>153</v>
      </c>
      <c r="Z8" s="507">
        <v>148</v>
      </c>
      <c r="AA8" s="48"/>
      <c r="AB8" s="47">
        <v>100000000000</v>
      </c>
      <c r="AC8" s="47">
        <v>100000000000</v>
      </c>
      <c r="AD8" s="47"/>
      <c r="AE8" s="47">
        <v>100000000000</v>
      </c>
      <c r="AF8" s="278">
        <v>100000000000</v>
      </c>
    </row>
    <row r="9" spans="1:32" x14ac:dyDescent="0.25">
      <c r="A9" s="48"/>
      <c r="B9" s="47" t="s">
        <v>57</v>
      </c>
      <c r="C9" s="47"/>
      <c r="D9" s="437"/>
      <c r="E9" s="439"/>
      <c r="F9" s="47"/>
      <c r="G9" s="47"/>
      <c r="H9" s="47" t="str">
        <f t="shared" si="0"/>
        <v>RSE5</v>
      </c>
      <c r="I9" s="47">
        <v>1250</v>
      </c>
      <c r="J9" s="47"/>
      <c r="K9" s="47"/>
      <c r="L9" s="437"/>
      <c r="M9" s="438"/>
      <c r="N9" s="438" t="s">
        <v>98</v>
      </c>
      <c r="O9" s="438" t="str">
        <f>'DATA ENTRY'!B8&amp;"_TW"</f>
        <v>SELECT MODEL_TW</v>
      </c>
      <c r="P9" s="438" t="e">
        <f t="array" aca="1" ref="P9" ca="1">VLOOKUP(O9,INDIRECT("'"&amp;INDEX(MODELS,MATCH(1,--(COUNTIF(INDIRECT("'"&amp;MODELS&amp;"'!$O$4:$P$14"),O9)&gt;0),0))&amp;"'!$O$4:$P$14"),2,FALSE)</f>
        <v>#N/A</v>
      </c>
      <c r="Q9" s="439"/>
      <c r="R9" s="47"/>
      <c r="S9" s="47"/>
      <c r="T9" s="47" t="str">
        <f t="shared" si="1"/>
        <v>RSE5</v>
      </c>
      <c r="U9" s="368" t="s">
        <v>122</v>
      </c>
      <c r="V9" s="47">
        <v>8</v>
      </c>
      <c r="W9" s="278">
        <v>14</v>
      </c>
      <c r="X9" s="505" t="s">
        <v>249</v>
      </c>
      <c r="Y9" s="506">
        <v>204</v>
      </c>
      <c r="Z9" s="507">
        <v>356</v>
      </c>
      <c r="AA9" s="48"/>
      <c r="AB9" s="47">
        <v>100000000000</v>
      </c>
      <c r="AC9" s="47">
        <v>100000000000</v>
      </c>
      <c r="AD9" s="47"/>
      <c r="AE9" s="47">
        <v>100000000000</v>
      </c>
      <c r="AF9" s="278">
        <v>100000000000</v>
      </c>
    </row>
    <row r="10" spans="1:32" x14ac:dyDescent="0.25">
      <c r="A10" s="48"/>
      <c r="B10" s="47" t="s">
        <v>60</v>
      </c>
      <c r="C10" s="47"/>
      <c r="D10" s="437" t="s">
        <v>105</v>
      </c>
      <c r="E10" s="439" t="s">
        <v>229</v>
      </c>
      <c r="F10" s="47"/>
      <c r="G10" s="47"/>
      <c r="H10" s="47" t="str">
        <f t="shared" si="0"/>
        <v>QA645</v>
      </c>
      <c r="I10" s="47">
        <v>734</v>
      </c>
      <c r="J10" s="47"/>
      <c r="K10" s="47"/>
      <c r="L10" s="437"/>
      <c r="M10" s="438"/>
      <c r="N10" s="438" t="s">
        <v>139</v>
      </c>
      <c r="O10" s="438" t="str">
        <f>'DATA ENTRY'!B8&amp;"_SW"</f>
        <v>SELECT MODEL_SW</v>
      </c>
      <c r="P10" s="438" t="e">
        <f t="array" aca="1" ref="P10" ca="1">VLOOKUP(O10,INDIRECT("'"&amp;INDEX(MODELS,MATCH(1,--(COUNTIF(INDIRECT("'"&amp;MODELS&amp;"'!$V$4:$W$8"),O10)&gt;0),0))&amp;"'!$V$4:$W$8"),2,FALSE)</f>
        <v>#N/A</v>
      </c>
      <c r="Q10" s="439"/>
      <c r="R10" s="47"/>
      <c r="S10" s="47"/>
      <c r="T10" s="47" t="str">
        <f t="shared" si="1"/>
        <v>QA645</v>
      </c>
      <c r="U10" s="370" t="s">
        <v>231</v>
      </c>
      <c r="V10" s="47">
        <v>12</v>
      </c>
      <c r="W10" s="278">
        <v>14.75</v>
      </c>
      <c r="X10" s="505" t="s">
        <v>244</v>
      </c>
      <c r="Y10" s="506">
        <v>305</v>
      </c>
      <c r="Z10" s="507">
        <v>375</v>
      </c>
      <c r="AA10" s="48"/>
      <c r="AB10" s="47">
        <v>100000000000</v>
      </c>
      <c r="AC10" s="47">
        <v>100000000000</v>
      </c>
      <c r="AD10" s="47"/>
      <c r="AE10" s="47">
        <v>100000000000</v>
      </c>
      <c r="AF10" s="278">
        <v>100000000000</v>
      </c>
    </row>
    <row r="11" spans="1:32" x14ac:dyDescent="0.25">
      <c r="A11" s="48"/>
      <c r="B11" s="47" t="s">
        <v>58</v>
      </c>
      <c r="C11" s="47"/>
      <c r="D11" s="437"/>
      <c r="E11" s="439" t="s">
        <v>106</v>
      </c>
      <c r="F11" s="47"/>
      <c r="G11" s="47"/>
      <c r="H11" s="47" t="str">
        <f t="shared" si="0"/>
        <v>QA845</v>
      </c>
      <c r="I11" s="47">
        <v>847</v>
      </c>
      <c r="J11" s="47"/>
      <c r="K11" s="47"/>
      <c r="L11" s="437"/>
      <c r="M11" s="438"/>
      <c r="N11" s="438" t="s">
        <v>140</v>
      </c>
      <c r="O11" s="438" t="str">
        <f>'DATA ENTRY'!B8&amp;"_SH"</f>
        <v>SELECT MODEL_SH</v>
      </c>
      <c r="P11" s="438" t="e">
        <f t="array" aca="1" ref="P11" ca="1">VLOOKUP(O11,INDIRECT("'"&amp;INDEX(MODELS,MATCH(1,--(COUNTIF(INDIRECT("'"&amp;MODELS&amp;"'!$V$4:$W$8"),O11)&gt;0),0))&amp;"'!$V$4:$W$8"),2,FALSE)</f>
        <v>#N/A</v>
      </c>
      <c r="Q11" s="439"/>
      <c r="R11" s="47"/>
      <c r="S11" s="47"/>
      <c r="T11" s="47" t="str">
        <f t="shared" si="1"/>
        <v>QA845</v>
      </c>
      <c r="U11" s="368" t="s">
        <v>233</v>
      </c>
      <c r="V11" s="47">
        <v>12</v>
      </c>
      <c r="W11" s="278">
        <v>16.75</v>
      </c>
      <c r="X11" s="505" t="s">
        <v>245</v>
      </c>
      <c r="Y11" s="506">
        <v>305</v>
      </c>
      <c r="Z11" s="507">
        <v>425</v>
      </c>
      <c r="AA11" s="48"/>
      <c r="AB11" s="47">
        <v>100000000000</v>
      </c>
      <c r="AC11" s="47">
        <v>100000000000</v>
      </c>
      <c r="AD11" s="47"/>
      <c r="AE11" s="47">
        <v>100000000000</v>
      </c>
      <c r="AF11" s="278">
        <v>100000000000</v>
      </c>
    </row>
    <row r="12" spans="1:32" x14ac:dyDescent="0.25">
      <c r="A12" s="48"/>
      <c r="B12" s="47" t="s">
        <v>108</v>
      </c>
      <c r="C12" s="47"/>
      <c r="D12" s="437"/>
      <c r="E12" s="439" t="s">
        <v>107</v>
      </c>
      <c r="F12" s="47"/>
      <c r="G12" s="47"/>
      <c r="H12" s="47" t="str">
        <f t="shared" si="0"/>
        <v>QA1245</v>
      </c>
      <c r="I12" s="47">
        <v>896</v>
      </c>
      <c r="J12" s="47"/>
      <c r="K12" s="47"/>
      <c r="L12" s="437"/>
      <c r="M12" s="438"/>
      <c r="N12" s="438" t="s">
        <v>280</v>
      </c>
      <c r="O12" s="438" t="str">
        <f>'DATA ENTRY'!B8&amp;"_FACEAREA"</f>
        <v>SELECT MODEL_FACEAREA</v>
      </c>
      <c r="P12" s="438" t="e">
        <f t="array" aca="1" ref="P12" ca="1">VLOOKUP(O12,INDIRECT("'"&amp;INDEX(MODELS,MATCH(1,--(COUNTIF(INDIRECT("'"&amp;MODELS&amp;"'!$O$4:$P$14"),O12)&gt;0),0))&amp;"'!$O$4:$P$14"),2,FALSE)</f>
        <v>#N/A</v>
      </c>
      <c r="Q12" s="439"/>
      <c r="R12" s="47"/>
      <c r="S12" s="47"/>
      <c r="T12" s="47" t="str">
        <f t="shared" si="1"/>
        <v>QA1245</v>
      </c>
      <c r="U12" s="368" t="s">
        <v>234</v>
      </c>
      <c r="V12" s="47">
        <v>12</v>
      </c>
      <c r="W12" s="278">
        <v>20.75</v>
      </c>
      <c r="X12" s="505" t="s">
        <v>246</v>
      </c>
      <c r="Y12" s="506">
        <v>305</v>
      </c>
      <c r="Z12" s="507">
        <v>527</v>
      </c>
      <c r="AA12" s="48"/>
      <c r="AB12" s="47">
        <v>100000000000</v>
      </c>
      <c r="AC12" s="47">
        <v>100000000000</v>
      </c>
      <c r="AD12" s="47"/>
      <c r="AE12" s="47">
        <v>100000000000</v>
      </c>
      <c r="AF12" s="278">
        <v>100000000000</v>
      </c>
    </row>
    <row r="13" spans="1:32" x14ac:dyDescent="0.25">
      <c r="A13" s="48"/>
      <c r="B13" s="47" t="s">
        <v>59</v>
      </c>
      <c r="C13" s="47"/>
      <c r="D13" s="437" t="s">
        <v>261</v>
      </c>
      <c r="E13" s="439"/>
      <c r="F13" s="47"/>
      <c r="G13" s="47"/>
      <c r="H13" s="47" t="str">
        <f t="shared" si="0"/>
        <v>QAF845</v>
      </c>
      <c r="I13" s="47">
        <v>748</v>
      </c>
      <c r="J13" s="47"/>
      <c r="K13" s="47"/>
      <c r="L13" s="437"/>
      <c r="M13" s="438"/>
      <c r="N13" s="438" t="s">
        <v>277</v>
      </c>
      <c r="O13" s="438" t="str">
        <f>'DATA ENTRY'!B8&amp;"_FACEVEL"</f>
        <v>SELECT MODEL_FACEVEL</v>
      </c>
      <c r="P13" s="438" t="e">
        <f t="array" aca="1" ref="P13" ca="1">VLOOKUP(O13,INDIRECT("'"&amp;INDEX(MODELS,MATCH(1,--(COUNTIF(INDIRECT("'"&amp;MODELS&amp;"'!$O$4:$P$14"),O13)&gt;0),0))&amp;"'!$O$4:$P$14"),2,FALSE)</f>
        <v>#N/A</v>
      </c>
      <c r="Q13" s="439"/>
      <c r="R13" s="47"/>
      <c r="S13" s="47"/>
      <c r="T13" s="47" t="str">
        <f t="shared" si="1"/>
        <v>QAF845</v>
      </c>
      <c r="U13" s="368" t="s">
        <v>235</v>
      </c>
      <c r="V13" s="47">
        <v>12</v>
      </c>
      <c r="W13" s="278">
        <v>15.75</v>
      </c>
      <c r="X13" s="505" t="s">
        <v>247</v>
      </c>
      <c r="Y13" s="506">
        <v>305</v>
      </c>
      <c r="Z13" s="507">
        <v>400</v>
      </c>
      <c r="AA13" s="48"/>
      <c r="AB13" s="47">
        <v>100000000000</v>
      </c>
      <c r="AC13" s="47">
        <v>100000000000</v>
      </c>
      <c r="AD13" s="47"/>
      <c r="AE13" s="47">
        <v>100000000000</v>
      </c>
      <c r="AF13" s="278">
        <v>100000000000</v>
      </c>
    </row>
    <row r="14" spans="1:32" ht="20.25" customHeight="1" x14ac:dyDescent="0.45">
      <c r="A14" s="48"/>
      <c r="B14" s="47" t="s">
        <v>109</v>
      </c>
      <c r="C14" s="47"/>
      <c r="D14" s="437"/>
      <c r="E14" s="439" t="s">
        <v>259</v>
      </c>
      <c r="F14" s="47"/>
      <c r="G14" s="47"/>
      <c r="H14" s="47" t="str">
        <f t="shared" si="0"/>
        <v>QAF1245</v>
      </c>
      <c r="I14" s="47">
        <v>546</v>
      </c>
      <c r="J14" s="47"/>
      <c r="K14" s="47"/>
      <c r="L14" s="437"/>
      <c r="M14" s="438"/>
      <c r="N14" s="443"/>
      <c r="O14" s="443"/>
      <c r="P14" s="443"/>
      <c r="Q14" s="444"/>
      <c r="R14" s="47"/>
      <c r="S14" s="47"/>
      <c r="T14" s="47" t="str">
        <f t="shared" si="1"/>
        <v>QAF1245</v>
      </c>
      <c r="U14" s="368" t="s">
        <v>232</v>
      </c>
      <c r="V14" s="47">
        <v>12</v>
      </c>
      <c r="W14" s="278">
        <v>19.75</v>
      </c>
      <c r="X14" s="505" t="s">
        <v>248</v>
      </c>
      <c r="Y14" s="506">
        <v>305</v>
      </c>
      <c r="Z14" s="507">
        <v>502</v>
      </c>
      <c r="AA14" s="48"/>
      <c r="AB14" s="47">
        <v>100000000000</v>
      </c>
      <c r="AC14" s="47">
        <v>100000000000</v>
      </c>
      <c r="AD14" s="47"/>
      <c r="AE14" s="47">
        <v>100000000000</v>
      </c>
      <c r="AF14" s="278">
        <v>100000000000</v>
      </c>
    </row>
    <row r="15" spans="1:32" ht="28.5" x14ac:dyDescent="0.45">
      <c r="A15" s="48"/>
      <c r="B15" s="47" t="s">
        <v>110</v>
      </c>
      <c r="C15" s="47"/>
      <c r="D15" s="437"/>
      <c r="E15" s="439" t="s">
        <v>260</v>
      </c>
      <c r="F15" s="47"/>
      <c r="G15" s="47"/>
      <c r="H15" s="47" t="s">
        <v>283</v>
      </c>
      <c r="I15" s="369" t="s">
        <v>61</v>
      </c>
      <c r="J15" s="47"/>
      <c r="K15" s="47"/>
      <c r="L15" s="437"/>
      <c r="M15" s="438"/>
      <c r="N15" s="443" t="s">
        <v>148</v>
      </c>
      <c r="O15" s="438"/>
      <c r="P15" s="443" t="s">
        <v>148</v>
      </c>
      <c r="Q15" s="439"/>
      <c r="R15" s="47"/>
      <c r="S15" s="47"/>
      <c r="T15" s="47" t="s">
        <v>283</v>
      </c>
      <c r="U15" s="368" t="s">
        <v>286</v>
      </c>
      <c r="V15" s="47">
        <v>10</v>
      </c>
      <c r="W15" s="278">
        <v>7.375</v>
      </c>
      <c r="X15" s="505" t="s">
        <v>289</v>
      </c>
      <c r="Y15" s="506">
        <v>254</v>
      </c>
      <c r="Z15" s="507">
        <v>187</v>
      </c>
      <c r="AA15" s="48"/>
      <c r="AB15" s="47">
        <v>100000000000</v>
      </c>
      <c r="AC15" s="47">
        <v>100000000000</v>
      </c>
      <c r="AD15" s="368"/>
      <c r="AE15" s="47">
        <v>100000000000</v>
      </c>
      <c r="AF15" s="278">
        <v>100000000000</v>
      </c>
    </row>
    <row r="16" spans="1:32" ht="21.75" thickBot="1" x14ac:dyDescent="0.4">
      <c r="A16" s="48"/>
      <c r="B16" s="47" t="s">
        <v>283</v>
      </c>
      <c r="C16" s="47"/>
      <c r="D16" s="877" t="s">
        <v>148</v>
      </c>
      <c r="E16" s="878"/>
      <c r="F16" s="47"/>
      <c r="G16" s="47"/>
      <c r="H16" s="47" t="s">
        <v>284</v>
      </c>
      <c r="I16" s="369" t="s">
        <v>61</v>
      </c>
      <c r="J16" s="47"/>
      <c r="K16" s="47"/>
      <c r="L16" s="437"/>
      <c r="M16" s="438"/>
      <c r="N16" s="438" t="s">
        <v>270</v>
      </c>
      <c r="O16" s="438"/>
      <c r="P16" s="438">
        <f>'KX445'!F6</f>
        <v>0</v>
      </c>
      <c r="Q16" s="439"/>
      <c r="R16" s="47"/>
      <c r="S16" s="47"/>
      <c r="T16" s="47" t="s">
        <v>284</v>
      </c>
      <c r="U16" s="368" t="s">
        <v>287</v>
      </c>
      <c r="V16" s="47">
        <v>10</v>
      </c>
      <c r="W16" s="278">
        <v>9.625</v>
      </c>
      <c r="X16" s="505" t="s">
        <v>288</v>
      </c>
      <c r="Y16" s="506">
        <v>254</v>
      </c>
      <c r="Z16" s="507">
        <v>244</v>
      </c>
      <c r="AA16" s="49"/>
      <c r="AB16" s="47">
        <v>100000000000</v>
      </c>
      <c r="AC16" s="47">
        <v>100000000000</v>
      </c>
      <c r="AD16" s="536"/>
      <c r="AE16" s="47">
        <v>100000000000</v>
      </c>
      <c r="AF16" s="278">
        <v>100000000000</v>
      </c>
    </row>
    <row r="17" spans="1:32" x14ac:dyDescent="0.25">
      <c r="A17" s="48"/>
      <c r="B17" s="47" t="s">
        <v>284</v>
      </c>
      <c r="C17" s="47"/>
      <c r="D17" s="437"/>
      <c r="E17" s="439"/>
      <c r="F17" s="47"/>
      <c r="G17" s="47"/>
      <c r="H17" s="47"/>
      <c r="I17" s="369"/>
      <c r="J17" s="369"/>
      <c r="K17" s="47"/>
      <c r="L17" s="437"/>
      <c r="M17" s="438"/>
      <c r="N17" s="438"/>
      <c r="O17" s="438"/>
      <c r="P17" s="438"/>
      <c r="Q17" s="439"/>
      <c r="R17" s="47"/>
      <c r="S17" s="47"/>
      <c r="T17" s="433" t="s">
        <v>130</v>
      </c>
      <c r="U17" s="454" t="e">
        <f>INDEX(SHEETDATA!T2:U16, MATCH('DATA ENTRY'!B8,SHEETDATA!T2:T16,0),2)</f>
        <v>#N/A</v>
      </c>
      <c r="V17" s="435" t="e">
        <f>INDEX(SHEETDATA!T2:W16, MATCH('DATA ENTRY'!B8,SHEETDATA!T2:T16,0),3)</f>
        <v>#N/A</v>
      </c>
      <c r="W17" s="436" t="e">
        <f>INDEX(SHEETDATA!T2:W16, MATCH('DATA ENTRY'!B8,SHEETDATA!T2:T16,0),4)</f>
        <v>#N/A</v>
      </c>
      <c r="X17" s="433" t="e">
        <f>INDEX(SHEETDATA!T2:Z16, MATCH('DATA ENTRY'!B8,SHEETDATA!T2:T16,0),5)</f>
        <v>#N/A</v>
      </c>
      <c r="Y17" s="454" t="e">
        <f>INDEX(SHEETDATA!T2:Z16, MATCH('DATA ENTRY'!B8,SHEETDATA!T2:T16,0),6)</f>
        <v>#N/A</v>
      </c>
      <c r="Z17" s="436" t="e">
        <f>INDEX(SHEETDATA!T2:Z16, MATCH('DATA ENTRY'!B8,SHEETDATA!T2:T16,0),7)</f>
        <v>#N/A</v>
      </c>
      <c r="AA17" s="433" t="e">
        <f>INDEX(SHEETDATA!T2:AF16, MATCH('DATA ENTRY'!B8,SHEETDATA!T2:T16,0),8)</f>
        <v>#N/A</v>
      </c>
      <c r="AB17" s="435" t="e">
        <f>INDEX(SHEETDATA!T2:AF16, MATCH('DATA ENTRY'!B8,SHEETDATA!T2:T16,0),9)</f>
        <v>#N/A</v>
      </c>
      <c r="AC17" s="435" t="e">
        <f>INDEX(SHEETDATA!T2:AF16, MATCH('DATA ENTRY'!B8,SHEETDATA!T2:T16,0),10)</f>
        <v>#N/A</v>
      </c>
      <c r="AD17" s="454" t="e">
        <f>INDEX(SHEETDATA!T2:AF16, MATCH('DATA ENTRY'!B8,SHEETDATA!T2:T16,0),11)</f>
        <v>#N/A</v>
      </c>
      <c r="AE17" s="534" t="e">
        <f>INDEX(SHEETDATA!T2:AF16, MATCH('DATA ENTRY'!B8,SHEETDATA!T2:T16,0),12)</f>
        <v>#N/A</v>
      </c>
      <c r="AF17" s="535" t="e">
        <f>INDEX(SHEETDATA!T2:AF16, MATCH('DATA ENTRY'!B8,SHEETDATA!T2:T16,0),13)</f>
        <v>#N/A</v>
      </c>
    </row>
    <row r="18" spans="1:32" ht="15.75" thickBot="1" x14ac:dyDescent="0.3">
      <c r="A18" s="49"/>
      <c r="B18" s="50"/>
      <c r="C18" s="50"/>
      <c r="D18" s="440"/>
      <c r="E18" s="442"/>
      <c r="F18" s="50"/>
      <c r="G18" s="50"/>
      <c r="H18" s="50"/>
      <c r="I18" s="371"/>
      <c r="J18" s="371"/>
      <c r="K18" s="50"/>
      <c r="L18" s="440"/>
      <c r="M18" s="441"/>
      <c r="N18" s="441"/>
      <c r="O18" s="441"/>
      <c r="P18" s="441"/>
      <c r="Q18" s="442"/>
      <c r="R18" s="50"/>
      <c r="S18" s="50"/>
      <c r="T18" s="440" t="s">
        <v>64</v>
      </c>
      <c r="U18" s="508" t="e">
        <f>IF('DATA ENTRY'!B9="mm",SHEETDATA!X17,SHEETDATA!U17)</f>
        <v>#N/A</v>
      </c>
      <c r="V18" s="441"/>
      <c r="W18" s="442"/>
      <c r="X18" s="440"/>
      <c r="Y18" s="441"/>
      <c r="Z18" s="442"/>
      <c r="AA18" s="440" t="e">
        <f>IF('DATA ENTRY'!B9="mm",SHEETDATA!AD17,SHEETDATA!AA17)</f>
        <v>#N/A</v>
      </c>
      <c r="AB18" s="441"/>
      <c r="AC18" s="441"/>
      <c r="AD18" s="441"/>
      <c r="AE18" s="441"/>
      <c r="AF18" s="442"/>
    </row>
    <row r="19" spans="1:32" x14ac:dyDescent="0.25">
      <c r="I19" s="40"/>
      <c r="J19" s="40"/>
    </row>
    <row r="20" spans="1:32" x14ac:dyDescent="0.25">
      <c r="I20" s="40"/>
      <c r="J20" s="40"/>
    </row>
    <row r="21" spans="1:32" x14ac:dyDescent="0.25">
      <c r="I21" s="40"/>
      <c r="J21" s="40"/>
    </row>
    <row r="22" spans="1:32" x14ac:dyDescent="0.25">
      <c r="I22" s="40"/>
      <c r="J22" s="40"/>
    </row>
    <row r="23" spans="1:32" x14ac:dyDescent="0.25">
      <c r="I23" s="40"/>
      <c r="J23" s="40"/>
    </row>
    <row r="24" spans="1:32" x14ac:dyDescent="0.25">
      <c r="I24" s="40"/>
      <c r="J24" s="40"/>
    </row>
    <row r="25" spans="1:32" ht="15.75" thickBot="1" x14ac:dyDescent="0.3">
      <c r="J25" s="40"/>
      <c r="P25" s="178"/>
    </row>
    <row r="26" spans="1:32" ht="23.25" x14ac:dyDescent="0.35">
      <c r="D26" s="445" t="s">
        <v>148</v>
      </c>
      <c r="E26" s="446"/>
      <c r="F26" s="446"/>
      <c r="G26" s="447" t="s">
        <v>148</v>
      </c>
      <c r="J26" s="40"/>
      <c r="L26" s="372" t="s">
        <v>129</v>
      </c>
      <c r="M26" s="316"/>
      <c r="N26" s="316"/>
      <c r="O26" s="316"/>
      <c r="P26" s="316"/>
      <c r="Q26" s="324"/>
    </row>
    <row r="27" spans="1:32" ht="18" customHeight="1" x14ac:dyDescent="0.25">
      <c r="D27" s="448"/>
      <c r="E27" s="449"/>
      <c r="F27" s="449"/>
      <c r="G27" s="450"/>
      <c r="L27" s="48"/>
      <c r="M27" s="47"/>
      <c r="N27" s="47"/>
      <c r="O27" s="47"/>
      <c r="P27" s="47"/>
      <c r="Q27" s="278"/>
    </row>
    <row r="28" spans="1:32" x14ac:dyDescent="0.25">
      <c r="D28" s="448"/>
      <c r="E28" s="449"/>
      <c r="F28" s="449"/>
      <c r="G28" s="450"/>
      <c r="L28" s="48" t="s">
        <v>103</v>
      </c>
      <c r="M28" s="47" t="s">
        <v>52</v>
      </c>
      <c r="N28" s="47"/>
      <c r="O28" s="47"/>
      <c r="P28" s="47"/>
      <c r="Q28" s="278"/>
    </row>
    <row r="29" spans="1:32" ht="146.25" customHeight="1" thickBot="1" x14ac:dyDescent="0.3">
      <c r="D29" s="451"/>
      <c r="E29" s="452"/>
      <c r="F29" s="452"/>
      <c r="G29" s="453"/>
      <c r="L29" s="48"/>
      <c r="M29" s="771" t="s">
        <v>8</v>
      </c>
      <c r="N29" s="47"/>
      <c r="O29" s="47"/>
      <c r="P29" s="47"/>
      <c r="Q29" s="278"/>
    </row>
    <row r="30" spans="1:32" ht="146.25" customHeight="1" x14ac:dyDescent="0.25">
      <c r="L30" s="48"/>
      <c r="M30" s="771" t="s">
        <v>7</v>
      </c>
      <c r="N30" s="47"/>
      <c r="O30" s="47"/>
      <c r="P30" s="47"/>
      <c r="Q30" s="278"/>
    </row>
    <row r="31" spans="1:32" ht="146.25" customHeight="1" x14ac:dyDescent="0.25">
      <c r="L31" s="48"/>
      <c r="M31" s="772" t="s">
        <v>54</v>
      </c>
      <c r="N31" s="47"/>
      <c r="O31" s="47"/>
      <c r="P31" s="47"/>
      <c r="Q31" s="278"/>
    </row>
    <row r="32" spans="1:32" ht="146.25" customHeight="1" x14ac:dyDescent="0.25">
      <c r="L32" s="48"/>
      <c r="M32" s="772" t="s">
        <v>55</v>
      </c>
      <c r="N32" s="47"/>
      <c r="O32" s="47"/>
      <c r="P32" s="47"/>
      <c r="Q32" s="278"/>
    </row>
    <row r="33" spans="12:17" ht="146.25" customHeight="1" x14ac:dyDescent="0.25">
      <c r="L33" s="48"/>
      <c r="M33" s="772" t="s">
        <v>53</v>
      </c>
      <c r="N33" s="47"/>
      <c r="O33" s="47"/>
      <c r="P33" s="47"/>
      <c r="Q33" s="278"/>
    </row>
    <row r="34" spans="12:17" ht="146.25" customHeight="1" x14ac:dyDescent="0.25">
      <c r="L34" s="48"/>
      <c r="M34" s="772" t="s">
        <v>56</v>
      </c>
      <c r="N34" s="47"/>
      <c r="O34" s="47"/>
      <c r="P34" s="47"/>
      <c r="Q34" s="278"/>
    </row>
    <row r="35" spans="12:17" ht="146.25" customHeight="1" x14ac:dyDescent="0.25">
      <c r="L35" s="48"/>
      <c r="M35" s="772" t="s">
        <v>57</v>
      </c>
      <c r="N35" s="47"/>
      <c r="O35" s="47"/>
      <c r="P35" s="47"/>
      <c r="Q35" s="278"/>
    </row>
    <row r="36" spans="12:17" ht="146.25" customHeight="1" x14ac:dyDescent="0.25">
      <c r="L36" s="48"/>
      <c r="M36" s="772" t="s">
        <v>60</v>
      </c>
      <c r="N36" s="47"/>
      <c r="O36" s="47"/>
      <c r="P36" s="47"/>
      <c r="Q36" s="278"/>
    </row>
    <row r="37" spans="12:17" ht="146.25" customHeight="1" x14ac:dyDescent="0.25">
      <c r="L37" s="48"/>
      <c r="M37" s="772" t="s">
        <v>58</v>
      </c>
      <c r="N37" s="47"/>
      <c r="O37" s="47"/>
      <c r="P37" s="47"/>
      <c r="Q37" s="278"/>
    </row>
    <row r="38" spans="12:17" ht="146.25" customHeight="1" x14ac:dyDescent="0.25">
      <c r="L38" s="48"/>
      <c r="M38" s="772" t="s">
        <v>108</v>
      </c>
      <c r="N38" s="47"/>
      <c r="O38" s="47"/>
      <c r="P38" s="47"/>
      <c r="Q38" s="278"/>
    </row>
    <row r="39" spans="12:17" ht="146.25" customHeight="1" x14ac:dyDescent="0.25">
      <c r="L39" s="48"/>
      <c r="M39" s="772" t="s">
        <v>59</v>
      </c>
      <c r="N39" s="47"/>
      <c r="O39" s="47"/>
      <c r="P39" s="47"/>
      <c r="Q39" s="278"/>
    </row>
    <row r="40" spans="12:17" ht="146.25" customHeight="1" x14ac:dyDescent="0.25">
      <c r="L40" s="48"/>
      <c r="M40" s="772" t="s">
        <v>109</v>
      </c>
      <c r="N40" s="47"/>
      <c r="O40" s="47"/>
      <c r="P40" s="47"/>
      <c r="Q40" s="278"/>
    </row>
    <row r="41" spans="12:17" ht="146.25" customHeight="1" x14ac:dyDescent="0.25">
      <c r="L41" s="48"/>
      <c r="M41" s="772" t="s">
        <v>110</v>
      </c>
      <c r="N41" s="47"/>
      <c r="O41" s="47"/>
      <c r="P41" s="47"/>
      <c r="Q41" s="278"/>
    </row>
    <row r="42" spans="12:17" ht="147.75" customHeight="1" x14ac:dyDescent="0.25">
      <c r="L42" s="48"/>
      <c r="M42" s="770" t="s">
        <v>283</v>
      </c>
      <c r="N42" s="825"/>
      <c r="O42" s="47"/>
      <c r="P42" s="47"/>
      <c r="Q42" s="278"/>
    </row>
    <row r="43" spans="12:17" ht="149.25" customHeight="1" x14ac:dyDescent="0.25">
      <c r="L43" s="48"/>
      <c r="M43" s="770" t="s">
        <v>284</v>
      </c>
      <c r="N43" s="47"/>
      <c r="O43" s="47"/>
      <c r="P43" s="47"/>
      <c r="Q43" s="278"/>
    </row>
    <row r="44" spans="12:17" ht="150" customHeight="1" x14ac:dyDescent="0.25">
      <c r="L44" s="48"/>
      <c r="M44" s="47"/>
      <c r="N44" s="47"/>
      <c r="O44" s="47"/>
      <c r="P44" s="47"/>
      <c r="Q44" s="278"/>
    </row>
    <row r="45" spans="12:17" ht="150" customHeight="1" x14ac:dyDescent="0.25">
      <c r="L45" s="48"/>
      <c r="M45" s="47"/>
      <c r="N45" s="47"/>
      <c r="O45" s="47"/>
      <c r="P45" s="47"/>
      <c r="Q45" s="278"/>
    </row>
    <row r="46" spans="12:17" x14ac:dyDescent="0.25">
      <c r="L46" s="48"/>
      <c r="M46" s="47"/>
      <c r="N46" s="47"/>
      <c r="O46" s="47"/>
      <c r="P46" s="47"/>
      <c r="Q46" s="278"/>
    </row>
    <row r="47" spans="12:17" x14ac:dyDescent="0.25">
      <c r="L47" s="48"/>
      <c r="M47" s="47"/>
      <c r="N47" s="47"/>
      <c r="O47" s="47"/>
      <c r="P47" s="47"/>
      <c r="Q47" s="278"/>
    </row>
    <row r="48" spans="12:17" ht="15.75" thickBot="1" x14ac:dyDescent="0.3">
      <c r="L48" s="49"/>
      <c r="M48" s="50"/>
      <c r="N48" s="50"/>
      <c r="O48" s="50"/>
      <c r="P48" s="50"/>
      <c r="Q48" s="279"/>
    </row>
  </sheetData>
  <mergeCells count="1">
    <mergeCell ref="D16:E16"/>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List Box 4">
              <controlPr defaultSize="0" autoLine="0" autoPict="0">
                <anchor moveWithCells="1">
                  <from>
                    <xdr:col>3</xdr:col>
                    <xdr:colOff>266700</xdr:colOff>
                    <xdr:row>26</xdr:row>
                    <xdr:rowOff>47625</xdr:rowOff>
                  </from>
                  <to>
                    <xdr:col>4</xdr:col>
                    <xdr:colOff>704850</xdr:colOff>
                    <xdr:row>29</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X340"/>
  <sheetViews>
    <sheetView topLeftCell="A11" zoomScale="60" zoomScaleNormal="60" workbookViewId="0">
      <selection activeCell="D28" sqref="D28"/>
    </sheetView>
  </sheetViews>
  <sheetFormatPr defaultRowHeight="15" x14ac:dyDescent="0.25"/>
  <cols>
    <col min="1" max="1" width="13.85546875" customWidth="1"/>
  </cols>
  <sheetData>
    <row r="1" spans="1:40" ht="23.25" x14ac:dyDescent="0.35">
      <c r="A1" s="466" t="s">
        <v>175</v>
      </c>
      <c r="B1" s="456"/>
      <c r="C1" s="45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24"/>
    </row>
    <row r="2" spans="1:40" x14ac:dyDescent="0.25">
      <c r="A2" s="48"/>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278"/>
    </row>
    <row r="3" spans="1:40" ht="21" x14ac:dyDescent="0.35">
      <c r="A3" s="460" t="s">
        <v>169</v>
      </c>
      <c r="B3" s="461" t="s">
        <v>168</v>
      </c>
      <c r="C3" s="314"/>
      <c r="D3" s="314"/>
      <c r="E3" s="314"/>
      <c r="F3" s="314"/>
      <c r="G3" s="314"/>
      <c r="H3" s="314"/>
      <c r="I3" s="314"/>
      <c r="J3" s="314"/>
      <c r="K3" s="314"/>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278"/>
    </row>
    <row r="4" spans="1:40" x14ac:dyDescent="0.25">
      <c r="A4" s="48"/>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278"/>
    </row>
    <row r="5" spans="1:40" ht="15.75" thickBot="1" x14ac:dyDescent="0.3">
      <c r="A5" s="48"/>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278"/>
    </row>
    <row r="6" spans="1:40" ht="21" x14ac:dyDescent="0.35">
      <c r="A6" s="458" t="s">
        <v>167</v>
      </c>
      <c r="B6" s="459" t="s">
        <v>170</v>
      </c>
      <c r="C6" s="366"/>
      <c r="D6" s="366"/>
      <c r="E6" s="366"/>
      <c r="F6" s="366"/>
      <c r="G6" s="366"/>
      <c r="H6" s="366"/>
      <c r="I6" s="36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24"/>
    </row>
    <row r="7" spans="1:40" x14ac:dyDescent="0.25">
      <c r="A7" s="48"/>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278"/>
    </row>
    <row r="8" spans="1:40" x14ac:dyDescent="0.25">
      <c r="A8" s="457" t="s">
        <v>214</v>
      </c>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278"/>
    </row>
    <row r="9" spans="1:40" x14ac:dyDescent="0.25">
      <c r="A9" s="48"/>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278"/>
    </row>
    <row r="10" spans="1:40" x14ac:dyDescent="0.25">
      <c r="A10" s="48"/>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278"/>
    </row>
    <row r="11" spans="1:40" x14ac:dyDescent="0.25">
      <c r="A11" s="48"/>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278"/>
    </row>
    <row r="12" spans="1:40" x14ac:dyDescent="0.25">
      <c r="A12" s="48"/>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278"/>
    </row>
    <row r="13" spans="1:40" x14ac:dyDescent="0.25">
      <c r="A13" s="48"/>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278"/>
    </row>
    <row r="14" spans="1:40" x14ac:dyDescent="0.25">
      <c r="A14" s="48"/>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278"/>
    </row>
    <row r="15" spans="1:40" x14ac:dyDescent="0.25">
      <c r="A15" s="48"/>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278"/>
    </row>
    <row r="16" spans="1:40" x14ac:dyDescent="0.25">
      <c r="A16" s="48"/>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278"/>
    </row>
    <row r="17" spans="1:40" x14ac:dyDescent="0.25">
      <c r="A17" s="48"/>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278"/>
    </row>
    <row r="18" spans="1:40" x14ac:dyDescent="0.25">
      <c r="A18" s="48"/>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278"/>
    </row>
    <row r="19" spans="1:40" x14ac:dyDescent="0.25">
      <c r="A19" s="48"/>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278"/>
    </row>
    <row r="20" spans="1:40" x14ac:dyDescent="0.25">
      <c r="A20" s="48"/>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278"/>
    </row>
    <row r="21" spans="1:40" x14ac:dyDescent="0.25">
      <c r="A21" s="48"/>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278"/>
    </row>
    <row r="22" spans="1:40" x14ac:dyDescent="0.25">
      <c r="A22" s="48"/>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278"/>
    </row>
    <row r="23" spans="1:40" x14ac:dyDescent="0.25">
      <c r="A23" s="48"/>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278"/>
    </row>
    <row r="24" spans="1:40" x14ac:dyDescent="0.25">
      <c r="A24" s="48"/>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278"/>
    </row>
    <row r="25" spans="1:40" x14ac:dyDescent="0.25">
      <c r="A25" s="48"/>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278"/>
    </row>
    <row r="26" spans="1:40" x14ac:dyDescent="0.25">
      <c r="A26" s="48"/>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278"/>
    </row>
    <row r="27" spans="1:40" x14ac:dyDescent="0.25">
      <c r="A27" s="48"/>
      <c r="B27" s="47"/>
      <c r="C27" s="47"/>
      <c r="D27" s="47"/>
      <c r="E27" s="47"/>
      <c r="F27" s="47"/>
      <c r="G27" s="47"/>
      <c r="H27" s="47"/>
      <c r="I27" s="47"/>
      <c r="J27" s="47"/>
      <c r="K27" s="47"/>
      <c r="L27" s="47"/>
      <c r="M27" s="47"/>
      <c r="N27" s="47"/>
      <c r="O27" s="47"/>
      <c r="P27" s="47"/>
      <c r="Q27" s="47"/>
      <c r="R27" s="47"/>
      <c r="S27" s="47"/>
      <c r="T27" s="47" t="s">
        <v>172</v>
      </c>
      <c r="U27" s="47"/>
      <c r="V27" s="47"/>
      <c r="W27" s="47"/>
      <c r="X27" s="47"/>
      <c r="Y27" s="47"/>
      <c r="Z27" s="47"/>
      <c r="AA27" s="47"/>
      <c r="AB27" s="47"/>
      <c r="AC27" s="47"/>
      <c r="AD27" s="47"/>
      <c r="AE27" s="47"/>
      <c r="AF27" s="47"/>
      <c r="AG27" s="47"/>
      <c r="AH27" s="47"/>
      <c r="AI27" s="47"/>
      <c r="AJ27" s="47"/>
      <c r="AK27" s="47"/>
      <c r="AL27" s="47"/>
      <c r="AM27" s="47"/>
      <c r="AN27" s="278"/>
    </row>
    <row r="28" spans="1:40" x14ac:dyDescent="0.25">
      <c r="A28" s="48"/>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278"/>
    </row>
    <row r="29" spans="1:40" x14ac:dyDescent="0.25">
      <c r="A29" s="48"/>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278"/>
    </row>
    <row r="30" spans="1:40" x14ac:dyDescent="0.25">
      <c r="A30" s="48"/>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278"/>
    </row>
    <row r="31" spans="1:40" x14ac:dyDescent="0.25">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278"/>
    </row>
    <row r="32" spans="1:40" x14ac:dyDescent="0.25">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278"/>
    </row>
    <row r="33" spans="1:40" x14ac:dyDescent="0.25">
      <c r="A33" s="48"/>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278"/>
    </row>
    <row r="34" spans="1:40" x14ac:dyDescent="0.25">
      <c r="A34" s="48"/>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278"/>
    </row>
    <row r="35" spans="1:40" x14ac:dyDescent="0.25">
      <c r="A35" s="48"/>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278"/>
    </row>
    <row r="36" spans="1:40" x14ac:dyDescent="0.25">
      <c r="A36" s="48"/>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278"/>
    </row>
    <row r="37" spans="1:40" x14ac:dyDescent="0.25">
      <c r="A37" s="48"/>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278"/>
    </row>
    <row r="38" spans="1:40" x14ac:dyDescent="0.25">
      <c r="A38" s="48"/>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278"/>
    </row>
    <row r="39" spans="1:40" x14ac:dyDescent="0.25">
      <c r="A39" s="48"/>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278"/>
    </row>
    <row r="40" spans="1:40" x14ac:dyDescent="0.25">
      <c r="A40" s="48"/>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278"/>
    </row>
    <row r="41" spans="1:40" x14ac:dyDescent="0.25">
      <c r="A41" s="48"/>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278"/>
    </row>
    <row r="42" spans="1:40" x14ac:dyDescent="0.25">
      <c r="A42" s="48"/>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278"/>
    </row>
    <row r="43" spans="1:40" x14ac:dyDescent="0.25">
      <c r="A43" s="48"/>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278"/>
    </row>
    <row r="44" spans="1:40" x14ac:dyDescent="0.25">
      <c r="A44" s="48"/>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278"/>
    </row>
    <row r="45" spans="1:40" x14ac:dyDescent="0.25">
      <c r="A45" s="48"/>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278"/>
    </row>
    <row r="46" spans="1:40" x14ac:dyDescent="0.25">
      <c r="A46" s="48"/>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278"/>
    </row>
    <row r="47" spans="1:40" x14ac:dyDescent="0.25">
      <c r="A47" s="48"/>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278"/>
    </row>
    <row r="48" spans="1:40" x14ac:dyDescent="0.25">
      <c r="A48" s="48"/>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278"/>
    </row>
    <row r="49" spans="1:40" x14ac:dyDescent="0.25">
      <c r="A49" s="48"/>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278"/>
    </row>
    <row r="50" spans="1:40" x14ac:dyDescent="0.25">
      <c r="A50" s="48"/>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278"/>
    </row>
    <row r="51" spans="1:40" x14ac:dyDescent="0.25">
      <c r="A51" s="48"/>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278"/>
    </row>
    <row r="52" spans="1:40" x14ac:dyDescent="0.25">
      <c r="A52" s="48"/>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278"/>
    </row>
    <row r="53" spans="1:40" x14ac:dyDescent="0.25">
      <c r="A53" s="48"/>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278"/>
    </row>
    <row r="54" spans="1:40" x14ac:dyDescent="0.25">
      <c r="A54" s="48"/>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278"/>
    </row>
    <row r="55" spans="1:40" x14ac:dyDescent="0.25">
      <c r="A55" s="48"/>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278"/>
    </row>
    <row r="56" spans="1:40" x14ac:dyDescent="0.25">
      <c r="A56" s="48"/>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278"/>
    </row>
    <row r="57" spans="1:40" x14ac:dyDescent="0.25">
      <c r="A57" s="48"/>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278"/>
    </row>
    <row r="58" spans="1:40" x14ac:dyDescent="0.25">
      <c r="A58" s="48"/>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278"/>
    </row>
    <row r="59" spans="1:40" x14ac:dyDescent="0.25">
      <c r="A59" s="48"/>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278"/>
    </row>
    <row r="60" spans="1:40" x14ac:dyDescent="0.25">
      <c r="A60" s="48"/>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278"/>
    </row>
    <row r="61" spans="1:40" x14ac:dyDescent="0.25">
      <c r="A61" s="48"/>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278"/>
    </row>
    <row r="62" spans="1:40" x14ac:dyDescent="0.25">
      <c r="A62" s="48"/>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278"/>
    </row>
    <row r="63" spans="1:40" x14ac:dyDescent="0.25">
      <c r="A63" s="48"/>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278"/>
    </row>
    <row r="64" spans="1:40" x14ac:dyDescent="0.25">
      <c r="A64" s="48"/>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278"/>
    </row>
    <row r="65" spans="1:40" ht="15.75" thickBot="1" x14ac:dyDescent="0.3">
      <c r="A65" s="49"/>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279"/>
    </row>
    <row r="66" spans="1:40" x14ac:dyDescent="0.25">
      <c r="A66" s="455" t="s">
        <v>215</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24"/>
    </row>
    <row r="67" spans="1:40" x14ac:dyDescent="0.25">
      <c r="A67" s="48"/>
      <c r="B67" s="47"/>
      <c r="C67" s="47"/>
      <c r="D67" s="47"/>
      <c r="E67" s="47"/>
      <c r="F67" s="47"/>
      <c r="G67" s="47"/>
      <c r="H67" s="47"/>
      <c r="I67" s="47"/>
      <c r="J67" s="47"/>
      <c r="K67" s="47"/>
      <c r="L67" s="47"/>
      <c r="M67" s="47"/>
      <c r="N67" s="47" t="s">
        <v>178</v>
      </c>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278"/>
    </row>
    <row r="68" spans="1:40" x14ac:dyDescent="0.25">
      <c r="A68" s="48"/>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278"/>
    </row>
    <row r="69" spans="1:40" x14ac:dyDescent="0.25">
      <c r="A69" s="48"/>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278"/>
    </row>
    <row r="70" spans="1:40" x14ac:dyDescent="0.25">
      <c r="A70" s="48"/>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278"/>
    </row>
    <row r="71" spans="1:40" x14ac:dyDescent="0.25">
      <c r="A71" s="48"/>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278"/>
    </row>
    <row r="72" spans="1:40" x14ac:dyDescent="0.25">
      <c r="A72" s="48"/>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278"/>
    </row>
    <row r="73" spans="1:40" x14ac:dyDescent="0.25">
      <c r="A73" s="48"/>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278"/>
    </row>
    <row r="74" spans="1:40" x14ac:dyDescent="0.25">
      <c r="A74" s="48"/>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278"/>
    </row>
    <row r="75" spans="1:40" x14ac:dyDescent="0.25">
      <c r="A75" s="48"/>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278"/>
    </row>
    <row r="76" spans="1:40" x14ac:dyDescent="0.25">
      <c r="A76" s="48"/>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278"/>
    </row>
    <row r="77" spans="1:40" x14ac:dyDescent="0.25">
      <c r="A77" s="48"/>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278"/>
    </row>
    <row r="78" spans="1:40" x14ac:dyDescent="0.25">
      <c r="A78" s="48"/>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278"/>
    </row>
    <row r="79" spans="1:40" x14ac:dyDescent="0.25">
      <c r="A79" s="48"/>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278"/>
    </row>
    <row r="80" spans="1:40" x14ac:dyDescent="0.25">
      <c r="A80" s="48"/>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278"/>
    </row>
    <row r="81" spans="1:40" x14ac:dyDescent="0.25">
      <c r="A81" s="48"/>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278"/>
    </row>
    <row r="82" spans="1:40" x14ac:dyDescent="0.25">
      <c r="A82" s="48"/>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278"/>
    </row>
    <row r="83" spans="1:40" x14ac:dyDescent="0.25">
      <c r="A83" s="48"/>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278"/>
    </row>
    <row r="84" spans="1:40" x14ac:dyDescent="0.25">
      <c r="A84" s="48"/>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278"/>
    </row>
    <row r="85" spans="1:40" x14ac:dyDescent="0.25">
      <c r="A85" s="48"/>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278"/>
    </row>
    <row r="86" spans="1:40" x14ac:dyDescent="0.25">
      <c r="A86" s="48"/>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278"/>
    </row>
    <row r="87" spans="1:40" x14ac:dyDescent="0.25">
      <c r="A87" s="48"/>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278"/>
    </row>
    <row r="88" spans="1:40" x14ac:dyDescent="0.25">
      <c r="A88" s="48"/>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278"/>
    </row>
    <row r="89" spans="1:40" x14ac:dyDescent="0.25">
      <c r="A89" s="48"/>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278"/>
    </row>
    <row r="90" spans="1:40" x14ac:dyDescent="0.25">
      <c r="A90" s="48"/>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278"/>
    </row>
    <row r="91" spans="1:40" x14ac:dyDescent="0.25">
      <c r="A91" s="48"/>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278"/>
    </row>
    <row r="92" spans="1:40" x14ac:dyDescent="0.25">
      <c r="A92" s="48"/>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278"/>
    </row>
    <row r="93" spans="1:40" x14ac:dyDescent="0.25">
      <c r="A93" s="48"/>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278"/>
    </row>
    <row r="94" spans="1:40" x14ac:dyDescent="0.25">
      <c r="A94" s="48"/>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278"/>
    </row>
    <row r="95" spans="1:40" x14ac:dyDescent="0.25">
      <c r="A95" s="48"/>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278"/>
    </row>
    <row r="96" spans="1:40" x14ac:dyDescent="0.25">
      <c r="A96" s="48"/>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278"/>
    </row>
    <row r="97" spans="1:50" x14ac:dyDescent="0.25">
      <c r="A97" s="48"/>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278"/>
    </row>
    <row r="98" spans="1:50" x14ac:dyDescent="0.25">
      <c r="A98" s="48"/>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278"/>
    </row>
    <row r="99" spans="1:50" x14ac:dyDescent="0.25">
      <c r="A99" s="48"/>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278"/>
    </row>
    <row r="100" spans="1:50" x14ac:dyDescent="0.25">
      <c r="A100" s="48"/>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278"/>
    </row>
    <row r="101" spans="1:50" x14ac:dyDescent="0.25">
      <c r="A101" s="48"/>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278"/>
    </row>
    <row r="102" spans="1:50" x14ac:dyDescent="0.25">
      <c r="A102" s="48"/>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278"/>
    </row>
    <row r="103" spans="1:50" x14ac:dyDescent="0.25">
      <c r="A103" s="48"/>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278"/>
    </row>
    <row r="104" spans="1:50" x14ac:dyDescent="0.25">
      <c r="A104" s="48"/>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278"/>
    </row>
    <row r="105" spans="1:50" x14ac:dyDescent="0.25">
      <c r="A105" s="48"/>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278"/>
    </row>
    <row r="106" spans="1:50" ht="15.75" thickBot="1" x14ac:dyDescent="0.3">
      <c r="A106" s="48"/>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278"/>
    </row>
    <row r="107" spans="1:50" x14ac:dyDescent="0.25">
      <c r="A107" s="455" t="s">
        <v>173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316"/>
      <c r="AE107" s="316"/>
      <c r="AF107" s="316"/>
      <c r="AG107" s="316"/>
      <c r="AH107" s="316"/>
      <c r="AI107" s="316"/>
      <c r="AJ107" s="316"/>
      <c r="AK107" s="316"/>
      <c r="AL107" s="316"/>
      <c r="AM107" s="316"/>
      <c r="AN107" s="316"/>
      <c r="AO107" s="316"/>
      <c r="AP107" s="316"/>
      <c r="AQ107" s="316"/>
      <c r="AR107" s="316"/>
      <c r="AS107" s="316"/>
      <c r="AT107" s="316"/>
      <c r="AU107" s="316"/>
      <c r="AV107" s="316"/>
      <c r="AW107" s="316"/>
      <c r="AX107" s="324"/>
    </row>
    <row r="108" spans="1:50" x14ac:dyDescent="0.25">
      <c r="A108" s="48"/>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278"/>
    </row>
    <row r="109" spans="1:50" x14ac:dyDescent="0.25">
      <c r="A109" s="48"/>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278"/>
    </row>
    <row r="110" spans="1:50" x14ac:dyDescent="0.25">
      <c r="A110" s="48"/>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278"/>
    </row>
    <row r="111" spans="1:50" x14ac:dyDescent="0.25">
      <c r="A111" s="48"/>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278"/>
    </row>
    <row r="112" spans="1:50" x14ac:dyDescent="0.25">
      <c r="A112" s="48"/>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278"/>
    </row>
    <row r="113" spans="1:50" x14ac:dyDescent="0.25">
      <c r="A113" s="48"/>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278"/>
    </row>
    <row r="114" spans="1:50" x14ac:dyDescent="0.25">
      <c r="A114" s="48"/>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278"/>
    </row>
    <row r="115" spans="1:50" x14ac:dyDescent="0.25">
      <c r="A115" s="48"/>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278"/>
    </row>
    <row r="116" spans="1:50" x14ac:dyDescent="0.25">
      <c r="A116" s="48"/>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278"/>
    </row>
    <row r="117" spans="1:50" x14ac:dyDescent="0.25">
      <c r="A117" s="48"/>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278"/>
    </row>
    <row r="118" spans="1:50" x14ac:dyDescent="0.25">
      <c r="A118" s="48"/>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278"/>
    </row>
    <row r="119" spans="1:50" x14ac:dyDescent="0.25">
      <c r="A119" s="48"/>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278"/>
    </row>
    <row r="120" spans="1:50" x14ac:dyDescent="0.25">
      <c r="A120" s="48"/>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278"/>
    </row>
    <row r="121" spans="1:50" x14ac:dyDescent="0.25">
      <c r="A121" s="48"/>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278"/>
    </row>
    <row r="122" spans="1:50" x14ac:dyDescent="0.25">
      <c r="A122" s="48"/>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278"/>
    </row>
    <row r="123" spans="1:50" x14ac:dyDescent="0.25">
      <c r="A123" s="48"/>
      <c r="B123" s="47"/>
      <c r="C123" s="47"/>
      <c r="D123" s="462"/>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278"/>
    </row>
    <row r="124" spans="1:50" x14ac:dyDescent="0.25">
      <c r="A124" s="48"/>
      <c r="B124" s="47"/>
      <c r="C124" s="47"/>
      <c r="D124" s="462"/>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278"/>
    </row>
    <row r="125" spans="1:50" x14ac:dyDescent="0.25">
      <c r="A125" s="48"/>
      <c r="B125" s="47"/>
      <c r="C125" s="47"/>
      <c r="D125" s="462"/>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278"/>
    </row>
    <row r="126" spans="1:50" x14ac:dyDescent="0.25">
      <c r="A126" s="48"/>
      <c r="B126" s="47"/>
      <c r="C126" s="47"/>
      <c r="D126" s="462"/>
      <c r="E126" s="47"/>
      <c r="F126" s="47"/>
      <c r="G126" s="47"/>
      <c r="H126" s="47"/>
      <c r="I126" s="47"/>
      <c r="J126" s="47"/>
      <c r="K126" s="47"/>
      <c r="L126" s="47"/>
      <c r="M126" s="47"/>
      <c r="N126" s="47"/>
      <c r="O126" s="47"/>
      <c r="P126" s="47"/>
      <c r="Q126" s="47"/>
      <c r="R126" s="47"/>
      <c r="S126" s="47"/>
      <c r="T126" s="47"/>
      <c r="U126" s="47"/>
      <c r="V126" s="47"/>
      <c r="W126" s="47"/>
      <c r="X126" s="47"/>
      <c r="Y126" s="47"/>
      <c r="Z126" s="47"/>
      <c r="AA126" s="47" t="s">
        <v>174</v>
      </c>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278"/>
    </row>
    <row r="127" spans="1:50" x14ac:dyDescent="0.25">
      <c r="A127" s="48"/>
      <c r="B127" s="47"/>
      <c r="C127" s="47"/>
      <c r="D127" s="462"/>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278"/>
    </row>
    <row r="128" spans="1:50" x14ac:dyDescent="0.25">
      <c r="A128" s="48"/>
      <c r="B128" s="47"/>
      <c r="C128" s="47"/>
      <c r="D128" s="462"/>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278"/>
    </row>
    <row r="129" spans="1:50" x14ac:dyDescent="0.25">
      <c r="A129" s="48"/>
      <c r="B129" s="47"/>
      <c r="C129" s="47"/>
      <c r="D129" s="462"/>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278"/>
    </row>
    <row r="130" spans="1:50" x14ac:dyDescent="0.25">
      <c r="A130" s="48"/>
      <c r="B130" s="47"/>
      <c r="C130" s="47"/>
      <c r="D130" s="462"/>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278"/>
    </row>
    <row r="131" spans="1:50" x14ac:dyDescent="0.25">
      <c r="A131" s="48"/>
      <c r="B131" s="47"/>
      <c r="C131" s="47"/>
      <c r="D131" s="462"/>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278"/>
    </row>
    <row r="132" spans="1:50" x14ac:dyDescent="0.25">
      <c r="A132" s="48"/>
      <c r="B132" s="47"/>
      <c r="C132" s="47"/>
      <c r="D132" s="462"/>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278"/>
    </row>
    <row r="133" spans="1:50" x14ac:dyDescent="0.25">
      <c r="A133" s="48"/>
      <c r="B133" s="47"/>
      <c r="C133" s="47"/>
      <c r="D133" s="462"/>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278"/>
    </row>
    <row r="134" spans="1:50" x14ac:dyDescent="0.25">
      <c r="A134" s="48"/>
      <c r="B134" s="47"/>
      <c r="C134" s="47"/>
      <c r="D134" s="462"/>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278"/>
    </row>
    <row r="135" spans="1:50" x14ac:dyDescent="0.25">
      <c r="A135" s="48"/>
      <c r="B135" s="47"/>
      <c r="C135" s="47"/>
      <c r="D135" s="462"/>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278"/>
    </row>
    <row r="136" spans="1:50" x14ac:dyDescent="0.25">
      <c r="A136" s="48"/>
      <c r="B136" s="47"/>
      <c r="C136" s="47"/>
      <c r="D136" s="462"/>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278"/>
    </row>
    <row r="137" spans="1:50" x14ac:dyDescent="0.25">
      <c r="A137" s="48"/>
      <c r="B137" s="47"/>
      <c r="C137" s="47"/>
      <c r="D137" s="462"/>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278"/>
    </row>
    <row r="138" spans="1:50" x14ac:dyDescent="0.25">
      <c r="A138" s="48"/>
      <c r="B138" s="47"/>
      <c r="C138" s="47"/>
      <c r="D138" s="462"/>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278"/>
    </row>
    <row r="139" spans="1:50" x14ac:dyDescent="0.25">
      <c r="A139" s="48"/>
      <c r="B139" s="47"/>
      <c r="C139" s="47"/>
      <c r="D139" s="462"/>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278"/>
    </row>
    <row r="140" spans="1:50" x14ac:dyDescent="0.25">
      <c r="A140" s="48"/>
      <c r="B140" s="47"/>
      <c r="C140" s="47"/>
      <c r="D140" s="462"/>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278"/>
    </row>
    <row r="141" spans="1:50" x14ac:dyDescent="0.25">
      <c r="A141" s="48"/>
      <c r="B141" s="47"/>
      <c r="C141" s="47"/>
      <c r="D141" s="462"/>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278"/>
    </row>
    <row r="142" spans="1:50" x14ac:dyDescent="0.25">
      <c r="A142" s="48"/>
      <c r="B142" s="47"/>
      <c r="C142" s="47"/>
      <c r="D142" s="462"/>
      <c r="E142" s="463"/>
      <c r="F142" s="463"/>
      <c r="G142" s="463"/>
      <c r="H142" s="463"/>
      <c r="I142" s="463"/>
      <c r="J142" s="463"/>
      <c r="K142" s="463"/>
      <c r="L142" s="463"/>
      <c r="M142" s="463"/>
      <c r="N142" s="463"/>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278"/>
    </row>
    <row r="143" spans="1:50" x14ac:dyDescent="0.25">
      <c r="A143" s="48"/>
      <c r="B143" s="47"/>
      <c r="C143" s="47"/>
      <c r="D143" s="47"/>
      <c r="E143" s="47"/>
      <c r="F143" s="47"/>
      <c r="G143" s="47"/>
      <c r="H143" s="47"/>
      <c r="I143" s="47"/>
      <c r="J143" s="47"/>
      <c r="K143" s="47"/>
      <c r="L143" s="47"/>
      <c r="M143" s="47"/>
      <c r="N143" s="462"/>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278"/>
    </row>
    <row r="144" spans="1:50" x14ac:dyDescent="0.25">
      <c r="A144" s="48"/>
      <c r="B144" s="47"/>
      <c r="C144" s="47"/>
      <c r="D144" s="47"/>
      <c r="E144" s="47"/>
      <c r="F144" s="47"/>
      <c r="G144" s="47"/>
      <c r="H144" s="47"/>
      <c r="I144" s="47"/>
      <c r="J144" s="47"/>
      <c r="K144" s="47"/>
      <c r="L144" s="47"/>
      <c r="M144" s="47"/>
      <c r="N144" s="462"/>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278"/>
    </row>
    <row r="145" spans="1:50" x14ac:dyDescent="0.25">
      <c r="A145" s="48"/>
      <c r="B145" s="47"/>
      <c r="C145" s="47"/>
      <c r="D145" s="47"/>
      <c r="E145" s="47"/>
      <c r="F145" s="47"/>
      <c r="G145" s="47"/>
      <c r="H145" s="47"/>
      <c r="I145" s="47"/>
      <c r="J145" s="47"/>
      <c r="K145" s="47"/>
      <c r="L145" s="47"/>
      <c r="M145" s="47"/>
      <c r="N145" s="462"/>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278"/>
    </row>
    <row r="146" spans="1:50" x14ac:dyDescent="0.25">
      <c r="A146" s="48"/>
      <c r="B146" s="47"/>
      <c r="C146" s="47"/>
      <c r="D146" s="47"/>
      <c r="E146" s="47"/>
      <c r="F146" s="47"/>
      <c r="G146" s="47"/>
      <c r="H146" s="47"/>
      <c r="I146" s="47"/>
      <c r="J146" s="47"/>
      <c r="K146" s="47"/>
      <c r="L146" s="47"/>
      <c r="M146" s="47"/>
      <c r="N146" s="462"/>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278"/>
    </row>
    <row r="147" spans="1:50" x14ac:dyDescent="0.25">
      <c r="A147" s="48"/>
      <c r="B147" s="47"/>
      <c r="C147" s="47"/>
      <c r="D147" s="47"/>
      <c r="E147" s="47"/>
      <c r="F147" s="47"/>
      <c r="G147" s="47"/>
      <c r="H147" s="47"/>
      <c r="I147" s="47"/>
      <c r="J147" s="47"/>
      <c r="K147" s="47"/>
      <c r="L147" s="47"/>
      <c r="M147" s="47"/>
      <c r="N147" s="462"/>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278"/>
    </row>
    <row r="148" spans="1:50" x14ac:dyDescent="0.25">
      <c r="A148" s="48"/>
      <c r="B148" s="47"/>
      <c r="C148" s="47"/>
      <c r="D148" s="47"/>
      <c r="E148" s="47"/>
      <c r="F148" s="47"/>
      <c r="G148" s="47"/>
      <c r="H148" s="47"/>
      <c r="I148" s="47"/>
      <c r="J148" s="47"/>
      <c r="K148" s="47"/>
      <c r="L148" s="47"/>
      <c r="M148" s="47"/>
      <c r="N148" s="462"/>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278"/>
    </row>
    <row r="149" spans="1:50" x14ac:dyDescent="0.25">
      <c r="A149" s="48"/>
      <c r="B149" s="47"/>
      <c r="C149" s="47"/>
      <c r="D149" s="47"/>
      <c r="E149" s="47"/>
      <c r="F149" s="47"/>
      <c r="G149" s="47"/>
      <c r="H149" s="47"/>
      <c r="I149" s="47"/>
      <c r="J149" s="47"/>
      <c r="K149" s="47"/>
      <c r="L149" s="47"/>
      <c r="M149" s="47"/>
      <c r="N149" s="462"/>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278"/>
    </row>
    <row r="150" spans="1:50" x14ac:dyDescent="0.25">
      <c r="A150" s="48"/>
      <c r="B150" s="47"/>
      <c r="C150" s="47"/>
      <c r="D150" s="47"/>
      <c r="E150" s="47"/>
      <c r="F150" s="47"/>
      <c r="G150" s="47"/>
      <c r="H150" s="47"/>
      <c r="I150" s="47"/>
      <c r="J150" s="47"/>
      <c r="K150" s="47"/>
      <c r="L150" s="47"/>
      <c r="M150" s="47"/>
      <c r="N150" s="462"/>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278"/>
    </row>
    <row r="151" spans="1:50" x14ac:dyDescent="0.25">
      <c r="A151" s="48"/>
      <c r="B151" s="47"/>
      <c r="C151" s="47"/>
      <c r="D151" s="47"/>
      <c r="E151" s="47"/>
      <c r="F151" s="47"/>
      <c r="G151" s="47"/>
      <c r="H151" s="47"/>
      <c r="I151" s="47"/>
      <c r="J151" s="47"/>
      <c r="K151" s="47"/>
      <c r="L151" s="47"/>
      <c r="M151" s="47"/>
      <c r="N151" s="462"/>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278"/>
    </row>
    <row r="152" spans="1:50" x14ac:dyDescent="0.25">
      <c r="A152" s="48"/>
      <c r="B152" s="47"/>
      <c r="C152" s="47"/>
      <c r="D152" s="47"/>
      <c r="E152" s="47"/>
      <c r="F152" s="47"/>
      <c r="G152" s="47"/>
      <c r="H152" s="47"/>
      <c r="I152" s="47"/>
      <c r="J152" s="47"/>
      <c r="K152" s="47"/>
      <c r="L152" s="47"/>
      <c r="M152" s="47"/>
      <c r="N152" s="462"/>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278"/>
    </row>
    <row r="153" spans="1:50" x14ac:dyDescent="0.25">
      <c r="A153" s="48"/>
      <c r="B153" s="47"/>
      <c r="C153" s="47"/>
      <c r="D153" s="47"/>
      <c r="E153" s="47"/>
      <c r="F153" s="47"/>
      <c r="G153" s="47"/>
      <c r="H153" s="47"/>
      <c r="I153" s="47"/>
      <c r="J153" s="47"/>
      <c r="K153" s="47"/>
      <c r="L153" s="47"/>
      <c r="M153" s="47"/>
      <c r="N153" s="462"/>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278"/>
    </row>
    <row r="154" spans="1:50" x14ac:dyDescent="0.25">
      <c r="A154" s="48"/>
      <c r="B154" s="47"/>
      <c r="C154" s="47"/>
      <c r="D154" s="47"/>
      <c r="E154" s="47"/>
      <c r="F154" s="47"/>
      <c r="G154" s="47"/>
      <c r="H154" s="47"/>
      <c r="I154" s="47"/>
      <c r="J154" s="47"/>
      <c r="K154" s="47"/>
      <c r="L154" s="47"/>
      <c r="M154" s="47"/>
      <c r="N154" s="462"/>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278"/>
    </row>
    <row r="155" spans="1:50" x14ac:dyDescent="0.25">
      <c r="A155" s="48"/>
      <c r="B155" s="47"/>
      <c r="C155" s="47"/>
      <c r="D155" s="47"/>
      <c r="E155" s="47"/>
      <c r="F155" s="47"/>
      <c r="G155" s="47"/>
      <c r="H155" s="47"/>
      <c r="I155" s="47"/>
      <c r="J155" s="47"/>
      <c r="K155" s="47"/>
      <c r="L155" s="47"/>
      <c r="M155" s="47"/>
      <c r="N155" s="462"/>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278"/>
    </row>
    <row r="156" spans="1:50" x14ac:dyDescent="0.25">
      <c r="A156" s="48"/>
      <c r="B156" s="47"/>
      <c r="C156" s="47"/>
      <c r="D156" s="47"/>
      <c r="E156" s="47"/>
      <c r="F156" s="47"/>
      <c r="G156" s="47"/>
      <c r="H156" s="47"/>
      <c r="I156" s="47"/>
      <c r="J156" s="47"/>
      <c r="K156" s="47"/>
      <c r="L156" s="47"/>
      <c r="M156" s="47"/>
      <c r="N156" s="462"/>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278"/>
    </row>
    <row r="157" spans="1:50" x14ac:dyDescent="0.25">
      <c r="A157" s="48"/>
      <c r="B157" s="47"/>
      <c r="C157" s="47"/>
      <c r="D157" s="47"/>
      <c r="E157" s="47"/>
      <c r="F157" s="47"/>
      <c r="G157" s="47"/>
      <c r="H157" s="47"/>
      <c r="I157" s="47"/>
      <c r="J157" s="47"/>
      <c r="K157" s="47"/>
      <c r="L157" s="47"/>
      <c r="M157" s="47"/>
      <c r="N157" s="462"/>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278"/>
    </row>
    <row r="158" spans="1:50" x14ac:dyDescent="0.25">
      <c r="A158" s="48"/>
      <c r="B158" s="47"/>
      <c r="C158" s="47"/>
      <c r="D158" s="47"/>
      <c r="E158" s="47"/>
      <c r="F158" s="47"/>
      <c r="G158" s="47"/>
      <c r="H158" s="47"/>
      <c r="I158" s="47"/>
      <c r="J158" s="47"/>
      <c r="K158" s="47"/>
      <c r="L158" s="47"/>
      <c r="M158" s="47"/>
      <c r="N158" s="462"/>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278"/>
    </row>
    <row r="159" spans="1:50" x14ac:dyDescent="0.25">
      <c r="A159" s="48"/>
      <c r="B159" s="47"/>
      <c r="C159" s="47"/>
      <c r="D159" s="47"/>
      <c r="E159" s="47"/>
      <c r="F159" s="47"/>
      <c r="G159" s="47"/>
      <c r="H159" s="47"/>
      <c r="I159" s="47"/>
      <c r="J159" s="47"/>
      <c r="K159" s="47"/>
      <c r="L159" s="47"/>
      <c r="M159" s="47"/>
      <c r="N159" s="462"/>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278"/>
    </row>
    <row r="160" spans="1:50" x14ac:dyDescent="0.25">
      <c r="A160" s="48"/>
      <c r="B160" s="47"/>
      <c r="C160" s="47"/>
      <c r="D160" s="47"/>
      <c r="E160" s="47"/>
      <c r="F160" s="47"/>
      <c r="G160" s="47"/>
      <c r="H160" s="47"/>
      <c r="I160" s="47"/>
      <c r="J160" s="47"/>
      <c r="K160" s="47"/>
      <c r="L160" s="47"/>
      <c r="M160" s="47"/>
      <c r="N160" s="462"/>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278"/>
    </row>
    <row r="161" spans="1:50" x14ac:dyDescent="0.25">
      <c r="A161" s="48"/>
      <c r="B161" s="47"/>
      <c r="C161" s="47"/>
      <c r="D161" s="47"/>
      <c r="E161" s="47"/>
      <c r="F161" s="47"/>
      <c r="G161" s="47"/>
      <c r="H161" s="47"/>
      <c r="I161" s="47"/>
      <c r="J161" s="47"/>
      <c r="K161" s="47"/>
      <c r="L161" s="47"/>
      <c r="M161" s="47"/>
      <c r="N161" s="462"/>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278"/>
    </row>
    <row r="162" spans="1:50" x14ac:dyDescent="0.25">
      <c r="A162" s="48"/>
      <c r="B162" s="47"/>
      <c r="C162" s="47"/>
      <c r="D162" s="47"/>
      <c r="E162" s="47"/>
      <c r="F162" s="47"/>
      <c r="G162" s="47"/>
      <c r="H162" s="47"/>
      <c r="I162" s="47"/>
      <c r="J162" s="47"/>
      <c r="K162" s="47"/>
      <c r="L162" s="47"/>
      <c r="M162" s="47"/>
      <c r="N162" s="462"/>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278"/>
    </row>
    <row r="163" spans="1:50" x14ac:dyDescent="0.25">
      <c r="A163" s="48"/>
      <c r="B163" s="47"/>
      <c r="C163" s="47"/>
      <c r="D163" s="47"/>
      <c r="E163" s="47"/>
      <c r="F163" s="47"/>
      <c r="G163" s="47"/>
      <c r="H163" s="47"/>
      <c r="I163" s="47"/>
      <c r="J163" s="47"/>
      <c r="K163" s="47"/>
      <c r="L163" s="47"/>
      <c r="M163" s="47"/>
      <c r="N163" s="462"/>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278"/>
    </row>
    <row r="164" spans="1:50" x14ac:dyDescent="0.25">
      <c r="A164" s="48"/>
      <c r="B164" s="47"/>
      <c r="C164" s="47"/>
      <c r="D164" s="47"/>
      <c r="E164" s="47"/>
      <c r="F164" s="47"/>
      <c r="G164" s="47"/>
      <c r="H164" s="47"/>
      <c r="I164" s="47"/>
      <c r="J164" s="47"/>
      <c r="K164" s="47"/>
      <c r="L164" s="47"/>
      <c r="M164" s="47"/>
      <c r="N164" s="462"/>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278"/>
    </row>
    <row r="165" spans="1:50" x14ac:dyDescent="0.25">
      <c r="A165" s="48"/>
      <c r="B165" s="47"/>
      <c r="C165" s="47"/>
      <c r="D165" s="47"/>
      <c r="E165" s="47"/>
      <c r="F165" s="47"/>
      <c r="G165" s="47"/>
      <c r="H165" s="47"/>
      <c r="I165" s="47"/>
      <c r="J165" s="47"/>
      <c r="K165" s="47"/>
      <c r="L165" s="47"/>
      <c r="M165" s="47"/>
      <c r="N165" s="462"/>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278"/>
    </row>
    <row r="166" spans="1:50" x14ac:dyDescent="0.25">
      <c r="A166" s="48"/>
      <c r="B166" s="47"/>
      <c r="C166" s="47"/>
      <c r="D166" s="47"/>
      <c r="E166" s="47"/>
      <c r="F166" s="47"/>
      <c r="G166" s="47"/>
      <c r="H166" s="47"/>
      <c r="I166" s="47"/>
      <c r="J166" s="47"/>
      <c r="K166" s="47"/>
      <c r="L166" s="47"/>
      <c r="M166" s="47"/>
      <c r="N166" s="462"/>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278"/>
    </row>
    <row r="167" spans="1:50" x14ac:dyDescent="0.25">
      <c r="A167" s="48"/>
      <c r="B167" s="47"/>
      <c r="C167" s="47"/>
      <c r="D167" s="47"/>
      <c r="E167" s="47"/>
      <c r="F167" s="47"/>
      <c r="G167" s="47"/>
      <c r="H167" s="47"/>
      <c r="I167" s="47"/>
      <c r="J167" s="47"/>
      <c r="K167" s="47"/>
      <c r="L167" s="47"/>
      <c r="M167" s="47"/>
      <c r="N167" s="462"/>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278"/>
    </row>
    <row r="168" spans="1:50" x14ac:dyDescent="0.25">
      <c r="A168" s="48"/>
      <c r="B168" s="47"/>
      <c r="C168" s="47"/>
      <c r="D168" s="47"/>
      <c r="E168" s="47"/>
      <c r="F168" s="47"/>
      <c r="G168" s="47"/>
      <c r="H168" s="47"/>
      <c r="I168" s="47"/>
      <c r="J168" s="47"/>
      <c r="K168" s="47"/>
      <c r="L168" s="47"/>
      <c r="M168" s="47"/>
      <c r="N168" s="462"/>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278"/>
    </row>
    <row r="169" spans="1:50" x14ac:dyDescent="0.25">
      <c r="A169" s="48"/>
      <c r="B169" s="47"/>
      <c r="C169" s="47"/>
      <c r="D169" s="47"/>
      <c r="E169" s="47"/>
      <c r="F169" s="47"/>
      <c r="G169" s="47"/>
      <c r="H169" s="47"/>
      <c r="I169" s="47"/>
      <c r="J169" s="47"/>
      <c r="K169" s="47"/>
      <c r="L169" s="47"/>
      <c r="M169" s="47"/>
      <c r="N169" s="462"/>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278"/>
    </row>
    <row r="170" spans="1:50" x14ac:dyDescent="0.25">
      <c r="A170" s="48"/>
      <c r="B170" s="47"/>
      <c r="C170" s="47"/>
      <c r="D170" s="47"/>
      <c r="E170" s="47"/>
      <c r="F170" s="47"/>
      <c r="G170" s="47"/>
      <c r="H170" s="47"/>
      <c r="I170" s="47"/>
      <c r="J170" s="47"/>
      <c r="K170" s="47"/>
      <c r="L170" s="47"/>
      <c r="M170" s="47"/>
      <c r="N170" s="462"/>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278"/>
    </row>
    <row r="171" spans="1:50" x14ac:dyDescent="0.25">
      <c r="A171" s="48"/>
      <c r="B171" s="47"/>
      <c r="C171" s="47"/>
      <c r="D171" s="47"/>
      <c r="E171" s="47"/>
      <c r="F171" s="47"/>
      <c r="G171" s="47"/>
      <c r="H171" s="47"/>
      <c r="I171" s="47"/>
      <c r="J171" s="47"/>
      <c r="K171" s="47"/>
      <c r="L171" s="47"/>
      <c r="M171" s="47"/>
      <c r="N171" s="462"/>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278"/>
    </row>
    <row r="172" spans="1:50" x14ac:dyDescent="0.25">
      <c r="A172" s="48"/>
      <c r="B172" s="47"/>
      <c r="C172" s="47"/>
      <c r="D172" s="47"/>
      <c r="E172" s="47"/>
      <c r="F172" s="47"/>
      <c r="G172" s="47"/>
      <c r="H172" s="47"/>
      <c r="I172" s="47"/>
      <c r="J172" s="47"/>
      <c r="K172" s="47"/>
      <c r="L172" s="47"/>
      <c r="M172" s="47"/>
      <c r="N172" s="462"/>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278"/>
    </row>
    <row r="173" spans="1:50" x14ac:dyDescent="0.25">
      <c r="A173" s="48"/>
      <c r="B173" s="47"/>
      <c r="C173" s="47"/>
      <c r="D173" s="47"/>
      <c r="E173" s="47"/>
      <c r="F173" s="47"/>
      <c r="G173" s="47"/>
      <c r="H173" s="47"/>
      <c r="I173" s="47"/>
      <c r="J173" s="47"/>
      <c r="K173" s="47"/>
      <c r="L173" s="47"/>
      <c r="M173" s="47"/>
      <c r="N173" s="462"/>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278"/>
    </row>
    <row r="174" spans="1:50" x14ac:dyDescent="0.25">
      <c r="A174" s="48"/>
      <c r="B174" s="47"/>
      <c r="C174" s="47"/>
      <c r="D174" s="47"/>
      <c r="E174" s="47"/>
      <c r="F174" s="47"/>
      <c r="G174" s="47"/>
      <c r="H174" s="47"/>
      <c r="I174" s="47"/>
      <c r="J174" s="47"/>
      <c r="K174" s="47"/>
      <c r="L174" s="47"/>
      <c r="M174" s="47"/>
      <c r="N174" s="462"/>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278"/>
    </row>
    <row r="175" spans="1:50" x14ac:dyDescent="0.25">
      <c r="A175" s="48"/>
      <c r="B175" s="47"/>
      <c r="C175" s="47"/>
      <c r="D175" s="47"/>
      <c r="E175" s="47"/>
      <c r="F175" s="47"/>
      <c r="G175" s="47"/>
      <c r="H175" s="47"/>
      <c r="I175" s="47"/>
      <c r="J175" s="47"/>
      <c r="K175" s="47"/>
      <c r="L175" s="47"/>
      <c r="M175" s="47"/>
      <c r="N175" s="462"/>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278"/>
    </row>
    <row r="176" spans="1:50" x14ac:dyDescent="0.25">
      <c r="A176" s="48"/>
      <c r="B176" s="47"/>
      <c r="C176" s="47"/>
      <c r="D176" s="47"/>
      <c r="E176" s="47"/>
      <c r="F176" s="47"/>
      <c r="G176" s="47"/>
      <c r="H176" s="47"/>
      <c r="I176" s="47"/>
      <c r="J176" s="47"/>
      <c r="K176" s="47"/>
      <c r="L176" s="47"/>
      <c r="M176" s="47"/>
      <c r="N176" s="462"/>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278"/>
    </row>
    <row r="177" spans="1:50" x14ac:dyDescent="0.25">
      <c r="A177" s="48"/>
      <c r="B177" s="47"/>
      <c r="C177" s="47"/>
      <c r="D177" s="47"/>
      <c r="E177" s="47"/>
      <c r="F177" s="47"/>
      <c r="G177" s="47"/>
      <c r="H177" s="47"/>
      <c r="I177" s="47"/>
      <c r="J177" s="47"/>
      <c r="K177" s="47"/>
      <c r="L177" s="47"/>
      <c r="M177" s="47"/>
      <c r="N177" s="462"/>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278"/>
    </row>
    <row r="178" spans="1:50" x14ac:dyDescent="0.25">
      <c r="A178" s="48"/>
      <c r="B178" s="47"/>
      <c r="C178" s="47"/>
      <c r="D178" s="47"/>
      <c r="E178" s="47"/>
      <c r="F178" s="47"/>
      <c r="G178" s="47"/>
      <c r="H178" s="47"/>
      <c r="I178" s="47"/>
      <c r="J178" s="47"/>
      <c r="K178" s="47"/>
      <c r="L178" s="47"/>
      <c r="M178" s="47"/>
      <c r="N178" s="462"/>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278"/>
    </row>
    <row r="179" spans="1:50" x14ac:dyDescent="0.25">
      <c r="A179" s="48"/>
      <c r="B179" s="47"/>
      <c r="C179" s="47"/>
      <c r="D179" s="47"/>
      <c r="E179" s="47"/>
      <c r="F179" s="47"/>
      <c r="G179" s="47"/>
      <c r="H179" s="47"/>
      <c r="I179" s="47"/>
      <c r="J179" s="47"/>
      <c r="K179" s="47"/>
      <c r="L179" s="47"/>
      <c r="M179" s="47"/>
      <c r="N179" s="462"/>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278"/>
    </row>
    <row r="180" spans="1:50" x14ac:dyDescent="0.25">
      <c r="A180" s="48"/>
      <c r="B180" s="47"/>
      <c r="C180" s="47"/>
      <c r="D180" s="47"/>
      <c r="E180" s="47"/>
      <c r="F180" s="47"/>
      <c r="G180" s="47"/>
      <c r="H180" s="47"/>
      <c r="I180" s="47"/>
      <c r="J180" s="47"/>
      <c r="K180" s="47"/>
      <c r="L180" s="47"/>
      <c r="M180" s="47"/>
      <c r="N180" s="462"/>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278"/>
    </row>
    <row r="181" spans="1:50" x14ac:dyDescent="0.25">
      <c r="A181" s="48"/>
      <c r="B181" s="47"/>
      <c r="C181" s="47"/>
      <c r="D181" s="47"/>
      <c r="E181" s="47"/>
      <c r="F181" s="47"/>
      <c r="G181" s="47"/>
      <c r="H181" s="47"/>
      <c r="I181" s="47"/>
      <c r="J181" s="47"/>
      <c r="K181" s="47"/>
      <c r="L181" s="47"/>
      <c r="M181" s="47"/>
      <c r="N181" s="462"/>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278"/>
    </row>
    <row r="182" spans="1:50" x14ac:dyDescent="0.25">
      <c r="A182" s="48"/>
      <c r="B182" s="47"/>
      <c r="C182" s="47"/>
      <c r="D182" s="47"/>
      <c r="E182" s="47"/>
      <c r="F182" s="47"/>
      <c r="G182" s="47"/>
      <c r="H182" s="47"/>
      <c r="I182" s="47"/>
      <c r="J182" s="47"/>
      <c r="K182" s="47"/>
      <c r="L182" s="47"/>
      <c r="M182" s="47"/>
      <c r="N182" s="462"/>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278"/>
    </row>
    <row r="183" spans="1:50" x14ac:dyDescent="0.25">
      <c r="A183" s="464"/>
      <c r="B183" s="463"/>
      <c r="C183" s="463"/>
      <c r="D183" s="463"/>
      <c r="E183" s="463"/>
      <c r="F183" s="463"/>
      <c r="G183" s="463"/>
      <c r="H183" s="463"/>
      <c r="I183" s="463"/>
      <c r="J183" s="463"/>
      <c r="K183" s="463"/>
      <c r="L183" s="463"/>
      <c r="M183" s="463"/>
      <c r="N183" s="465"/>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278"/>
    </row>
    <row r="184" spans="1:50" x14ac:dyDescent="0.25">
      <c r="A184" s="48"/>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278"/>
    </row>
    <row r="185" spans="1:50" x14ac:dyDescent="0.25">
      <c r="A185" s="48"/>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278"/>
    </row>
    <row r="186" spans="1:50" ht="15.75" thickBot="1" x14ac:dyDescent="0.3">
      <c r="A186" s="49"/>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279"/>
    </row>
    <row r="187" spans="1:50" x14ac:dyDescent="0.25">
      <c r="A187" s="473"/>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6"/>
      <c r="AD187" s="316"/>
      <c r="AE187" s="316"/>
      <c r="AF187" s="316"/>
      <c r="AG187" s="316"/>
      <c r="AH187" s="316"/>
      <c r="AI187" s="316"/>
      <c r="AJ187" s="316"/>
      <c r="AK187" s="316"/>
      <c r="AL187" s="316"/>
      <c r="AM187" s="316"/>
      <c r="AN187" s="316"/>
      <c r="AO187" s="316"/>
      <c r="AP187" s="316"/>
      <c r="AQ187" s="316"/>
      <c r="AR187" s="324"/>
    </row>
    <row r="188" spans="1:50" ht="21" x14ac:dyDescent="0.35">
      <c r="A188" s="474" t="s">
        <v>180</v>
      </c>
      <c r="B188" s="475"/>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278"/>
    </row>
    <row r="189" spans="1:50" ht="21" x14ac:dyDescent="0.35">
      <c r="A189" s="460" t="s">
        <v>200</v>
      </c>
      <c r="B189" s="475"/>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278"/>
    </row>
    <row r="190" spans="1:50" ht="21" x14ac:dyDescent="0.35">
      <c r="A190" s="474">
        <v>1</v>
      </c>
      <c r="B190" s="475" t="s">
        <v>201</v>
      </c>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78"/>
    </row>
    <row r="191" spans="1:50" x14ac:dyDescent="0.25">
      <c r="A191" s="48"/>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278"/>
    </row>
    <row r="192" spans="1:50" x14ac:dyDescent="0.25">
      <c r="A192" s="48"/>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278"/>
    </row>
    <row r="193" spans="1:44" x14ac:dyDescent="0.25">
      <c r="A193" s="48"/>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278"/>
    </row>
    <row r="194" spans="1:44" x14ac:dyDescent="0.25">
      <c r="A194" s="48"/>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278"/>
    </row>
    <row r="195" spans="1:44" x14ac:dyDescent="0.25">
      <c r="A195" s="48"/>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278"/>
    </row>
    <row r="196" spans="1:44" x14ac:dyDescent="0.25">
      <c r="A196" s="48"/>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278"/>
    </row>
    <row r="197" spans="1:44" x14ac:dyDescent="0.25">
      <c r="A197" s="48"/>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278"/>
    </row>
    <row r="198" spans="1:44" x14ac:dyDescent="0.25">
      <c r="A198" s="48"/>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278"/>
    </row>
    <row r="199" spans="1:44" x14ac:dyDescent="0.25">
      <c r="A199" s="48"/>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278"/>
    </row>
    <row r="200" spans="1:44" x14ac:dyDescent="0.25">
      <c r="A200" s="48"/>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278"/>
    </row>
    <row r="201" spans="1:44" x14ac:dyDescent="0.25">
      <c r="A201" s="48"/>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278"/>
    </row>
    <row r="202" spans="1:44" x14ac:dyDescent="0.25">
      <c r="A202" s="48"/>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278"/>
    </row>
    <row r="203" spans="1:44" ht="21" x14ac:dyDescent="0.35">
      <c r="A203" s="474">
        <v>2</v>
      </c>
      <c r="B203" s="475" t="s">
        <v>202</v>
      </c>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278"/>
    </row>
    <row r="204" spans="1:44" x14ac:dyDescent="0.25">
      <c r="A204" s="48"/>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278"/>
    </row>
    <row r="205" spans="1:44" x14ac:dyDescent="0.25">
      <c r="A205" s="48"/>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278"/>
    </row>
    <row r="206" spans="1:44" x14ac:dyDescent="0.25">
      <c r="A206" s="48"/>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278"/>
    </row>
    <row r="207" spans="1:44" x14ac:dyDescent="0.25">
      <c r="A207" s="48"/>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278"/>
    </row>
    <row r="208" spans="1:44" x14ac:dyDescent="0.25">
      <c r="A208" s="48"/>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278"/>
    </row>
    <row r="209" spans="1:44" x14ac:dyDescent="0.25">
      <c r="A209" s="48"/>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278"/>
    </row>
    <row r="210" spans="1:44" x14ac:dyDescent="0.25">
      <c r="A210" s="48"/>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278"/>
    </row>
    <row r="211" spans="1:44" x14ac:dyDescent="0.25">
      <c r="A211" s="48"/>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278"/>
    </row>
    <row r="212" spans="1:44" x14ac:dyDescent="0.25">
      <c r="A212" s="48"/>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278"/>
    </row>
    <row r="213" spans="1:44" x14ac:dyDescent="0.25">
      <c r="A213" s="48"/>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278"/>
    </row>
    <row r="214" spans="1:44" x14ac:dyDescent="0.25">
      <c r="A214" s="48"/>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278"/>
    </row>
    <row r="215" spans="1:44" x14ac:dyDescent="0.25">
      <c r="A215" s="48"/>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278"/>
    </row>
    <row r="216" spans="1:44" x14ac:dyDescent="0.25">
      <c r="A216" s="48"/>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278"/>
    </row>
    <row r="217" spans="1:44" x14ac:dyDescent="0.25">
      <c r="A217" s="48"/>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278"/>
    </row>
    <row r="218" spans="1:44" x14ac:dyDescent="0.25">
      <c r="A218" s="48"/>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278"/>
    </row>
    <row r="219" spans="1:44" x14ac:dyDescent="0.25">
      <c r="A219" s="48"/>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278"/>
    </row>
    <row r="220" spans="1:44" x14ac:dyDescent="0.25">
      <c r="A220" s="48"/>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278"/>
    </row>
    <row r="221" spans="1:44" x14ac:dyDescent="0.25">
      <c r="A221" s="48"/>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278"/>
    </row>
    <row r="222" spans="1:44" x14ac:dyDescent="0.25">
      <c r="A222" s="48"/>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278"/>
    </row>
    <row r="223" spans="1:44" x14ac:dyDescent="0.25">
      <c r="A223" s="48"/>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278"/>
    </row>
    <row r="224" spans="1:44" x14ac:dyDescent="0.25">
      <c r="A224" s="48"/>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278"/>
    </row>
    <row r="225" spans="1:44" x14ac:dyDescent="0.25">
      <c r="A225" s="48"/>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278"/>
    </row>
    <row r="226" spans="1:44" x14ac:dyDescent="0.25">
      <c r="A226" s="48"/>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278"/>
    </row>
    <row r="227" spans="1:44" x14ac:dyDescent="0.25">
      <c r="A227" s="48"/>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278"/>
    </row>
    <row r="228" spans="1:44" x14ac:dyDescent="0.25">
      <c r="A228" s="48"/>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278"/>
    </row>
    <row r="229" spans="1:44" x14ac:dyDescent="0.25">
      <c r="A229" s="48"/>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278"/>
    </row>
    <row r="230" spans="1:44" x14ac:dyDescent="0.25">
      <c r="A230" s="48"/>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278"/>
    </row>
    <row r="231" spans="1:44" x14ac:dyDescent="0.25">
      <c r="A231" s="48"/>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278"/>
    </row>
    <row r="232" spans="1:44" x14ac:dyDescent="0.25">
      <c r="A232" s="48"/>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278"/>
    </row>
    <row r="233" spans="1:44" x14ac:dyDescent="0.25">
      <c r="A233" s="48"/>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278"/>
    </row>
    <row r="234" spans="1:44" x14ac:dyDescent="0.25">
      <c r="A234" s="48"/>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78"/>
    </row>
    <row r="235" spans="1:44" x14ac:dyDescent="0.25">
      <c r="A235" s="48"/>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278"/>
    </row>
    <row r="236" spans="1:44" x14ac:dyDescent="0.25">
      <c r="A236" s="48"/>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278"/>
    </row>
    <row r="237" spans="1:44" x14ac:dyDescent="0.25">
      <c r="A237" s="48"/>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278"/>
    </row>
    <row r="238" spans="1:44" x14ac:dyDescent="0.25">
      <c r="A238" s="48"/>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278"/>
    </row>
    <row r="239" spans="1:44" x14ac:dyDescent="0.25">
      <c r="A239" s="48"/>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278"/>
    </row>
    <row r="240" spans="1:44" x14ac:dyDescent="0.25">
      <c r="A240" s="48"/>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278"/>
    </row>
    <row r="241" spans="1:44" ht="21" x14ac:dyDescent="0.35">
      <c r="A241" s="474">
        <v>3</v>
      </c>
      <c r="B241" s="475" t="s">
        <v>203</v>
      </c>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278"/>
    </row>
    <row r="242" spans="1:44" ht="21" x14ac:dyDescent="0.35">
      <c r="A242" s="48"/>
      <c r="B242" s="475" t="s">
        <v>204</v>
      </c>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278"/>
    </row>
    <row r="243" spans="1:44" x14ac:dyDescent="0.25">
      <c r="A243" s="48"/>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278"/>
    </row>
    <row r="244" spans="1:44" x14ac:dyDescent="0.25">
      <c r="A244" s="48"/>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278"/>
    </row>
    <row r="245" spans="1:44" x14ac:dyDescent="0.25">
      <c r="A245" s="48"/>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278"/>
    </row>
    <row r="246" spans="1:44" x14ac:dyDescent="0.25">
      <c r="A246" s="48"/>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278"/>
    </row>
    <row r="247" spans="1:44" x14ac:dyDescent="0.25">
      <c r="A247" s="48"/>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278"/>
    </row>
    <row r="248" spans="1:44" x14ac:dyDescent="0.25">
      <c r="A248" s="48"/>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278"/>
    </row>
    <row r="249" spans="1:44" x14ac:dyDescent="0.25">
      <c r="A249" s="48"/>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278"/>
    </row>
    <row r="250" spans="1:44" x14ac:dyDescent="0.25">
      <c r="A250" s="48"/>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278"/>
    </row>
    <row r="251" spans="1:44" x14ac:dyDescent="0.25">
      <c r="A251" s="48"/>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278"/>
    </row>
    <row r="252" spans="1:44" x14ac:dyDescent="0.25">
      <c r="A252" s="48"/>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278"/>
    </row>
    <row r="253" spans="1:44" x14ac:dyDescent="0.25">
      <c r="A253" s="48"/>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278"/>
    </row>
    <row r="254" spans="1:44" x14ac:dyDescent="0.25">
      <c r="A254" s="48"/>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278"/>
    </row>
    <row r="255" spans="1:44" x14ac:dyDescent="0.25">
      <c r="A255" s="48"/>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278"/>
    </row>
    <row r="256" spans="1:44" x14ac:dyDescent="0.25">
      <c r="A256" s="48"/>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278"/>
    </row>
    <row r="257" spans="1:44" x14ac:dyDescent="0.25">
      <c r="A257" s="48"/>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278"/>
    </row>
    <row r="258" spans="1:44" x14ac:dyDescent="0.25">
      <c r="A258" s="48"/>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278"/>
    </row>
    <row r="259" spans="1:44" x14ac:dyDescent="0.25">
      <c r="A259" s="48"/>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278"/>
    </row>
    <row r="260" spans="1:44" x14ac:dyDescent="0.25">
      <c r="A260" s="48"/>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278"/>
    </row>
    <row r="261" spans="1:44" x14ac:dyDescent="0.25">
      <c r="A261" s="48"/>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278"/>
    </row>
    <row r="262" spans="1:44" x14ac:dyDescent="0.25">
      <c r="A262" s="48"/>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278"/>
    </row>
    <row r="263" spans="1:44" x14ac:dyDescent="0.25">
      <c r="A263" s="48"/>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278"/>
    </row>
    <row r="264" spans="1:44" x14ac:dyDescent="0.25">
      <c r="A264" s="48"/>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278"/>
    </row>
    <row r="265" spans="1:44" x14ac:dyDescent="0.25">
      <c r="A265" s="48"/>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78"/>
    </row>
    <row r="266" spans="1:44" x14ac:dyDescent="0.25">
      <c r="A266" s="48"/>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278"/>
    </row>
    <row r="267" spans="1:44" x14ac:dyDescent="0.25">
      <c r="A267" s="48"/>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278"/>
    </row>
    <row r="268" spans="1:44" x14ac:dyDescent="0.25">
      <c r="A268" s="48"/>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278"/>
    </row>
    <row r="269" spans="1:44" x14ac:dyDescent="0.25">
      <c r="A269" s="48"/>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278"/>
    </row>
    <row r="270" spans="1:44" x14ac:dyDescent="0.25">
      <c r="A270" s="48"/>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278"/>
    </row>
    <row r="271" spans="1:44" x14ac:dyDescent="0.25">
      <c r="A271" s="48"/>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278"/>
    </row>
    <row r="272" spans="1:44" x14ac:dyDescent="0.25">
      <c r="A272" s="48"/>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278"/>
    </row>
    <row r="273" spans="1:44" x14ac:dyDescent="0.25">
      <c r="A273" s="48"/>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278"/>
    </row>
    <row r="274" spans="1:44" x14ac:dyDescent="0.25">
      <c r="A274" s="48"/>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278"/>
    </row>
    <row r="275" spans="1:44" x14ac:dyDescent="0.25">
      <c r="A275" s="48"/>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278"/>
    </row>
    <row r="276" spans="1:44" x14ac:dyDescent="0.25">
      <c r="A276" s="48"/>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278"/>
    </row>
    <row r="277" spans="1:44" x14ac:dyDescent="0.25">
      <c r="A277" s="48"/>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278"/>
    </row>
    <row r="278" spans="1:44" x14ac:dyDescent="0.25">
      <c r="A278" s="48"/>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278"/>
    </row>
    <row r="279" spans="1:44" ht="21" x14ac:dyDescent="0.35">
      <c r="A279" s="474">
        <v>4</v>
      </c>
      <c r="B279" s="475" t="s">
        <v>205</v>
      </c>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278"/>
    </row>
    <row r="280" spans="1:44" ht="21" x14ac:dyDescent="0.35">
      <c r="A280" s="48"/>
      <c r="B280" s="475" t="s">
        <v>206</v>
      </c>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278"/>
    </row>
    <row r="281" spans="1:44" x14ac:dyDescent="0.25">
      <c r="A281" s="48"/>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278"/>
    </row>
    <row r="282" spans="1:44" x14ac:dyDescent="0.25">
      <c r="A282" s="48"/>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278"/>
    </row>
    <row r="283" spans="1:44" x14ac:dyDescent="0.25">
      <c r="A283" s="48"/>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278"/>
    </row>
    <row r="284" spans="1:44" x14ac:dyDescent="0.25">
      <c r="A284" s="48"/>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278"/>
    </row>
    <row r="285" spans="1:44" x14ac:dyDescent="0.25">
      <c r="A285" s="48"/>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278"/>
    </row>
    <row r="286" spans="1:44" x14ac:dyDescent="0.25">
      <c r="A286" s="48"/>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278"/>
    </row>
    <row r="287" spans="1:44" x14ac:dyDescent="0.25">
      <c r="A287" s="48"/>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278"/>
    </row>
    <row r="288" spans="1:44" x14ac:dyDescent="0.25">
      <c r="A288" s="48"/>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278"/>
    </row>
    <row r="289" spans="1:44" x14ac:dyDescent="0.25">
      <c r="A289" s="48"/>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278"/>
    </row>
    <row r="290" spans="1:44" x14ac:dyDescent="0.25">
      <c r="A290" s="48"/>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278"/>
    </row>
    <row r="291" spans="1:44" x14ac:dyDescent="0.25">
      <c r="A291" s="48"/>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278"/>
    </row>
    <row r="292" spans="1:44" x14ac:dyDescent="0.25">
      <c r="A292" s="48"/>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278"/>
    </row>
    <row r="293" spans="1:44" x14ac:dyDescent="0.25">
      <c r="A293" s="48"/>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278"/>
    </row>
    <row r="294" spans="1:44" x14ac:dyDescent="0.25">
      <c r="A294" s="48"/>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278"/>
    </row>
    <row r="295" spans="1:44" x14ac:dyDescent="0.25">
      <c r="A295" s="48"/>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278"/>
    </row>
    <row r="296" spans="1:44" x14ac:dyDescent="0.25">
      <c r="A296" s="48"/>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78"/>
    </row>
    <row r="297" spans="1:44" x14ac:dyDescent="0.25">
      <c r="A297" s="48"/>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278"/>
    </row>
    <row r="298" spans="1:44" x14ac:dyDescent="0.25">
      <c r="A298" s="48"/>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278"/>
    </row>
    <row r="299" spans="1:44" x14ac:dyDescent="0.25">
      <c r="A299" s="48"/>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278"/>
    </row>
    <row r="300" spans="1:44" x14ac:dyDescent="0.25">
      <c r="A300" s="48"/>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278"/>
    </row>
    <row r="301" spans="1:44" x14ac:dyDescent="0.25">
      <c r="A301" s="48"/>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278"/>
    </row>
    <row r="302" spans="1:44" x14ac:dyDescent="0.25">
      <c r="A302" s="48"/>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278"/>
    </row>
    <row r="303" spans="1:44" x14ac:dyDescent="0.25">
      <c r="A303" s="48"/>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278"/>
    </row>
    <row r="304" spans="1:44" x14ac:dyDescent="0.25">
      <c r="A304" s="48"/>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278"/>
    </row>
    <row r="305" spans="1:44" x14ac:dyDescent="0.25">
      <c r="A305" s="48"/>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278"/>
    </row>
    <row r="306" spans="1:44" ht="21" x14ac:dyDescent="0.35">
      <c r="A306" s="474">
        <v>5</v>
      </c>
      <c r="B306" s="475" t="s">
        <v>207</v>
      </c>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278"/>
    </row>
    <row r="307" spans="1:44" ht="21" x14ac:dyDescent="0.35">
      <c r="A307" s="48"/>
      <c r="B307" s="475" t="s">
        <v>208</v>
      </c>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278"/>
    </row>
    <row r="308" spans="1:44" x14ac:dyDescent="0.25">
      <c r="A308" s="48"/>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278"/>
    </row>
    <row r="309" spans="1:44" x14ac:dyDescent="0.25">
      <c r="A309" s="48"/>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278"/>
    </row>
    <row r="310" spans="1:44" x14ac:dyDescent="0.25">
      <c r="A310" s="48"/>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278"/>
    </row>
    <row r="311" spans="1:44" x14ac:dyDescent="0.25">
      <c r="A311" s="48"/>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278"/>
    </row>
    <row r="312" spans="1:44" x14ac:dyDescent="0.25">
      <c r="A312" s="48"/>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278"/>
    </row>
    <row r="313" spans="1:44" x14ac:dyDescent="0.25">
      <c r="A313" s="48"/>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278"/>
    </row>
    <row r="314" spans="1:44" x14ac:dyDescent="0.25">
      <c r="A314" s="48"/>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278"/>
    </row>
    <row r="315" spans="1:44" x14ac:dyDescent="0.25">
      <c r="A315" s="48"/>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278"/>
    </row>
    <row r="316" spans="1:44" x14ac:dyDescent="0.25">
      <c r="A316" s="48"/>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278"/>
    </row>
    <row r="317" spans="1:44" x14ac:dyDescent="0.25">
      <c r="A317" s="48"/>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278"/>
    </row>
    <row r="318" spans="1:44" x14ac:dyDescent="0.25">
      <c r="A318" s="48"/>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278"/>
    </row>
    <row r="319" spans="1:44" x14ac:dyDescent="0.25">
      <c r="A319" s="48"/>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278"/>
    </row>
    <row r="320" spans="1:44" x14ac:dyDescent="0.25">
      <c r="A320" s="48"/>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278"/>
    </row>
    <row r="321" spans="1:44" x14ac:dyDescent="0.25">
      <c r="A321" s="48"/>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278"/>
    </row>
    <row r="322" spans="1:44" x14ac:dyDescent="0.25">
      <c r="A322" s="48"/>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278"/>
    </row>
    <row r="323" spans="1:44" x14ac:dyDescent="0.25">
      <c r="A323" s="48"/>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278"/>
    </row>
    <row r="324" spans="1:44" x14ac:dyDescent="0.25">
      <c r="A324" s="48"/>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278"/>
    </row>
    <row r="325" spans="1:44" x14ac:dyDescent="0.25">
      <c r="A325" s="48"/>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278"/>
    </row>
    <row r="326" spans="1:44" x14ac:dyDescent="0.25">
      <c r="A326" s="48"/>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278"/>
    </row>
    <row r="327" spans="1:44" x14ac:dyDescent="0.25">
      <c r="A327" s="48"/>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78"/>
    </row>
    <row r="328" spans="1:44" x14ac:dyDescent="0.25">
      <c r="A328" s="48"/>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278"/>
    </row>
    <row r="329" spans="1:44" x14ac:dyDescent="0.25">
      <c r="A329" s="48"/>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278"/>
    </row>
    <row r="330" spans="1:44" x14ac:dyDescent="0.25">
      <c r="A330" s="48"/>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278"/>
    </row>
    <row r="331" spans="1:44" x14ac:dyDescent="0.25">
      <c r="A331" s="48"/>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278"/>
    </row>
    <row r="332" spans="1:44" x14ac:dyDescent="0.25">
      <c r="A332" s="48"/>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278"/>
    </row>
    <row r="333" spans="1:44" x14ac:dyDescent="0.25">
      <c r="A333" s="48"/>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278"/>
    </row>
    <row r="334" spans="1:44" x14ac:dyDescent="0.25">
      <c r="A334" s="48"/>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278"/>
    </row>
    <row r="335" spans="1:44" x14ac:dyDescent="0.25">
      <c r="A335" s="48"/>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278"/>
    </row>
    <row r="336" spans="1:44" x14ac:dyDescent="0.25">
      <c r="A336" s="48"/>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278"/>
    </row>
    <row r="337" spans="1:44" x14ac:dyDescent="0.25">
      <c r="A337" s="48"/>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278"/>
    </row>
    <row r="338" spans="1:44" x14ac:dyDescent="0.25">
      <c r="A338" s="48"/>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278"/>
    </row>
    <row r="339" spans="1:44" x14ac:dyDescent="0.25">
      <c r="A339" s="48"/>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278"/>
    </row>
    <row r="340" spans="1:44" ht="15.75" thickBot="1" x14ac:dyDescent="0.3">
      <c r="A340" s="49"/>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279"/>
    </row>
  </sheetData>
  <sheetProtection selectLockedCells="1" selectUn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X276"/>
  <sheetViews>
    <sheetView zoomScale="70" zoomScaleNormal="70" workbookViewId="0">
      <selection activeCell="D28" sqref="D28"/>
    </sheetView>
  </sheetViews>
  <sheetFormatPr defaultRowHeight="15" x14ac:dyDescent="0.25"/>
  <cols>
    <col min="1" max="1" width="12.85546875" customWidth="1"/>
    <col min="2" max="2" width="20.28515625" customWidth="1"/>
    <col min="3" max="3" width="15.42578125" customWidth="1"/>
    <col min="4" max="4" width="13.7109375" customWidth="1"/>
    <col min="5" max="5" width="17.85546875" customWidth="1"/>
    <col min="6" max="9" width="15" customWidth="1"/>
    <col min="10" max="10" width="12.7109375" customWidth="1"/>
    <col min="11" max="11" width="13" customWidth="1"/>
    <col min="12" max="12" width="13.5703125" customWidth="1"/>
    <col min="13" max="13" width="10.140625" customWidth="1"/>
    <col min="14" max="14" width="19.28515625" customWidth="1"/>
    <col min="15" max="15" width="17.42578125" customWidth="1"/>
    <col min="16" max="16" width="11.28515625" customWidth="1"/>
    <col min="17" max="17" width="10.85546875" customWidth="1"/>
    <col min="18" max="18" width="10" customWidth="1"/>
    <col min="19" max="19" width="13.42578125" customWidth="1"/>
    <col min="20" max="20" width="10.28515625" customWidth="1"/>
    <col min="21" max="21" width="13.7109375"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8" max="38" width="9.140625" customWidth="1"/>
    <col min="39" max="39" width="10.5703125" customWidth="1"/>
    <col min="40"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61" width="9.140625" customWidth="1"/>
    <col min="162" max="169" width="9.140625" hidden="1" customWidth="1"/>
    <col min="17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315" t="s">
        <v>39</v>
      </c>
      <c r="C1" s="426" t="s">
        <v>152</v>
      </c>
      <c r="D1" s="316"/>
      <c r="E1" s="316"/>
      <c r="F1" s="324"/>
    </row>
    <row r="2" spans="2:258" ht="21.75" thickBot="1" x14ac:dyDescent="0.4">
      <c r="B2" s="382" t="s">
        <v>40</v>
      </c>
      <c r="C2" s="47"/>
      <c r="D2" s="314" t="s">
        <v>73</v>
      </c>
      <c r="E2" s="47"/>
      <c r="F2" s="278"/>
      <c r="H2" s="403" t="s">
        <v>149</v>
      </c>
      <c r="I2" s="316"/>
      <c r="J2" s="316"/>
      <c r="K2" s="316"/>
      <c r="L2" s="324"/>
      <c r="N2" s="392" t="s">
        <v>64</v>
      </c>
      <c r="O2" s="393"/>
      <c r="P2" s="393"/>
      <c r="Q2" s="393"/>
      <c r="R2" s="393"/>
      <c r="S2" s="393"/>
      <c r="T2" s="393"/>
      <c r="U2" s="393"/>
      <c r="V2" s="393"/>
      <c r="W2" s="394"/>
    </row>
    <row r="3" spans="2:258" ht="18.75" x14ac:dyDescent="0.3">
      <c r="B3" s="382" t="s">
        <v>41</v>
      </c>
      <c r="C3" s="314" t="str">
        <f>IF('DATA ENTRY'!B9="mm",'DATA ENTRY'!B10/25.4,'DATA ENTRY'!B10)</f>
        <v>ENTER WIDTH</v>
      </c>
      <c r="D3" s="287" t="e">
        <f>IF('DATA ENTRY'!B12="ACTUAL",'MODEL INSTRUCTIONS'!C3,'MODEL INSTRUCTIONS'!C3-0.5)</f>
        <v>#VALUE!</v>
      </c>
      <c r="E3" s="47"/>
      <c r="F3" s="278"/>
      <c r="H3" s="280" t="s">
        <v>160</v>
      </c>
      <c r="I3" s="47"/>
      <c r="J3" s="47"/>
      <c r="K3" s="47"/>
      <c r="L3" s="278"/>
      <c r="N3" s="48"/>
      <c r="O3" s="47"/>
      <c r="P3" s="47"/>
      <c r="Q3" s="47"/>
      <c r="R3" s="47"/>
      <c r="S3" s="47"/>
      <c r="T3" s="47"/>
      <c r="U3" s="47"/>
      <c r="V3" s="47"/>
      <c r="W3" s="278"/>
    </row>
    <row r="4" spans="2:258" ht="18.75" x14ac:dyDescent="0.3">
      <c r="B4" s="382" t="s">
        <v>42</v>
      </c>
      <c r="C4" s="383" t="str">
        <f>IF('DATA ENTRY'!B9="mm",'DATA ENTRY'!B11/25.4,'DATA ENTRY'!B11)</f>
        <v>ENTER HEIGHT</v>
      </c>
      <c r="D4" s="287" t="e">
        <f>IF('DATA ENTRY'!B12="ACTUAL",'MODEL INSTRUCTIONS'!C4,'MODEL INSTRUCTIONS'!C4-0.5)</f>
        <v>#VALUE!</v>
      </c>
      <c r="E4" s="47"/>
      <c r="F4" s="278"/>
      <c r="H4" s="280" t="s">
        <v>150</v>
      </c>
      <c r="I4" s="47"/>
      <c r="J4" s="47"/>
      <c r="K4" s="47"/>
      <c r="L4" s="278"/>
      <c r="N4" s="48"/>
      <c r="O4" s="282" t="str">
        <f>C1&amp;"_MODEL"</f>
        <v>XXXXX_MODEL</v>
      </c>
      <c r="P4" s="282" t="s">
        <v>65</v>
      </c>
      <c r="Q4" s="282"/>
      <c r="R4" s="282"/>
      <c r="S4" s="282"/>
      <c r="T4" s="47"/>
      <c r="U4" s="47"/>
      <c r="V4" s="287" t="s">
        <v>116</v>
      </c>
      <c r="W4" s="278"/>
    </row>
    <row r="5" spans="2:258" ht="18.75" x14ac:dyDescent="0.3">
      <c r="B5" s="382" t="s">
        <v>43</v>
      </c>
      <c r="C5" s="383" t="str">
        <f>'DATA ENTRY'!B13</f>
        <v>ENTER AIR VOLUME</v>
      </c>
      <c r="D5" s="383"/>
      <c r="E5" s="383"/>
      <c r="F5" s="384"/>
      <c r="G5" s="277"/>
      <c r="H5" s="280" t="s">
        <v>151</v>
      </c>
      <c r="I5" s="47"/>
      <c r="J5" s="47"/>
      <c r="K5" s="47"/>
      <c r="L5" s="278"/>
      <c r="N5" s="280" t="s">
        <v>93</v>
      </c>
      <c r="O5" s="282" t="str">
        <f>C1&amp;"_FA"</f>
        <v>XXXXX_FA</v>
      </c>
      <c r="P5" s="283" t="e">
        <f>D62</f>
        <v>#VALUE!</v>
      </c>
      <c r="Q5" s="282" t="s">
        <v>45</v>
      </c>
      <c r="R5" s="47"/>
      <c r="S5" s="47"/>
      <c r="T5" s="47"/>
      <c r="U5" s="47"/>
      <c r="V5" s="282" t="str">
        <f>C1&amp;"_W"</f>
        <v>XXXXX_W</v>
      </c>
      <c r="W5" s="286" t="e">
        <f>D3</f>
        <v>#VALUE!</v>
      </c>
    </row>
    <row r="6" spans="2:258" ht="18.75" x14ac:dyDescent="0.3">
      <c r="B6" s="382" t="s">
        <v>44</v>
      </c>
      <c r="C6" s="383" t="str">
        <f>'DATA ENTRY'!B14</f>
        <v>SELECT AIR DIRECTION</v>
      </c>
      <c r="D6" s="383"/>
      <c r="E6" s="383"/>
      <c r="F6" s="384"/>
      <c r="G6" s="277"/>
      <c r="H6" s="280" t="s">
        <v>154</v>
      </c>
      <c r="I6" s="47"/>
      <c r="J6" s="47"/>
      <c r="K6" s="47"/>
      <c r="L6" s="278"/>
      <c r="N6" s="280" t="s">
        <v>70</v>
      </c>
      <c r="O6" s="282" t="str">
        <f>C1&amp;"_FA%"</f>
        <v>XXXXX_FA%</v>
      </c>
      <c r="P6" s="284" t="e">
        <f>D64</f>
        <v>#VALUE!</v>
      </c>
      <c r="Q6" s="282" t="s">
        <v>16</v>
      </c>
      <c r="R6" s="47"/>
      <c r="S6" s="47"/>
      <c r="T6" s="47"/>
      <c r="U6" s="47"/>
      <c r="V6" s="282" t="str">
        <f>C1&amp;"_H"</f>
        <v>XXXXX_H</v>
      </c>
      <c r="W6" s="286" t="e">
        <f>D4</f>
        <v>#VALUE!</v>
      </c>
    </row>
    <row r="7" spans="2:258" ht="23.25" x14ac:dyDescent="0.35">
      <c r="B7" s="382"/>
      <c r="C7" s="383"/>
      <c r="D7" s="383"/>
      <c r="E7" s="383"/>
      <c r="F7" s="384"/>
      <c r="G7" s="277"/>
      <c r="H7" s="280" t="s">
        <v>166</v>
      </c>
      <c r="I7" s="47"/>
      <c r="J7" s="47"/>
      <c r="K7" s="47"/>
      <c r="L7" s="278"/>
      <c r="N7" s="280" t="s">
        <v>96</v>
      </c>
      <c r="O7" s="282" t="str">
        <f>C1&amp;"_VEL"</f>
        <v>XXXXX_VEL</v>
      </c>
      <c r="P7" s="284" t="e">
        <f>D66</f>
        <v>#VALUE!</v>
      </c>
      <c r="Q7" s="282" t="s">
        <v>0</v>
      </c>
      <c r="R7" s="47"/>
      <c r="S7" s="47"/>
      <c r="T7" s="47"/>
      <c r="U7" s="47"/>
      <c r="V7" s="282" t="str">
        <f>C1&amp;"_SW"</f>
        <v>XXXXX_SW</v>
      </c>
      <c r="W7" s="286" t="e">
        <f>C8</f>
        <v>#VALUE!</v>
      </c>
      <c r="Y7" s="82" t="s">
        <v>176</v>
      </c>
    </row>
    <row r="8" spans="2:258" ht="18.75" x14ac:dyDescent="0.3">
      <c r="B8" s="382" t="s">
        <v>74</v>
      </c>
      <c r="C8" s="428" t="e">
        <f>CEILING(D3/120,1)</f>
        <v>#VALUE!</v>
      </c>
      <c r="D8" s="383"/>
      <c r="E8" s="383" t="s">
        <v>75</v>
      </c>
      <c r="F8" s="429" t="e">
        <f>CEILING(IF(C9&lt;=72,D4/120,D4/72),1)</f>
        <v>#VALUE!</v>
      </c>
      <c r="G8" s="277"/>
      <c r="H8" s="280" t="s">
        <v>153</v>
      </c>
      <c r="I8" s="47"/>
      <c r="J8" s="47"/>
      <c r="K8" s="47"/>
      <c r="L8" s="278"/>
      <c r="N8" s="280" t="s">
        <v>94</v>
      </c>
      <c r="O8" s="282" t="str">
        <f>C1&amp;"_Intake"</f>
        <v>XXXXX_Intake</v>
      </c>
      <c r="P8" s="285" t="e">
        <f>D67</f>
        <v>#VALUE!</v>
      </c>
      <c r="Q8" s="282" t="s">
        <v>99</v>
      </c>
      <c r="R8" s="47"/>
      <c r="S8" s="47"/>
      <c r="T8" s="47"/>
      <c r="U8" s="47"/>
      <c r="V8" s="282" t="str">
        <f>C1&amp;"_SH"</f>
        <v>XXXXX_SH</v>
      </c>
      <c r="W8" s="286" t="e">
        <f>F8</f>
        <v>#VALUE!</v>
      </c>
    </row>
    <row r="9" spans="2:258" ht="18.75" x14ac:dyDescent="0.3">
      <c r="B9" s="382" t="s">
        <v>72</v>
      </c>
      <c r="C9" s="383" t="e">
        <f>D3/C8</f>
        <v>#VALUE!</v>
      </c>
      <c r="D9" s="383"/>
      <c r="E9" s="383" t="s">
        <v>63</v>
      </c>
      <c r="F9" s="425" t="e">
        <f>D4/F8</f>
        <v>#VALUE!</v>
      </c>
      <c r="G9" s="277"/>
      <c r="H9" s="280" t="s">
        <v>155</v>
      </c>
      <c r="I9" s="47"/>
      <c r="J9" s="47"/>
      <c r="K9" s="47"/>
      <c r="L9" s="278"/>
      <c r="N9" s="280" t="s">
        <v>95</v>
      </c>
      <c r="O9" s="282" t="str">
        <f>C1&amp;"_Exhaust"</f>
        <v>XXXXX_Exhaust</v>
      </c>
      <c r="P9" s="285" t="e">
        <f>D68</f>
        <v>#VALUE!</v>
      </c>
      <c r="Q9" s="282" t="s">
        <v>99</v>
      </c>
      <c r="R9" s="47"/>
      <c r="S9" s="47"/>
      <c r="T9" s="47"/>
      <c r="U9" s="47"/>
      <c r="V9" s="47"/>
      <c r="W9" s="278"/>
    </row>
    <row r="10" spans="2:258" ht="19.5" thickBot="1" x14ac:dyDescent="0.35">
      <c r="B10" s="382"/>
      <c r="C10" s="383"/>
      <c r="D10" s="383"/>
      <c r="E10" s="383"/>
      <c r="F10" s="384"/>
      <c r="G10" s="277"/>
      <c r="H10" s="281" t="s">
        <v>156</v>
      </c>
      <c r="I10" s="50"/>
      <c r="J10" s="50"/>
      <c r="K10" s="50"/>
      <c r="L10" s="279"/>
      <c r="N10" s="280" t="s">
        <v>100</v>
      </c>
      <c r="O10" s="282" t="str">
        <f>C1&amp;"_SEC"</f>
        <v>XXXXX_SEC</v>
      </c>
      <c r="P10" s="282" t="e">
        <f>C11</f>
        <v>#VALUE!</v>
      </c>
      <c r="Q10" s="282"/>
      <c r="R10" s="47"/>
      <c r="S10" s="47"/>
      <c r="T10" s="47"/>
      <c r="U10" s="47"/>
      <c r="V10" s="47"/>
      <c r="W10" s="278"/>
    </row>
    <row r="11" spans="2:258" ht="18.75" x14ac:dyDescent="0.3">
      <c r="B11" s="382" t="s">
        <v>76</v>
      </c>
      <c r="C11" s="383" t="e">
        <f>C8*F8</f>
        <v>#VALUE!</v>
      </c>
      <c r="D11" s="383"/>
      <c r="E11" s="383" t="s">
        <v>164</v>
      </c>
      <c r="F11" s="427">
        <v>9</v>
      </c>
      <c r="G11" s="277"/>
      <c r="N11" s="280" t="s">
        <v>97</v>
      </c>
      <c r="O11" s="282" t="str">
        <f>C1&amp;"_SECW"</f>
        <v>XXXXX_SECW</v>
      </c>
      <c r="P11" s="282" t="e">
        <f>AO55</f>
        <v>#VALUE!</v>
      </c>
      <c r="Q11" s="282" t="s">
        <v>86</v>
      </c>
      <c r="R11" s="47"/>
      <c r="S11" s="47"/>
      <c r="T11" s="47"/>
      <c r="U11" s="47"/>
      <c r="V11" s="47"/>
      <c r="W11" s="278"/>
    </row>
    <row r="12" spans="2:258" ht="19.5" thickBot="1" x14ac:dyDescent="0.35">
      <c r="B12" s="48"/>
      <c r="C12" s="47"/>
      <c r="D12" s="47"/>
      <c r="E12" s="383" t="s">
        <v>165</v>
      </c>
      <c r="F12" s="427">
        <v>9.5</v>
      </c>
      <c r="N12" s="281" t="s">
        <v>98</v>
      </c>
      <c r="O12" s="395" t="str">
        <f>C1&amp;"_TW"</f>
        <v>XXXXX_TW</v>
      </c>
      <c r="P12" s="395" t="e">
        <f>AO56</f>
        <v>#VALUE!</v>
      </c>
      <c r="Q12" s="395" t="s">
        <v>86</v>
      </c>
      <c r="R12" s="50"/>
      <c r="S12" s="50"/>
      <c r="T12" s="50"/>
      <c r="U12" s="50"/>
      <c r="V12" s="50"/>
      <c r="W12" s="279"/>
    </row>
    <row r="13" spans="2:258" ht="15.75" thickBot="1" x14ac:dyDescent="0.3">
      <c r="B13" s="49"/>
      <c r="C13" s="50"/>
      <c r="D13" s="50"/>
      <c r="E13" s="50"/>
      <c r="F13" s="279"/>
    </row>
    <row r="14" spans="2:258" ht="27.75" thickTop="1" thickBot="1" x14ac:dyDescent="0.45">
      <c r="B14" s="93" t="s">
        <v>62</v>
      </c>
      <c r="C14" s="94"/>
      <c r="D14" s="883" t="s">
        <v>124</v>
      </c>
      <c r="E14" s="884"/>
      <c r="F14" s="884"/>
      <c r="G14" s="884"/>
      <c r="H14" s="884"/>
      <c r="I14" s="884"/>
      <c r="J14" s="884"/>
      <c r="K14" s="884"/>
      <c r="L14" s="884"/>
      <c r="M14" s="884"/>
      <c r="N14" s="884"/>
      <c r="O14" s="884"/>
      <c r="P14" s="884"/>
      <c r="Q14" s="884"/>
      <c r="R14" s="884"/>
      <c r="S14" s="884"/>
      <c r="T14" s="884"/>
      <c r="U14" s="884"/>
      <c r="V14" s="884"/>
      <c r="W14" s="885"/>
      <c r="X14" s="94"/>
      <c r="Y14" s="95"/>
      <c r="AT14" s="886" t="s">
        <v>8</v>
      </c>
      <c r="AU14" s="887"/>
      <c r="AV14" s="887"/>
      <c r="AW14" s="887"/>
      <c r="AX14" s="887"/>
      <c r="AY14" s="887"/>
      <c r="AZ14" s="887"/>
      <c r="BA14" s="887"/>
      <c r="BB14" s="887"/>
      <c r="BC14" s="887"/>
      <c r="BD14" s="887"/>
      <c r="BE14" s="887"/>
      <c r="BF14" s="887"/>
      <c r="BG14" s="887"/>
      <c r="BH14" s="887"/>
      <c r="BI14" s="887"/>
      <c r="BJ14" s="887"/>
      <c r="BK14" s="887"/>
      <c r="BL14" s="887"/>
      <c r="BM14" s="887"/>
      <c r="BN14" s="887"/>
      <c r="BO14" s="887"/>
      <c r="BP14" s="887"/>
      <c r="BQ14" s="887"/>
      <c r="BR14" s="887"/>
      <c r="BS14" s="887"/>
      <c r="BT14" s="887"/>
      <c r="BU14" s="887"/>
      <c r="BV14" s="887"/>
      <c r="BW14" s="887"/>
      <c r="BX14" s="887"/>
      <c r="BY14" s="887"/>
      <c r="BZ14" s="887"/>
      <c r="CA14" s="887"/>
      <c r="CB14" s="887"/>
      <c r="CC14" s="887"/>
      <c r="CD14" s="887"/>
      <c r="CE14" s="887"/>
      <c r="CF14" s="887"/>
      <c r="CG14" s="887"/>
      <c r="CH14" s="887"/>
      <c r="CI14" s="887"/>
      <c r="CJ14" s="887"/>
      <c r="CK14" s="887"/>
      <c r="CL14" s="887"/>
      <c r="CM14" s="887"/>
      <c r="CN14" s="887"/>
      <c r="CO14" s="887"/>
      <c r="CP14" s="887"/>
      <c r="CQ14" s="887"/>
      <c r="CR14" s="887"/>
      <c r="CS14" s="887"/>
      <c r="CT14" s="887"/>
      <c r="CU14" s="887"/>
      <c r="CV14" s="887"/>
      <c r="CW14" s="887"/>
      <c r="CX14" s="887"/>
      <c r="CY14" s="887"/>
      <c r="CZ14" s="887"/>
      <c r="DA14" s="887"/>
      <c r="DB14" s="887"/>
      <c r="DC14" s="887"/>
      <c r="DD14" s="887"/>
      <c r="DE14" s="887"/>
      <c r="DF14" s="887"/>
      <c r="DG14" s="887"/>
      <c r="DH14" s="887"/>
      <c r="DI14" s="887"/>
      <c r="DJ14" s="887"/>
      <c r="DK14" s="887"/>
      <c r="DL14" s="887"/>
      <c r="DM14" s="887"/>
      <c r="DN14" s="887"/>
      <c r="DO14" s="887"/>
      <c r="DP14" s="887"/>
      <c r="DQ14" s="887"/>
      <c r="DR14" s="887"/>
      <c r="DS14" s="887"/>
      <c r="DT14" s="887"/>
      <c r="DU14" s="887"/>
      <c r="DV14" s="887"/>
      <c r="DW14" s="887"/>
      <c r="DX14" s="887"/>
      <c r="DY14" s="887"/>
      <c r="DZ14" s="887"/>
      <c r="EA14" s="887"/>
      <c r="EB14" s="887"/>
      <c r="EC14" s="887"/>
      <c r="ED14" s="887"/>
      <c r="EE14" s="887"/>
      <c r="EF14" s="887"/>
      <c r="EG14" s="887"/>
      <c r="EH14" s="887"/>
      <c r="EI14" s="887"/>
      <c r="EJ14" s="887"/>
      <c r="EK14" s="887"/>
      <c r="EL14" s="887"/>
      <c r="EM14" s="887"/>
      <c r="EN14" s="887"/>
      <c r="EO14" s="887"/>
      <c r="EP14" s="887"/>
      <c r="EQ14" s="887"/>
      <c r="ER14" s="887"/>
      <c r="ES14" s="887"/>
      <c r="ET14" s="887"/>
      <c r="EU14" s="887"/>
      <c r="EV14" s="887"/>
      <c r="EW14" s="887"/>
      <c r="EX14" s="887"/>
      <c r="EY14" s="887"/>
      <c r="EZ14" s="887"/>
      <c r="FA14" s="887"/>
      <c r="FB14" s="887"/>
      <c r="FC14" s="887"/>
      <c r="FD14" s="887"/>
      <c r="FE14" s="887"/>
      <c r="FF14" s="887"/>
      <c r="FG14" s="887"/>
      <c r="FH14" s="887"/>
      <c r="FI14" s="887"/>
      <c r="FJ14" s="887"/>
      <c r="FK14" s="887"/>
      <c r="FL14" s="887"/>
      <c r="FM14" s="887"/>
      <c r="FN14" s="887"/>
      <c r="FO14" s="887"/>
      <c r="FP14" s="887"/>
      <c r="FQ14" s="887"/>
      <c r="FR14" s="887"/>
      <c r="FS14" s="887"/>
      <c r="FT14" s="887"/>
      <c r="FU14" s="887"/>
      <c r="FV14" s="887"/>
      <c r="FW14" s="887"/>
      <c r="FX14" s="887"/>
      <c r="FY14" s="887"/>
      <c r="FZ14" s="887"/>
      <c r="GA14" s="887"/>
      <c r="GB14" s="887"/>
      <c r="GC14" s="887"/>
      <c r="GD14" s="887"/>
      <c r="GE14" s="887"/>
      <c r="GF14" s="887"/>
      <c r="GG14" s="887"/>
      <c r="GH14" s="887"/>
      <c r="GI14" s="887"/>
      <c r="GJ14" s="887"/>
      <c r="GK14" s="887"/>
      <c r="GL14" s="887"/>
      <c r="GM14" s="887"/>
      <c r="GN14" s="887"/>
      <c r="GO14" s="887"/>
      <c r="GP14" s="887"/>
      <c r="GQ14" s="887"/>
      <c r="GR14" s="887"/>
      <c r="GS14" s="887"/>
      <c r="GT14" s="887"/>
      <c r="GU14" s="887"/>
      <c r="GV14" s="887"/>
      <c r="GW14" s="887"/>
      <c r="GX14" s="887"/>
      <c r="GY14" s="887"/>
      <c r="GZ14" s="887"/>
      <c r="HA14" s="887"/>
      <c r="HB14" s="887"/>
      <c r="HC14" s="887"/>
      <c r="HD14" s="887"/>
      <c r="HE14" s="887"/>
      <c r="HF14" s="887"/>
      <c r="HG14" s="887"/>
      <c r="HH14" s="887"/>
      <c r="HI14" s="887"/>
      <c r="HJ14" s="887"/>
      <c r="HK14" s="887"/>
      <c r="HL14" s="887"/>
      <c r="HM14" s="887"/>
      <c r="HN14" s="887"/>
      <c r="HO14" s="887"/>
      <c r="HP14" s="887"/>
      <c r="HQ14" s="887"/>
      <c r="HR14" s="887"/>
      <c r="HS14" s="887"/>
      <c r="HT14" s="887"/>
      <c r="HU14" s="887"/>
      <c r="HV14" s="887"/>
      <c r="HW14" s="887"/>
      <c r="HX14" s="887"/>
      <c r="HY14" s="887"/>
      <c r="HZ14" s="887"/>
      <c r="IA14" s="887"/>
      <c r="IB14" s="887"/>
      <c r="IC14" s="887"/>
      <c r="ID14" s="887"/>
      <c r="IE14" s="887"/>
      <c r="IF14" s="887"/>
      <c r="IG14" s="887"/>
      <c r="IH14" s="887"/>
      <c r="II14" s="887"/>
      <c r="IJ14" s="887"/>
      <c r="IK14" s="887"/>
      <c r="IL14" s="887"/>
      <c r="IM14" s="887"/>
      <c r="IN14" s="887"/>
      <c r="IO14" s="887"/>
      <c r="IP14" s="887"/>
      <c r="IQ14" s="887"/>
      <c r="IR14" s="887"/>
      <c r="IS14" s="887"/>
      <c r="IT14" s="887"/>
      <c r="IU14" s="887"/>
      <c r="IV14" s="887"/>
      <c r="IW14" s="887"/>
      <c r="IX14" s="888"/>
    </row>
    <row r="15" spans="2:258" ht="15.75" customHeight="1" thickBot="1" x14ac:dyDescent="0.3">
      <c r="B15" s="66"/>
      <c r="C15" s="68"/>
      <c r="D15" s="404">
        <f>F11</f>
        <v>9</v>
      </c>
      <c r="E15" s="68">
        <v>12</v>
      </c>
      <c r="F15" s="68">
        <f>E15+6</f>
        <v>18</v>
      </c>
      <c r="G15" s="68">
        <f>F15+6</f>
        <v>24</v>
      </c>
      <c r="H15" s="68">
        <f t="shared" ref="H15" si="0">G15+6</f>
        <v>30</v>
      </c>
      <c r="I15" s="68">
        <f>H15+6</f>
        <v>36</v>
      </c>
      <c r="J15" s="68">
        <v>42</v>
      </c>
      <c r="K15" s="68">
        <v>48</v>
      </c>
      <c r="L15" s="68">
        <v>54</v>
      </c>
      <c r="M15" s="68">
        <v>60</v>
      </c>
      <c r="N15" s="68">
        <v>66</v>
      </c>
      <c r="O15" s="68">
        <v>72</v>
      </c>
      <c r="P15" s="68">
        <v>78</v>
      </c>
      <c r="Q15" s="68">
        <v>84</v>
      </c>
      <c r="R15" s="68">
        <v>90</v>
      </c>
      <c r="S15" s="68">
        <v>96</v>
      </c>
      <c r="T15" s="68">
        <v>102</v>
      </c>
      <c r="U15" s="68">
        <v>108</v>
      </c>
      <c r="V15" s="68">
        <v>114</v>
      </c>
      <c r="W15" s="68">
        <v>120</v>
      </c>
      <c r="X15" s="64"/>
      <c r="Y15" s="65"/>
      <c r="AT15" s="4"/>
      <c r="AU15" s="5"/>
      <c r="AV15" s="5"/>
      <c r="AW15" s="5"/>
      <c r="AX15" s="5"/>
      <c r="AY15" s="5"/>
      <c r="AZ15" s="5"/>
      <c r="BA15" s="5"/>
      <c r="BB15" s="5"/>
      <c r="BC15" s="5"/>
      <c r="BD15" s="5"/>
      <c r="BE15" s="5"/>
      <c r="BF15" s="5"/>
      <c r="BG15" s="5"/>
      <c r="BH15" s="6"/>
      <c r="BI15" s="7"/>
      <c r="BJ15" s="7"/>
      <c r="BK15" s="7"/>
      <c r="BL15" s="7"/>
      <c r="BM15" s="7"/>
      <c r="BN15" s="7"/>
      <c r="BO15" s="7"/>
      <c r="BP15" s="7"/>
      <c r="BQ15" s="7"/>
      <c r="BR15" s="6"/>
      <c r="BS15" s="7"/>
      <c r="BT15" s="7"/>
      <c r="BU15" s="7"/>
      <c r="BV15" s="7"/>
      <c r="BW15" s="7"/>
      <c r="BX15" s="7"/>
      <c r="BY15" s="7"/>
      <c r="BZ15" s="7"/>
      <c r="CA15" s="7"/>
      <c r="CB15" s="6"/>
      <c r="CC15" s="7"/>
      <c r="CD15" s="7"/>
      <c r="CE15" s="7"/>
      <c r="CF15" s="7"/>
      <c r="CG15" s="7"/>
      <c r="CH15" s="7"/>
      <c r="CI15" s="7"/>
      <c r="CJ15" s="7"/>
      <c r="CK15" s="7"/>
      <c r="CL15" s="6"/>
      <c r="CM15" s="7"/>
      <c r="CN15" s="7"/>
      <c r="CO15" s="7"/>
      <c r="CP15" s="7"/>
      <c r="CQ15" s="7"/>
      <c r="CR15" s="7"/>
      <c r="CS15" s="7"/>
      <c r="CT15" s="7"/>
      <c r="CU15" s="7"/>
      <c r="CV15" s="6"/>
      <c r="CW15" s="7"/>
      <c r="CX15" s="7"/>
      <c r="CY15" s="7"/>
      <c r="CZ15" s="7"/>
      <c r="DA15" s="7"/>
      <c r="DB15" s="7"/>
      <c r="DC15" s="7"/>
      <c r="DD15" s="7"/>
      <c r="DE15" s="7"/>
      <c r="DF15" s="6"/>
      <c r="DG15" s="7"/>
      <c r="DH15" s="7"/>
      <c r="DI15" s="7"/>
      <c r="DJ15" s="7"/>
      <c r="DK15" s="7"/>
      <c r="DL15" s="7"/>
      <c r="DM15" s="7"/>
      <c r="DN15" s="7"/>
      <c r="DO15" s="7"/>
      <c r="DP15" s="6"/>
      <c r="DQ15" s="7"/>
      <c r="DR15" s="7"/>
      <c r="DS15" s="7"/>
      <c r="DT15" s="7"/>
      <c r="DU15" s="7"/>
      <c r="DV15" s="7"/>
      <c r="DW15" s="7"/>
      <c r="DX15" s="7"/>
      <c r="DY15" s="7"/>
      <c r="DZ15" s="6"/>
      <c r="EA15" s="7"/>
      <c r="EB15" s="7"/>
      <c r="EC15" s="7"/>
      <c r="ED15" s="7"/>
      <c r="EE15" s="7"/>
      <c r="EF15" s="7"/>
      <c r="EG15" s="7"/>
      <c r="EH15" s="7"/>
      <c r="EI15" s="7"/>
      <c r="EJ15" s="6"/>
      <c r="EK15" s="7"/>
      <c r="EL15" s="7"/>
      <c r="EM15" s="7"/>
      <c r="EN15" s="7"/>
      <c r="EO15" s="7"/>
      <c r="EP15" s="7"/>
      <c r="EQ15" s="7"/>
      <c r="ER15" s="7"/>
      <c r="ES15" s="7"/>
      <c r="ET15" s="6"/>
      <c r="EU15" s="7"/>
      <c r="EV15" s="7"/>
      <c r="EW15" s="7"/>
      <c r="EX15" s="7"/>
      <c r="EY15" s="7"/>
      <c r="EZ15" s="7"/>
      <c r="FA15" s="7"/>
      <c r="FB15" s="7"/>
      <c r="FC15" s="7"/>
      <c r="FD15" s="6"/>
      <c r="FE15" s="7"/>
      <c r="FF15" s="7"/>
      <c r="FG15" s="7"/>
      <c r="FH15" s="7"/>
      <c r="FI15" s="7"/>
      <c r="FJ15" s="7"/>
      <c r="FK15" s="7"/>
      <c r="FL15" s="7"/>
      <c r="FM15" s="7"/>
      <c r="FN15" s="6"/>
      <c r="FO15" s="7"/>
      <c r="FP15" s="7"/>
      <c r="FQ15" s="7"/>
      <c r="FR15" s="7"/>
      <c r="FS15" s="7"/>
      <c r="FT15" s="7"/>
      <c r="FU15" s="7"/>
      <c r="FV15" s="7"/>
      <c r="FW15" s="7"/>
      <c r="FX15" s="6"/>
      <c r="FY15" s="7"/>
      <c r="FZ15" s="7"/>
      <c r="GA15" s="7"/>
      <c r="GB15" s="7"/>
      <c r="GC15" s="7"/>
      <c r="GD15" s="7"/>
      <c r="GE15" s="7"/>
      <c r="GF15" s="7"/>
      <c r="GG15" s="7"/>
      <c r="GH15" s="6"/>
      <c r="GI15" s="7"/>
      <c r="GJ15" s="7"/>
      <c r="GK15" s="7"/>
      <c r="GL15" s="7"/>
      <c r="GM15" s="7"/>
      <c r="GN15" s="7"/>
      <c r="GO15" s="7"/>
      <c r="GP15" s="7"/>
      <c r="GQ15" s="7"/>
      <c r="GR15" s="6"/>
      <c r="GS15" s="7"/>
      <c r="GT15" s="7"/>
      <c r="GU15" s="7"/>
      <c r="GV15" s="7"/>
      <c r="GW15" s="7"/>
      <c r="GX15" s="7"/>
      <c r="GY15" s="7"/>
      <c r="GZ15" s="7"/>
      <c r="HA15" s="7"/>
      <c r="HB15" s="6"/>
      <c r="HC15" s="7"/>
      <c r="HD15" s="7"/>
      <c r="HE15" s="7"/>
      <c r="HF15" s="7"/>
      <c r="HG15" s="7"/>
      <c r="HH15" s="7"/>
      <c r="HI15" s="7"/>
      <c r="HJ15" s="7"/>
      <c r="HK15" s="7"/>
      <c r="HL15" s="6"/>
      <c r="HM15" s="7"/>
      <c r="HN15" s="7"/>
      <c r="HO15" s="7"/>
      <c r="HP15" s="7"/>
      <c r="HQ15" s="7"/>
      <c r="HR15" s="7"/>
      <c r="HS15" s="7"/>
      <c r="HT15" s="7"/>
      <c r="HU15" s="7"/>
      <c r="HV15" s="6"/>
      <c r="HW15" s="7"/>
      <c r="HX15" s="7"/>
      <c r="HY15" s="7"/>
      <c r="HZ15" s="7"/>
      <c r="IA15" s="7"/>
      <c r="IB15" s="7"/>
      <c r="IC15" s="7"/>
      <c r="ID15" s="7"/>
      <c r="IE15" s="7"/>
      <c r="IF15" s="6"/>
      <c r="IG15" s="7"/>
      <c r="IH15" s="7"/>
      <c r="II15" s="7"/>
      <c r="IJ15" s="7"/>
      <c r="IK15" s="7"/>
      <c r="IL15" s="7"/>
      <c r="IM15" s="7"/>
      <c r="IN15" s="5"/>
      <c r="IO15" s="5"/>
      <c r="IP15" s="5"/>
      <c r="IQ15" s="5"/>
      <c r="IR15" s="5"/>
      <c r="IS15" s="5"/>
      <c r="IT15" s="5"/>
      <c r="IU15" s="5"/>
      <c r="IV15" s="5"/>
      <c r="IW15" s="5"/>
      <c r="IX15" s="8"/>
    </row>
    <row r="16" spans="2:258" ht="16.5" thickBot="1" x14ac:dyDescent="0.3">
      <c r="B16" s="107" t="s">
        <v>123</v>
      </c>
      <c r="C16" s="226">
        <v>1</v>
      </c>
      <c r="D16" s="396">
        <v>2</v>
      </c>
      <c r="E16" s="397">
        <v>3</v>
      </c>
      <c r="F16" s="397">
        <v>4</v>
      </c>
      <c r="G16" s="397">
        <v>5</v>
      </c>
      <c r="H16" s="397">
        <v>6</v>
      </c>
      <c r="I16" s="397">
        <v>7</v>
      </c>
      <c r="J16" s="397">
        <v>8</v>
      </c>
      <c r="K16" s="397">
        <v>9</v>
      </c>
      <c r="L16" s="397">
        <v>10</v>
      </c>
      <c r="M16" s="397">
        <v>11</v>
      </c>
      <c r="N16" s="397">
        <v>12</v>
      </c>
      <c r="O16" s="397">
        <v>13</v>
      </c>
      <c r="P16" s="397">
        <v>14</v>
      </c>
      <c r="Q16" s="397">
        <v>15</v>
      </c>
      <c r="R16" s="397">
        <v>16</v>
      </c>
      <c r="S16" s="397">
        <v>17</v>
      </c>
      <c r="T16" s="397">
        <v>18</v>
      </c>
      <c r="U16" s="397">
        <v>19</v>
      </c>
      <c r="V16" s="397">
        <v>20</v>
      </c>
      <c r="W16" s="398">
        <v>21</v>
      </c>
      <c r="X16" s="149"/>
      <c r="Y16" s="65"/>
      <c r="AT16" s="4"/>
      <c r="AU16" s="889" t="s">
        <v>17</v>
      </c>
      <c r="AV16" s="890"/>
      <c r="AW16" s="895" t="s">
        <v>18</v>
      </c>
      <c r="AX16" s="896"/>
      <c r="AY16" s="896"/>
      <c r="AZ16" s="896"/>
      <c r="BA16" s="896"/>
      <c r="BB16" s="896"/>
      <c r="BC16" s="896"/>
      <c r="BD16" s="896"/>
      <c r="BE16" s="896"/>
      <c r="BF16" s="896"/>
      <c r="BG16" s="896"/>
      <c r="BH16" s="896"/>
      <c r="BI16" s="896"/>
      <c r="BJ16" s="896"/>
      <c r="BK16" s="896"/>
      <c r="BL16" s="896"/>
      <c r="BM16" s="896"/>
      <c r="BN16" s="896"/>
      <c r="BO16" s="896"/>
      <c r="BP16" s="896"/>
      <c r="BQ16" s="896"/>
      <c r="BR16" s="896"/>
      <c r="BS16" s="896"/>
      <c r="BT16" s="896"/>
      <c r="BU16" s="896"/>
      <c r="BV16" s="896"/>
      <c r="BW16" s="896"/>
      <c r="BX16" s="896"/>
      <c r="BY16" s="896"/>
      <c r="BZ16" s="896"/>
      <c r="CA16" s="896"/>
      <c r="CB16" s="896"/>
      <c r="CC16" s="896"/>
      <c r="CD16" s="896"/>
      <c r="CE16" s="896"/>
      <c r="CF16" s="896"/>
      <c r="CG16" s="896"/>
      <c r="CH16" s="896"/>
      <c r="CI16" s="896"/>
      <c r="CJ16" s="896"/>
      <c r="CK16" s="896"/>
      <c r="CL16" s="896"/>
      <c r="CM16" s="896"/>
      <c r="CN16" s="896"/>
      <c r="CO16" s="896"/>
      <c r="CP16" s="896"/>
      <c r="CQ16" s="896"/>
      <c r="CR16" s="896"/>
      <c r="CS16" s="896"/>
      <c r="CT16" s="896"/>
      <c r="CU16" s="896"/>
      <c r="CV16" s="896"/>
      <c r="CW16" s="896"/>
      <c r="CX16" s="896"/>
      <c r="CY16" s="896"/>
      <c r="CZ16" s="896"/>
      <c r="DA16" s="896"/>
      <c r="DB16" s="896"/>
      <c r="DC16" s="896"/>
      <c r="DD16" s="896"/>
      <c r="DE16" s="896"/>
      <c r="DF16" s="896"/>
      <c r="DG16" s="896"/>
      <c r="DH16" s="896"/>
      <c r="DI16" s="896"/>
      <c r="DJ16" s="896"/>
      <c r="DK16" s="896"/>
      <c r="DL16" s="896"/>
      <c r="DM16" s="896"/>
      <c r="DN16" s="896"/>
      <c r="DO16" s="896"/>
      <c r="DP16" s="896"/>
      <c r="DQ16" s="896"/>
      <c r="DR16" s="896"/>
      <c r="DS16" s="896"/>
      <c r="DT16" s="896"/>
      <c r="DU16" s="896"/>
      <c r="DV16" s="896"/>
      <c r="DW16" s="896"/>
      <c r="DX16" s="896"/>
      <c r="DY16" s="896"/>
      <c r="DZ16" s="896"/>
      <c r="EA16" s="896"/>
      <c r="EB16" s="896"/>
      <c r="EC16" s="896"/>
      <c r="ED16" s="896"/>
      <c r="EE16" s="896"/>
      <c r="EF16" s="896"/>
      <c r="EG16" s="896"/>
      <c r="EH16" s="896"/>
      <c r="EI16" s="896"/>
      <c r="EJ16" s="896"/>
      <c r="EK16" s="896"/>
      <c r="EL16" s="896"/>
      <c r="EM16" s="896"/>
      <c r="EN16" s="896"/>
      <c r="EO16" s="896"/>
      <c r="EP16" s="896"/>
      <c r="EQ16" s="896"/>
      <c r="ER16" s="896"/>
      <c r="ES16" s="896"/>
      <c r="ET16" s="896"/>
      <c r="EU16" s="896"/>
      <c r="EV16" s="896"/>
      <c r="EW16" s="896"/>
      <c r="EX16" s="896"/>
      <c r="EY16" s="896"/>
      <c r="EZ16" s="896"/>
      <c r="FA16" s="896"/>
      <c r="FB16" s="896"/>
      <c r="FC16" s="896"/>
      <c r="FD16" s="896"/>
      <c r="FE16" s="896"/>
      <c r="FF16" s="896"/>
      <c r="FG16" s="896"/>
      <c r="FH16" s="896"/>
      <c r="FI16" s="896"/>
      <c r="FJ16" s="896"/>
      <c r="FK16" s="896"/>
      <c r="FL16" s="896"/>
      <c r="FM16" s="896"/>
      <c r="FN16" s="896"/>
      <c r="FO16" s="896"/>
      <c r="FP16" s="896"/>
      <c r="FQ16" s="896"/>
      <c r="FR16" s="896"/>
      <c r="FS16" s="896"/>
      <c r="FT16" s="896"/>
      <c r="FU16" s="896"/>
      <c r="FV16" s="896"/>
      <c r="FW16" s="896"/>
      <c r="FX16" s="896"/>
      <c r="FY16" s="896"/>
      <c r="FZ16" s="896"/>
      <c r="GA16" s="896"/>
      <c r="GB16" s="896"/>
      <c r="GC16" s="896"/>
      <c r="GD16" s="896"/>
      <c r="GE16" s="896"/>
      <c r="GF16" s="896"/>
      <c r="GG16" s="896"/>
      <c r="GH16" s="896"/>
      <c r="GI16" s="896"/>
      <c r="GJ16" s="896"/>
      <c r="GK16" s="896"/>
      <c r="GL16" s="896"/>
      <c r="GM16" s="896"/>
      <c r="GN16" s="896"/>
      <c r="GO16" s="896"/>
      <c r="GP16" s="896"/>
      <c r="GQ16" s="896"/>
      <c r="GR16" s="896"/>
      <c r="GS16" s="896"/>
      <c r="GT16" s="896"/>
      <c r="GU16" s="896"/>
      <c r="GV16" s="896"/>
      <c r="GW16" s="896"/>
      <c r="GX16" s="896"/>
      <c r="GY16" s="896"/>
      <c r="GZ16" s="896"/>
      <c r="HA16" s="896"/>
      <c r="HB16" s="896"/>
      <c r="HC16" s="896"/>
      <c r="HD16" s="896"/>
      <c r="HE16" s="896"/>
      <c r="HF16" s="896"/>
      <c r="HG16" s="896"/>
      <c r="HH16" s="896"/>
      <c r="HI16" s="896"/>
      <c r="HJ16" s="896"/>
      <c r="HK16" s="896"/>
      <c r="HL16" s="896"/>
      <c r="HM16" s="896"/>
      <c r="HN16" s="896"/>
      <c r="HO16" s="896"/>
      <c r="HP16" s="896"/>
      <c r="HQ16" s="896"/>
      <c r="HR16" s="896"/>
      <c r="HS16" s="896"/>
      <c r="HT16" s="896"/>
      <c r="HU16" s="896"/>
      <c r="HV16" s="896"/>
      <c r="HW16" s="896"/>
      <c r="HX16" s="896"/>
      <c r="HY16" s="896"/>
      <c r="HZ16" s="896"/>
      <c r="IA16" s="896"/>
      <c r="IB16" s="896"/>
      <c r="IC16" s="896"/>
      <c r="ID16" s="896"/>
      <c r="IE16" s="896"/>
      <c r="IF16" s="896"/>
      <c r="IG16" s="896"/>
      <c r="IH16" s="208"/>
      <c r="II16" s="208"/>
      <c r="IJ16" s="208"/>
      <c r="IK16" s="208"/>
      <c r="IL16" s="208"/>
      <c r="IM16" s="208"/>
      <c r="IN16" s="198"/>
      <c r="IO16" s="200"/>
      <c r="IP16" s="5"/>
      <c r="IQ16" s="9"/>
      <c r="IR16" s="9"/>
      <c r="IS16" s="9"/>
      <c r="IT16" s="9"/>
      <c r="IU16" s="9"/>
      <c r="IV16" s="9"/>
      <c r="IW16" s="9"/>
      <c r="IX16" s="8"/>
    </row>
    <row r="17" spans="2:258" ht="15" customHeight="1" thickBot="1" x14ac:dyDescent="0.3">
      <c r="B17" s="405">
        <f>F12</f>
        <v>9.5</v>
      </c>
      <c r="C17" s="227">
        <v>2</v>
      </c>
      <c r="D17" s="99">
        <f t="shared" ref="D17:D36" si="1">AX20/((D$15*B17)/144)</f>
        <v>0.20160233918128653</v>
      </c>
      <c r="E17" s="100">
        <f t="shared" ref="E17:E36" si="2">BH20/((E$15*B17)/144)</f>
        <v>0.23367543859649126</v>
      </c>
      <c r="F17" s="100">
        <f t="shared" ref="F17:F36" si="3">BR20/((F$15*$B17)/144)</f>
        <v>0.2657485380116959</v>
      </c>
      <c r="G17" s="100">
        <f t="shared" ref="G17:G36" si="4">CB20/((G$15*$B17)/144)</f>
        <v>0.28178508771929828</v>
      </c>
      <c r="H17" s="100">
        <f t="shared" ref="H17:H36" si="5">CL20/((H$15*$B17)/144)</f>
        <v>0.29140701754385967</v>
      </c>
      <c r="I17" s="100">
        <f t="shared" ref="I17:I36" si="6">CV20/((I$15*$B17)/144)</f>
        <v>0.29782163742690054</v>
      </c>
      <c r="J17" s="100">
        <f t="shared" ref="J17:J36" si="7">DF20/((J$15*$B17)/144)</f>
        <v>0.30240350877192979</v>
      </c>
      <c r="K17" s="100">
        <f t="shared" ref="K17:K36" si="8">DP20/((K$15*$B17)/144)</f>
        <v>0.30583991228070179</v>
      </c>
      <c r="L17" s="100">
        <f t="shared" ref="L17:L36" si="9">DZ20/((L$15*$B17)/144)</f>
        <v>0.30240350877192979</v>
      </c>
      <c r="M17" s="100">
        <f t="shared" ref="M17:M36" si="10">EJ20/((M$15*$B17)/144)</f>
        <v>0.30515263157894734</v>
      </c>
      <c r="N17" s="100">
        <f t="shared" ref="N17:N36" si="11">ET20/((N$15*$B17)/144)</f>
        <v>0.30740191387559807</v>
      </c>
      <c r="O17" s="100">
        <f t="shared" ref="O17:O36" si="12">FD20/((O$15*$B17)/144)</f>
        <v>0.308703581871345</v>
      </c>
      <c r="P17" s="100">
        <f t="shared" ref="P17:P28" si="13">FN20/((P$15*$B17)/144)</f>
        <v>0.3103336707152497</v>
      </c>
      <c r="Q17" s="100">
        <f t="shared" ref="Q17:Q28" si="14">FX20/((Q$15*$B17)/144)</f>
        <v>0.31173088972431073</v>
      </c>
      <c r="R17" s="100">
        <f t="shared" ref="R17:R28" si="15">GH20/((R$15*$B17)/144)</f>
        <v>0.31294181286549705</v>
      </c>
      <c r="S17" s="100">
        <f t="shared" ref="S17:S28" si="16">GR20/((S$15*$B17)/144)</f>
        <v>0.3140013706140351</v>
      </c>
      <c r="T17" s="100">
        <f t="shared" ref="T17:T28" si="17">HB20/((T$15*$B17)/144)</f>
        <v>0.31493627450980388</v>
      </c>
      <c r="U17" s="100">
        <f t="shared" ref="U17:U28" si="18">HL20/((U$15*$B17)/144)</f>
        <v>0.30965813840155942</v>
      </c>
      <c r="V17" s="100">
        <f t="shared" ref="V17:V28" si="19">HV20/((V$15*$B17)/144)</f>
        <v>0.31072322253000917</v>
      </c>
      <c r="W17" s="100">
        <f t="shared" ref="W17:W28" si="20">IF20/((W$15*$B17)/144)</f>
        <v>0.31168179824561404</v>
      </c>
      <c r="X17" s="96"/>
      <c r="Y17" s="97"/>
      <c r="Z17" s="83"/>
      <c r="AA17" s="83"/>
      <c r="AT17" s="4"/>
      <c r="AU17" s="891"/>
      <c r="AV17" s="892"/>
      <c r="AW17" s="897"/>
      <c r="AX17" s="898"/>
      <c r="AY17" s="898"/>
      <c r="AZ17" s="898"/>
      <c r="BA17" s="898"/>
      <c r="BB17" s="898"/>
      <c r="BC17" s="898"/>
      <c r="BD17" s="898"/>
      <c r="BE17" s="898"/>
      <c r="BF17" s="898"/>
      <c r="BG17" s="898"/>
      <c r="BH17" s="898"/>
      <c r="BI17" s="898"/>
      <c r="BJ17" s="898"/>
      <c r="BK17" s="898"/>
      <c r="BL17" s="898"/>
      <c r="BM17" s="898"/>
      <c r="BN17" s="898"/>
      <c r="BO17" s="898"/>
      <c r="BP17" s="898"/>
      <c r="BQ17" s="898"/>
      <c r="BR17" s="898"/>
      <c r="BS17" s="898"/>
      <c r="BT17" s="898"/>
      <c r="BU17" s="898"/>
      <c r="BV17" s="898"/>
      <c r="BW17" s="898"/>
      <c r="BX17" s="898"/>
      <c r="BY17" s="898"/>
      <c r="BZ17" s="898"/>
      <c r="CA17" s="898"/>
      <c r="CB17" s="898"/>
      <c r="CC17" s="898"/>
      <c r="CD17" s="898"/>
      <c r="CE17" s="898"/>
      <c r="CF17" s="898"/>
      <c r="CG17" s="898"/>
      <c r="CH17" s="898"/>
      <c r="CI17" s="898"/>
      <c r="CJ17" s="898"/>
      <c r="CK17" s="898"/>
      <c r="CL17" s="898"/>
      <c r="CM17" s="898"/>
      <c r="CN17" s="898"/>
      <c r="CO17" s="898"/>
      <c r="CP17" s="898"/>
      <c r="CQ17" s="898"/>
      <c r="CR17" s="898"/>
      <c r="CS17" s="898"/>
      <c r="CT17" s="898"/>
      <c r="CU17" s="898"/>
      <c r="CV17" s="898"/>
      <c r="CW17" s="898"/>
      <c r="CX17" s="898"/>
      <c r="CY17" s="898"/>
      <c r="CZ17" s="898"/>
      <c r="DA17" s="898"/>
      <c r="DB17" s="898"/>
      <c r="DC17" s="898"/>
      <c r="DD17" s="898"/>
      <c r="DE17" s="898"/>
      <c r="DF17" s="898"/>
      <c r="DG17" s="898"/>
      <c r="DH17" s="898"/>
      <c r="DI17" s="898"/>
      <c r="DJ17" s="898"/>
      <c r="DK17" s="898"/>
      <c r="DL17" s="898"/>
      <c r="DM17" s="898"/>
      <c r="DN17" s="898"/>
      <c r="DO17" s="898"/>
      <c r="DP17" s="898"/>
      <c r="DQ17" s="898"/>
      <c r="DR17" s="898"/>
      <c r="DS17" s="898"/>
      <c r="DT17" s="898"/>
      <c r="DU17" s="898"/>
      <c r="DV17" s="898"/>
      <c r="DW17" s="898"/>
      <c r="DX17" s="898"/>
      <c r="DY17" s="898"/>
      <c r="DZ17" s="898"/>
      <c r="EA17" s="898"/>
      <c r="EB17" s="898"/>
      <c r="EC17" s="898"/>
      <c r="ED17" s="898"/>
      <c r="EE17" s="898"/>
      <c r="EF17" s="898"/>
      <c r="EG17" s="898"/>
      <c r="EH17" s="898"/>
      <c r="EI17" s="898"/>
      <c r="EJ17" s="898"/>
      <c r="EK17" s="898"/>
      <c r="EL17" s="898"/>
      <c r="EM17" s="898"/>
      <c r="EN17" s="898"/>
      <c r="EO17" s="898"/>
      <c r="EP17" s="898"/>
      <c r="EQ17" s="898"/>
      <c r="ER17" s="898"/>
      <c r="ES17" s="898"/>
      <c r="ET17" s="898"/>
      <c r="EU17" s="898"/>
      <c r="EV17" s="898"/>
      <c r="EW17" s="898"/>
      <c r="EX17" s="898"/>
      <c r="EY17" s="898"/>
      <c r="EZ17" s="898"/>
      <c r="FA17" s="898"/>
      <c r="FB17" s="898"/>
      <c r="FC17" s="898"/>
      <c r="FD17" s="898"/>
      <c r="FE17" s="898"/>
      <c r="FF17" s="898"/>
      <c r="FG17" s="898"/>
      <c r="FH17" s="898"/>
      <c r="FI17" s="898"/>
      <c r="FJ17" s="898"/>
      <c r="FK17" s="898"/>
      <c r="FL17" s="898"/>
      <c r="FM17" s="898"/>
      <c r="FN17" s="898"/>
      <c r="FO17" s="898"/>
      <c r="FP17" s="898"/>
      <c r="FQ17" s="898"/>
      <c r="FR17" s="898"/>
      <c r="FS17" s="898"/>
      <c r="FT17" s="898"/>
      <c r="FU17" s="898"/>
      <c r="FV17" s="898"/>
      <c r="FW17" s="898"/>
      <c r="FX17" s="898"/>
      <c r="FY17" s="898"/>
      <c r="FZ17" s="898"/>
      <c r="GA17" s="898"/>
      <c r="GB17" s="898"/>
      <c r="GC17" s="898"/>
      <c r="GD17" s="898"/>
      <c r="GE17" s="898"/>
      <c r="GF17" s="898"/>
      <c r="GG17" s="898"/>
      <c r="GH17" s="898"/>
      <c r="GI17" s="898"/>
      <c r="GJ17" s="898"/>
      <c r="GK17" s="898"/>
      <c r="GL17" s="898"/>
      <c r="GM17" s="898"/>
      <c r="GN17" s="898"/>
      <c r="GO17" s="898"/>
      <c r="GP17" s="898"/>
      <c r="GQ17" s="898"/>
      <c r="GR17" s="898"/>
      <c r="GS17" s="898"/>
      <c r="GT17" s="898"/>
      <c r="GU17" s="898"/>
      <c r="GV17" s="898"/>
      <c r="GW17" s="898"/>
      <c r="GX17" s="898"/>
      <c r="GY17" s="898"/>
      <c r="GZ17" s="898"/>
      <c r="HA17" s="898"/>
      <c r="HB17" s="898"/>
      <c r="HC17" s="898"/>
      <c r="HD17" s="898"/>
      <c r="HE17" s="898"/>
      <c r="HF17" s="898"/>
      <c r="HG17" s="898"/>
      <c r="HH17" s="898"/>
      <c r="HI17" s="898"/>
      <c r="HJ17" s="898"/>
      <c r="HK17" s="898"/>
      <c r="HL17" s="898"/>
      <c r="HM17" s="898"/>
      <c r="HN17" s="898"/>
      <c r="HO17" s="898"/>
      <c r="HP17" s="898"/>
      <c r="HQ17" s="898"/>
      <c r="HR17" s="898"/>
      <c r="HS17" s="898"/>
      <c r="HT17" s="898"/>
      <c r="HU17" s="898"/>
      <c r="HV17" s="898"/>
      <c r="HW17" s="898"/>
      <c r="HX17" s="898"/>
      <c r="HY17" s="898"/>
      <c r="HZ17" s="898"/>
      <c r="IA17" s="898"/>
      <c r="IB17" s="898"/>
      <c r="IC17" s="898"/>
      <c r="ID17" s="898"/>
      <c r="IE17" s="898"/>
      <c r="IF17" s="898"/>
      <c r="IG17" s="898"/>
      <c r="IH17" s="207"/>
      <c r="II17" s="207"/>
      <c r="IJ17" s="207"/>
      <c r="IK17" s="207"/>
      <c r="IL17" s="207"/>
      <c r="IM17" s="207"/>
      <c r="IN17" s="199"/>
      <c r="IO17" s="201"/>
      <c r="IP17" s="5"/>
      <c r="IQ17" s="899" t="s">
        <v>19</v>
      </c>
      <c r="IR17" s="900"/>
      <c r="IS17" s="900"/>
      <c r="IT17" s="900"/>
      <c r="IU17" s="900"/>
      <c r="IV17" s="900"/>
      <c r="IW17" s="901"/>
      <c r="IX17" s="8"/>
    </row>
    <row r="18" spans="2:258" ht="15.75" thickBot="1" x14ac:dyDescent="0.3">
      <c r="B18" s="103">
        <v>12</v>
      </c>
      <c r="C18" s="226">
        <v>3</v>
      </c>
      <c r="D18" s="98">
        <f t="shared" si="1"/>
        <v>0.2412361111111111</v>
      </c>
      <c r="E18" s="96">
        <f t="shared" si="2"/>
        <v>0.27961458333333333</v>
      </c>
      <c r="F18" s="96">
        <f t="shared" si="3"/>
        <v>0.31799305555555551</v>
      </c>
      <c r="G18" s="96">
        <f t="shared" si="4"/>
        <v>0.33718229166666669</v>
      </c>
      <c r="H18" s="96">
        <f t="shared" si="5"/>
        <v>0.34869583333333332</v>
      </c>
      <c r="I18" s="96">
        <f t="shared" si="6"/>
        <v>0.35637152777777786</v>
      </c>
      <c r="J18" s="96">
        <f t="shared" si="7"/>
        <v>0.3618541666666667</v>
      </c>
      <c r="K18" s="96">
        <f t="shared" si="8"/>
        <v>0.36596614583333337</v>
      </c>
      <c r="L18" s="96">
        <f t="shared" si="9"/>
        <v>0.36185416666666664</v>
      </c>
      <c r="M18" s="96">
        <f t="shared" si="10"/>
        <v>0.36514374999999999</v>
      </c>
      <c r="N18" s="96">
        <f t="shared" si="11"/>
        <v>0.36783522727272727</v>
      </c>
      <c r="O18" s="96">
        <f t="shared" si="12"/>
        <v>0.3693927951388889</v>
      </c>
      <c r="P18" s="96">
        <f t="shared" si="13"/>
        <v>0.3713433493589744</v>
      </c>
      <c r="Q18" s="96">
        <f t="shared" si="14"/>
        <v>0.37301525297619043</v>
      </c>
      <c r="R18" s="96">
        <f t="shared" si="15"/>
        <v>0.37446423611111113</v>
      </c>
      <c r="S18" s="96">
        <f t="shared" si="16"/>
        <v>0.37573209635416671</v>
      </c>
      <c r="T18" s="96">
        <f t="shared" si="17"/>
        <v>0.37685079656862747</v>
      </c>
      <c r="U18" s="96">
        <f t="shared" si="18"/>
        <v>0.37053501157407409</v>
      </c>
      <c r="V18" s="96">
        <f t="shared" si="19"/>
        <v>0.37180948464912283</v>
      </c>
      <c r="W18" s="96">
        <f t="shared" si="20"/>
        <v>0.37295651041666666</v>
      </c>
      <c r="X18" s="96"/>
      <c r="Y18" s="65"/>
      <c r="AA18" s="83"/>
      <c r="AT18" s="4"/>
      <c r="AU18" s="893"/>
      <c r="AV18" s="894"/>
      <c r="AW18" s="10"/>
      <c r="AX18" s="216">
        <f>F11</f>
        <v>9</v>
      </c>
      <c r="AY18" s="12" t="str">
        <f>"("&amp;ROUND(AX18*25.4/50,0)*50&amp;")"</f>
        <v>(250)</v>
      </c>
      <c r="AZ18" s="13" t="s">
        <v>20</v>
      </c>
      <c r="BA18" s="13" t="s">
        <v>21</v>
      </c>
      <c r="BB18" s="13" t="s">
        <v>22</v>
      </c>
      <c r="BC18" s="13" t="s">
        <v>23</v>
      </c>
      <c r="BD18" s="13" t="s">
        <v>24</v>
      </c>
      <c r="BE18" s="13" t="s">
        <v>25</v>
      </c>
      <c r="BF18" s="13" t="s">
        <v>26</v>
      </c>
      <c r="BG18" s="13" t="s">
        <v>27</v>
      </c>
      <c r="BH18" s="11">
        <v>12</v>
      </c>
      <c r="BI18" s="12" t="str">
        <f>"("&amp;ROUND(BH18*25.4/50,0)*50&amp;")"</f>
        <v>(300)</v>
      </c>
      <c r="BJ18" s="13" t="s">
        <v>20</v>
      </c>
      <c r="BK18" s="13" t="s">
        <v>21</v>
      </c>
      <c r="BL18" s="13" t="s">
        <v>22</v>
      </c>
      <c r="BM18" s="13" t="s">
        <v>23</v>
      </c>
      <c r="BN18" s="13" t="s">
        <v>24</v>
      </c>
      <c r="BO18" s="13" t="s">
        <v>25</v>
      </c>
      <c r="BP18" s="13" t="s">
        <v>26</v>
      </c>
      <c r="BQ18" s="13" t="s">
        <v>27</v>
      </c>
      <c r="BR18" s="11">
        <f>BH18+6</f>
        <v>18</v>
      </c>
      <c r="BS18" s="12" t="str">
        <f>"("&amp;ROUND(BR18*25.4/50,0)*50&amp;")"</f>
        <v>(450)</v>
      </c>
      <c r="BT18" s="13" t="s">
        <v>20</v>
      </c>
      <c r="BU18" s="13" t="s">
        <v>21</v>
      </c>
      <c r="BV18" s="13" t="s">
        <v>22</v>
      </c>
      <c r="BW18" s="13" t="s">
        <v>23</v>
      </c>
      <c r="BX18" s="13" t="s">
        <v>24</v>
      </c>
      <c r="BY18" s="13" t="s">
        <v>25</v>
      </c>
      <c r="BZ18" s="13" t="s">
        <v>26</v>
      </c>
      <c r="CA18" s="13" t="s">
        <v>27</v>
      </c>
      <c r="CB18" s="11">
        <f>BR18+6</f>
        <v>24</v>
      </c>
      <c r="CC18" s="12" t="str">
        <f>"("&amp;ROUND(CB18*25.4/50,0)*50&amp;")"</f>
        <v>(600)</v>
      </c>
      <c r="CD18" s="13" t="s">
        <v>20</v>
      </c>
      <c r="CE18" s="13" t="s">
        <v>21</v>
      </c>
      <c r="CF18" s="13" t="s">
        <v>22</v>
      </c>
      <c r="CG18" s="13" t="s">
        <v>23</v>
      </c>
      <c r="CH18" s="13" t="s">
        <v>24</v>
      </c>
      <c r="CI18" s="13" t="s">
        <v>25</v>
      </c>
      <c r="CJ18" s="13" t="s">
        <v>26</v>
      </c>
      <c r="CK18" s="13" t="s">
        <v>27</v>
      </c>
      <c r="CL18" s="11">
        <f>CB18+6</f>
        <v>30</v>
      </c>
      <c r="CM18" s="12" t="str">
        <f>"("&amp;ROUND(CL18*25.4/50,0)*50&amp;")"</f>
        <v>(750)</v>
      </c>
      <c r="CN18" s="13" t="s">
        <v>20</v>
      </c>
      <c r="CO18" s="13" t="s">
        <v>21</v>
      </c>
      <c r="CP18" s="13" t="s">
        <v>22</v>
      </c>
      <c r="CQ18" s="13" t="s">
        <v>23</v>
      </c>
      <c r="CR18" s="13" t="s">
        <v>24</v>
      </c>
      <c r="CS18" s="13" t="s">
        <v>25</v>
      </c>
      <c r="CT18" s="13" t="s">
        <v>26</v>
      </c>
      <c r="CU18" s="13" t="s">
        <v>27</v>
      </c>
      <c r="CV18" s="11">
        <f>CL18+6</f>
        <v>36</v>
      </c>
      <c r="CW18" s="12" t="str">
        <f>"("&amp;ROUND(CV18*25.4/50,0)*50&amp;")"</f>
        <v>(900)</v>
      </c>
      <c r="CX18" s="13" t="s">
        <v>20</v>
      </c>
      <c r="CY18" s="13" t="s">
        <v>21</v>
      </c>
      <c r="CZ18" s="13" t="s">
        <v>22</v>
      </c>
      <c r="DA18" s="13" t="s">
        <v>23</v>
      </c>
      <c r="DB18" s="13" t="s">
        <v>24</v>
      </c>
      <c r="DC18" s="13" t="s">
        <v>25</v>
      </c>
      <c r="DD18" s="13" t="s">
        <v>26</v>
      </c>
      <c r="DE18" s="13" t="s">
        <v>27</v>
      </c>
      <c r="DF18" s="11">
        <f>CV18+6</f>
        <v>42</v>
      </c>
      <c r="DG18" s="12" t="str">
        <f>"("&amp;ROUND(DF18*25.4/50,0)*50&amp;")"</f>
        <v>(1050)</v>
      </c>
      <c r="DH18" s="13" t="s">
        <v>20</v>
      </c>
      <c r="DI18" s="13" t="s">
        <v>21</v>
      </c>
      <c r="DJ18" s="13" t="s">
        <v>22</v>
      </c>
      <c r="DK18" s="13" t="s">
        <v>23</v>
      </c>
      <c r="DL18" s="13" t="s">
        <v>24</v>
      </c>
      <c r="DM18" s="13" t="s">
        <v>25</v>
      </c>
      <c r="DN18" s="13" t="s">
        <v>26</v>
      </c>
      <c r="DO18" s="13" t="s">
        <v>27</v>
      </c>
      <c r="DP18" s="11">
        <f>DF18+6</f>
        <v>48</v>
      </c>
      <c r="DQ18" s="12" t="str">
        <f>"("&amp;ROUND(DP18*25.4/50,0)*50&amp;")"</f>
        <v>(1200)</v>
      </c>
      <c r="DR18" s="13" t="s">
        <v>20</v>
      </c>
      <c r="DS18" s="13" t="s">
        <v>21</v>
      </c>
      <c r="DT18" s="13" t="s">
        <v>22</v>
      </c>
      <c r="DU18" s="13" t="s">
        <v>23</v>
      </c>
      <c r="DV18" s="13" t="s">
        <v>24</v>
      </c>
      <c r="DW18" s="13" t="s">
        <v>25</v>
      </c>
      <c r="DX18" s="13" t="s">
        <v>26</v>
      </c>
      <c r="DY18" s="13" t="s">
        <v>27</v>
      </c>
      <c r="DZ18" s="11">
        <f>DP18+6</f>
        <v>54</v>
      </c>
      <c r="EA18" s="12" t="str">
        <f>"("&amp;ROUND(DZ18*25.4/50,0)*50&amp;")"</f>
        <v>(1350)</v>
      </c>
      <c r="EB18" s="13" t="s">
        <v>20</v>
      </c>
      <c r="EC18" s="13" t="s">
        <v>21</v>
      </c>
      <c r="ED18" s="13" t="s">
        <v>22</v>
      </c>
      <c r="EE18" s="13" t="s">
        <v>23</v>
      </c>
      <c r="EF18" s="13" t="s">
        <v>24</v>
      </c>
      <c r="EG18" s="13" t="s">
        <v>25</v>
      </c>
      <c r="EH18" s="13" t="s">
        <v>26</v>
      </c>
      <c r="EI18" s="13" t="s">
        <v>27</v>
      </c>
      <c r="EJ18" s="11">
        <f>DZ18+6</f>
        <v>60</v>
      </c>
      <c r="EK18" s="12" t="str">
        <f>"("&amp;ROUND(EJ18*25.4/50,0)*50&amp;")"</f>
        <v>(1500)</v>
      </c>
      <c r="EL18" s="13" t="s">
        <v>20</v>
      </c>
      <c r="EM18" s="13" t="s">
        <v>21</v>
      </c>
      <c r="EN18" s="13" t="s">
        <v>22</v>
      </c>
      <c r="EO18" s="13" t="s">
        <v>23</v>
      </c>
      <c r="EP18" s="13" t="s">
        <v>24</v>
      </c>
      <c r="EQ18" s="13" t="s">
        <v>25</v>
      </c>
      <c r="ER18" s="13" t="s">
        <v>26</v>
      </c>
      <c r="ES18" s="13" t="s">
        <v>27</v>
      </c>
      <c r="ET18" s="11">
        <f>EJ18+6</f>
        <v>66</v>
      </c>
      <c r="EU18" s="12" t="str">
        <f>"("&amp;ROUND(ET18*25.4/50,0)*50&amp;")"</f>
        <v>(1700)</v>
      </c>
      <c r="EV18" s="13" t="s">
        <v>20</v>
      </c>
      <c r="EW18" s="13" t="s">
        <v>21</v>
      </c>
      <c r="EX18" s="13" t="s">
        <v>22</v>
      </c>
      <c r="EY18" s="13" t="s">
        <v>23</v>
      </c>
      <c r="EZ18" s="13" t="s">
        <v>24</v>
      </c>
      <c r="FA18" s="13" t="s">
        <v>25</v>
      </c>
      <c r="FB18" s="13" t="s">
        <v>26</v>
      </c>
      <c r="FC18" s="13" t="s">
        <v>27</v>
      </c>
      <c r="FD18" s="11">
        <f>ET18+6</f>
        <v>72</v>
      </c>
      <c r="FE18" s="12" t="str">
        <f>"("&amp;ROUND(FD18*25.4/50,0)*50&amp;")"</f>
        <v>(1850)</v>
      </c>
      <c r="FF18" s="13" t="s">
        <v>20</v>
      </c>
      <c r="FG18" s="13" t="s">
        <v>21</v>
      </c>
      <c r="FH18" s="13" t="s">
        <v>22</v>
      </c>
      <c r="FI18" s="13" t="s">
        <v>23</v>
      </c>
      <c r="FJ18" s="13" t="s">
        <v>24</v>
      </c>
      <c r="FK18" s="13" t="s">
        <v>25</v>
      </c>
      <c r="FL18" s="13" t="s">
        <v>26</v>
      </c>
      <c r="FM18" s="13" t="s">
        <v>27</v>
      </c>
      <c r="FN18" s="11">
        <f>FD18+6</f>
        <v>78</v>
      </c>
      <c r="FO18" s="12" t="str">
        <f>"("&amp;ROUND(FN18*25.4/50,0)*50&amp;")"</f>
        <v>(2000)</v>
      </c>
      <c r="FP18" s="13" t="s">
        <v>20</v>
      </c>
      <c r="FQ18" s="13" t="s">
        <v>21</v>
      </c>
      <c r="FR18" s="13" t="s">
        <v>22</v>
      </c>
      <c r="FS18" s="13" t="s">
        <v>23</v>
      </c>
      <c r="FT18" s="13" t="s">
        <v>24</v>
      </c>
      <c r="FU18" s="13" t="s">
        <v>25</v>
      </c>
      <c r="FV18" s="13" t="s">
        <v>26</v>
      </c>
      <c r="FW18" s="13" t="s">
        <v>27</v>
      </c>
      <c r="FX18" s="11">
        <f>FN18+6</f>
        <v>84</v>
      </c>
      <c r="FY18" s="12" t="str">
        <f>"("&amp;ROUND(FX18*25.4/50,0)*50&amp;")"</f>
        <v>(2150)</v>
      </c>
      <c r="FZ18" s="13" t="s">
        <v>20</v>
      </c>
      <c r="GA18" s="13" t="s">
        <v>21</v>
      </c>
      <c r="GB18" s="13" t="s">
        <v>22</v>
      </c>
      <c r="GC18" s="13" t="s">
        <v>23</v>
      </c>
      <c r="GD18" s="13" t="s">
        <v>24</v>
      </c>
      <c r="GE18" s="13" t="s">
        <v>25</v>
      </c>
      <c r="GF18" s="13" t="s">
        <v>26</v>
      </c>
      <c r="GG18" s="13" t="s">
        <v>27</v>
      </c>
      <c r="GH18" s="11">
        <f>FX18+6</f>
        <v>90</v>
      </c>
      <c r="GI18" s="12" t="str">
        <f>"("&amp;ROUND(GH18*25.4/50,0)*50&amp;")"</f>
        <v>(2300)</v>
      </c>
      <c r="GJ18" s="13" t="s">
        <v>20</v>
      </c>
      <c r="GK18" s="13" t="s">
        <v>21</v>
      </c>
      <c r="GL18" s="13" t="s">
        <v>22</v>
      </c>
      <c r="GM18" s="13" t="s">
        <v>23</v>
      </c>
      <c r="GN18" s="13" t="s">
        <v>24</v>
      </c>
      <c r="GO18" s="13" t="s">
        <v>25</v>
      </c>
      <c r="GP18" s="13" t="s">
        <v>26</v>
      </c>
      <c r="GQ18" s="13" t="s">
        <v>27</v>
      </c>
      <c r="GR18" s="11">
        <f>GH18+6</f>
        <v>96</v>
      </c>
      <c r="GS18" s="12" t="str">
        <f>"("&amp;ROUND(GR18*25.4/50,0)*50&amp;")"</f>
        <v>(2450)</v>
      </c>
      <c r="GT18" s="13" t="s">
        <v>20</v>
      </c>
      <c r="GU18" s="13" t="s">
        <v>21</v>
      </c>
      <c r="GV18" s="13" t="s">
        <v>22</v>
      </c>
      <c r="GW18" s="13" t="s">
        <v>23</v>
      </c>
      <c r="GX18" s="13" t="s">
        <v>24</v>
      </c>
      <c r="GY18" s="13" t="s">
        <v>25</v>
      </c>
      <c r="GZ18" s="13" t="s">
        <v>26</v>
      </c>
      <c r="HA18" s="13" t="s">
        <v>27</v>
      </c>
      <c r="HB18" s="11">
        <f>GR18+6</f>
        <v>102</v>
      </c>
      <c r="HC18" s="12" t="str">
        <f>"("&amp;ROUND(HB18*25.4/50,0)*50&amp;")"</f>
        <v>(2600)</v>
      </c>
      <c r="HD18" s="13" t="s">
        <v>20</v>
      </c>
      <c r="HE18" s="13" t="s">
        <v>21</v>
      </c>
      <c r="HF18" s="13" t="s">
        <v>22</v>
      </c>
      <c r="HG18" s="13" t="s">
        <v>23</v>
      </c>
      <c r="HH18" s="13" t="s">
        <v>24</v>
      </c>
      <c r="HI18" s="13" t="s">
        <v>25</v>
      </c>
      <c r="HJ18" s="13" t="s">
        <v>26</v>
      </c>
      <c r="HK18" s="13" t="s">
        <v>27</v>
      </c>
      <c r="HL18" s="11">
        <f>HB18+6</f>
        <v>108</v>
      </c>
      <c r="HM18" s="12" t="str">
        <f>"("&amp;ROUND(HL18*25.4/50,0)*50&amp;")"</f>
        <v>(2750)</v>
      </c>
      <c r="HN18" s="13" t="s">
        <v>20</v>
      </c>
      <c r="HO18" s="13" t="s">
        <v>21</v>
      </c>
      <c r="HP18" s="13" t="s">
        <v>22</v>
      </c>
      <c r="HQ18" s="13" t="s">
        <v>23</v>
      </c>
      <c r="HR18" s="13" t="s">
        <v>24</v>
      </c>
      <c r="HS18" s="13" t="s">
        <v>25</v>
      </c>
      <c r="HT18" s="13" t="s">
        <v>26</v>
      </c>
      <c r="HU18" s="13" t="s">
        <v>27</v>
      </c>
      <c r="HV18" s="11">
        <f>HL18+6</f>
        <v>114</v>
      </c>
      <c r="HW18" s="12" t="str">
        <f>"("&amp;ROUND(HV18*25.4/50,0)*50&amp;")"</f>
        <v>(2900)</v>
      </c>
      <c r="HX18" s="13" t="s">
        <v>20</v>
      </c>
      <c r="HY18" s="13" t="s">
        <v>21</v>
      </c>
      <c r="HZ18" s="13" t="s">
        <v>22</v>
      </c>
      <c r="IA18" s="13" t="s">
        <v>23</v>
      </c>
      <c r="IB18" s="13" t="s">
        <v>24</v>
      </c>
      <c r="IC18" s="13" t="s">
        <v>25</v>
      </c>
      <c r="ID18" s="13" t="s">
        <v>26</v>
      </c>
      <c r="IE18" s="13" t="s">
        <v>27</v>
      </c>
      <c r="IF18" s="11">
        <f>HV18+6</f>
        <v>120</v>
      </c>
      <c r="IG18" s="12" t="str">
        <f>"("&amp;ROUND(IF18*25.4/50,0)*50&amp;")"</f>
        <v>(3050)</v>
      </c>
      <c r="IH18" s="13" t="s">
        <v>20</v>
      </c>
      <c r="II18" s="13" t="s">
        <v>21</v>
      </c>
      <c r="IJ18" s="13" t="s">
        <v>22</v>
      </c>
      <c r="IK18" s="13" t="s">
        <v>23</v>
      </c>
      <c r="IL18" s="13" t="s">
        <v>24</v>
      </c>
      <c r="IM18" s="13" t="s">
        <v>25</v>
      </c>
      <c r="IN18" s="13" t="s">
        <v>26</v>
      </c>
      <c r="IO18" s="13" t="s">
        <v>27</v>
      </c>
      <c r="IP18" s="15"/>
      <c r="IQ18" s="16" t="s">
        <v>28</v>
      </c>
      <c r="IR18" s="16" t="s">
        <v>29</v>
      </c>
      <c r="IS18" s="16" t="s">
        <v>30</v>
      </c>
      <c r="IT18" s="16" t="s">
        <v>31</v>
      </c>
      <c r="IU18" s="16" t="s">
        <v>32</v>
      </c>
      <c r="IV18" s="16" t="s">
        <v>33</v>
      </c>
      <c r="IW18" s="16" t="s">
        <v>34</v>
      </c>
      <c r="IX18" s="8"/>
    </row>
    <row r="19" spans="2:258" ht="15.75" thickBot="1" x14ac:dyDescent="0.3">
      <c r="B19" s="103">
        <f>B18+6</f>
        <v>18</v>
      </c>
      <c r="C19" s="221">
        <v>4</v>
      </c>
      <c r="D19" s="98">
        <f t="shared" si="1"/>
        <v>0.2993425925925926</v>
      </c>
      <c r="E19" s="96">
        <f t="shared" si="2"/>
        <v>0.3469652777777778</v>
      </c>
      <c r="F19" s="96">
        <f t="shared" si="3"/>
        <v>0.39458796296296295</v>
      </c>
      <c r="G19" s="96">
        <f t="shared" si="4"/>
        <v>0.41839930555555555</v>
      </c>
      <c r="H19" s="96">
        <f t="shared" si="5"/>
        <v>0.4326861111111111</v>
      </c>
      <c r="I19" s="96">
        <f t="shared" si="6"/>
        <v>0.44221064814814814</v>
      </c>
      <c r="J19" s="96">
        <f t="shared" si="7"/>
        <v>0.44901388888888888</v>
      </c>
      <c r="K19" s="96">
        <f t="shared" si="8"/>
        <v>0.45411631944444442</v>
      </c>
      <c r="L19" s="96">
        <f t="shared" si="9"/>
        <v>0.44901388888888893</v>
      </c>
      <c r="M19" s="96">
        <f t="shared" si="10"/>
        <v>0.45309583333333331</v>
      </c>
      <c r="N19" s="96">
        <f t="shared" si="11"/>
        <v>0.45643560606060607</v>
      </c>
      <c r="O19" s="96">
        <f t="shared" si="12"/>
        <v>0.45836834490740741</v>
      </c>
      <c r="P19" s="96">
        <f t="shared" si="13"/>
        <v>0.46078872863247855</v>
      </c>
      <c r="Q19" s="96">
        <f t="shared" si="14"/>
        <v>0.46286334325396827</v>
      </c>
      <c r="R19" s="96">
        <f t="shared" si="15"/>
        <v>0.46466134259259262</v>
      </c>
      <c r="S19" s="96">
        <f t="shared" si="16"/>
        <v>0.46623459201388889</v>
      </c>
      <c r="T19" s="96">
        <f t="shared" si="17"/>
        <v>0.46762275326797387</v>
      </c>
      <c r="U19" s="96">
        <f t="shared" si="18"/>
        <v>0.45978568672839509</v>
      </c>
      <c r="V19" s="96">
        <f t="shared" si="19"/>
        <v>0.46136714181286553</v>
      </c>
      <c r="W19" s="96">
        <f t="shared" si="20"/>
        <v>0.46279045138888891</v>
      </c>
      <c r="X19" s="96"/>
      <c r="Y19" s="65"/>
      <c r="AA19" s="83"/>
      <c r="AT19" s="4"/>
      <c r="AU19" s="10"/>
      <c r="AV19" s="17"/>
      <c r="AW19" s="18"/>
      <c r="AX19" s="18"/>
      <c r="AY19" s="18"/>
      <c r="AZ19" s="12"/>
      <c r="BA19" s="12"/>
      <c r="BB19" s="12"/>
      <c r="BC19" s="12"/>
      <c r="BD19" s="12"/>
      <c r="BE19" s="12"/>
      <c r="BF19" s="12"/>
      <c r="BG19" s="12"/>
      <c r="BH19" s="11"/>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5"/>
      <c r="IQ19" s="16"/>
      <c r="IR19" s="16"/>
      <c r="IS19" s="16"/>
      <c r="IT19" s="16"/>
      <c r="IU19" s="16"/>
      <c r="IV19" s="16"/>
      <c r="IW19" s="16"/>
      <c r="IX19" s="8"/>
    </row>
    <row r="20" spans="2:258" ht="18" customHeight="1" thickBot="1" x14ac:dyDescent="0.3">
      <c r="B20" s="103">
        <f t="shared" ref="B20:B36" si="21">B19+6</f>
        <v>24</v>
      </c>
      <c r="C20" s="226">
        <v>5</v>
      </c>
      <c r="D20" s="98">
        <f t="shared" si="1"/>
        <v>0.32266666666666666</v>
      </c>
      <c r="E20" s="96">
        <f t="shared" si="2"/>
        <v>0.374</v>
      </c>
      <c r="F20" s="96">
        <f t="shared" si="3"/>
        <v>0.42533333333333334</v>
      </c>
      <c r="G20" s="96">
        <f t="shared" si="4"/>
        <v>0.45100000000000001</v>
      </c>
      <c r="H20" s="96">
        <f t="shared" si="5"/>
        <v>0.46639999999999998</v>
      </c>
      <c r="I20" s="96">
        <f t="shared" si="6"/>
        <v>0.47666666666666674</v>
      </c>
      <c r="J20" s="96">
        <f t="shared" si="7"/>
        <v>0.48399999999999999</v>
      </c>
      <c r="K20" s="96">
        <f t="shared" si="8"/>
        <v>0.48949999999999999</v>
      </c>
      <c r="L20" s="96">
        <f t="shared" si="9"/>
        <v>0.48399999999999999</v>
      </c>
      <c r="M20" s="96">
        <f t="shared" si="10"/>
        <v>0.48840000000000006</v>
      </c>
      <c r="N20" s="96">
        <f t="shared" si="11"/>
        <v>0.49200000000000005</v>
      </c>
      <c r="O20" s="96">
        <f t="shared" si="12"/>
        <v>0.49408333333333337</v>
      </c>
      <c r="P20" s="96">
        <f t="shared" si="13"/>
        <v>0.49669230769230766</v>
      </c>
      <c r="Q20" s="96">
        <f t="shared" si="14"/>
        <v>0.49892857142857144</v>
      </c>
      <c r="R20" s="96">
        <f t="shared" si="15"/>
        <v>0.50086666666666668</v>
      </c>
      <c r="S20" s="96">
        <f t="shared" si="16"/>
        <v>0.50256250000000002</v>
      </c>
      <c r="T20" s="96">
        <f t="shared" si="17"/>
        <v>0.50405882352941178</v>
      </c>
      <c r="U20" s="96">
        <f t="shared" si="18"/>
        <v>0.49561111111111106</v>
      </c>
      <c r="V20" s="96">
        <f t="shared" si="19"/>
        <v>0.49731578947368432</v>
      </c>
      <c r="W20" s="96">
        <f t="shared" si="20"/>
        <v>0.49885000000000002</v>
      </c>
      <c r="X20" s="96"/>
      <c r="Y20" s="65"/>
      <c r="AA20" s="83"/>
      <c r="AT20" s="4"/>
      <c r="AU20" s="216">
        <f>F12</f>
        <v>9.5</v>
      </c>
      <c r="AV20" s="12" t="str">
        <f t="shared" ref="AV20:AV39" si="22">"("&amp;ROUND(AU20*25.4/50,0)*50&amp;")"</f>
        <v>(250)</v>
      </c>
      <c r="AW20" s="217"/>
      <c r="AX20" s="20">
        <f t="shared" ref="AX20:AX39" si="23">($IR20+(($IQ20-1)*$IS20)+$IT20)*BG20/144</f>
        <v>0.11970138888888887</v>
      </c>
      <c r="AY20" s="21" t="str">
        <f t="shared" ref="AY20:AY39" si="24">"("&amp;FIXED(AX20*0.092903,2)&amp;")"</f>
        <v>(0.01)</v>
      </c>
      <c r="AZ20" s="22">
        <v>2</v>
      </c>
      <c r="BA20" s="22">
        <f t="shared" ref="BA20:BA39" si="25">$IU$21*AZ20</f>
        <v>3.5</v>
      </c>
      <c r="BB20" s="22">
        <v>0</v>
      </c>
      <c r="BC20" s="22">
        <f t="shared" ref="BC20:BC39" si="26">$IW$21*BB20</f>
        <v>0</v>
      </c>
      <c r="BD20" s="22">
        <v>0</v>
      </c>
      <c r="BE20" s="22">
        <f t="shared" ref="BE20:BE39" si="27">$IV$21*BD20</f>
        <v>0</v>
      </c>
      <c r="BF20" s="22">
        <f t="shared" ref="BF20:BF39" si="28">BA20+BC20+BE20</f>
        <v>3.5</v>
      </c>
      <c r="BG20" s="23">
        <f t="shared" ref="BG20:BG39" si="29">AX$18-BA20-BC20-BE20</f>
        <v>5.5</v>
      </c>
      <c r="BH20" s="20">
        <f t="shared" ref="BH20:BH39" si="30">($IR20+(($IQ20-1)*$IS20)+$IT20)*BQ20/144</f>
        <v>0.18499305555555556</v>
      </c>
      <c r="BI20" s="21" t="str">
        <f t="shared" ref="BI20:BI39" si="31">"("&amp;FIXED(BH20*0.092903,2)&amp;")"</f>
        <v>(0.02)</v>
      </c>
      <c r="BJ20" s="22">
        <v>2</v>
      </c>
      <c r="BK20" s="22">
        <f t="shared" ref="BK20:BK39" si="32">$IU$21*BJ20</f>
        <v>3.5</v>
      </c>
      <c r="BL20" s="22">
        <v>0</v>
      </c>
      <c r="BM20" s="22">
        <f t="shared" ref="BM20:BM39" si="33">$IW$21*BL20</f>
        <v>0</v>
      </c>
      <c r="BN20" s="22">
        <v>0</v>
      </c>
      <c r="BO20" s="22">
        <f t="shared" ref="BO20:BO39" si="34">$IV$21*BN20</f>
        <v>0</v>
      </c>
      <c r="BP20" s="22">
        <f t="shared" ref="BP20:BP39" si="35">BK20+BM20+BO20</f>
        <v>3.5</v>
      </c>
      <c r="BQ20" s="23">
        <f t="shared" ref="BQ20:BQ39" si="36">BH$18-BK20-BM20-BO20</f>
        <v>8.5</v>
      </c>
      <c r="BR20" s="20">
        <f t="shared" ref="BR20:BR39" si="37">($IR20+(($IQ20-1)*$IS20)+$IT20)*CA20/144</f>
        <v>0.31557638888888889</v>
      </c>
      <c r="BS20" s="21" t="str">
        <f t="shared" ref="BS20:BS39" si="38">"("&amp;ROUND(BR20*0.092903,2)&amp;")"</f>
        <v>(0.03)</v>
      </c>
      <c r="BT20" s="22">
        <v>2</v>
      </c>
      <c r="BU20" s="22">
        <f t="shared" ref="BU20:BU39" si="39">$IU$21*BT20</f>
        <v>3.5</v>
      </c>
      <c r="BV20" s="22">
        <v>0</v>
      </c>
      <c r="BW20" s="22">
        <f t="shared" ref="BW20:BW39" si="40">$IW$21*BV20</f>
        <v>0</v>
      </c>
      <c r="BX20" s="22">
        <v>0</v>
      </c>
      <c r="BY20" s="22">
        <f t="shared" ref="BY20:BY39" si="41">$IV$21*BX20</f>
        <v>0</v>
      </c>
      <c r="BZ20" s="22">
        <f t="shared" ref="BZ20:BZ39" si="42">BU20+BW20+BY20</f>
        <v>3.5</v>
      </c>
      <c r="CA20" s="23">
        <f t="shared" ref="CA20:CA39" si="43">BR$18-BU20-BW20-BY20</f>
        <v>14.5</v>
      </c>
      <c r="CB20" s="20">
        <f t="shared" ref="CB20:CB39" si="44">($IR20+(($IQ20-1)*$IS20)+$IT20)*CK20/144</f>
        <v>0.44615972222222222</v>
      </c>
      <c r="CC20" s="21" t="str">
        <f t="shared" ref="CC20:CC39" si="45">"("&amp;ROUND(CB20*0.092903,2)&amp;")"</f>
        <v>(0.04)</v>
      </c>
      <c r="CD20" s="22">
        <v>2</v>
      </c>
      <c r="CE20" s="22">
        <f t="shared" ref="CE20:CE39" si="46">$IU$21*CD20</f>
        <v>3.5</v>
      </c>
      <c r="CF20" s="22">
        <v>0</v>
      </c>
      <c r="CG20" s="22">
        <f t="shared" ref="CG20:CG39" si="47">$IW$21*CF20</f>
        <v>0</v>
      </c>
      <c r="CH20" s="22">
        <v>0</v>
      </c>
      <c r="CI20" s="22">
        <f t="shared" ref="CI20:CI39" si="48">$IV$21*CH20</f>
        <v>0</v>
      </c>
      <c r="CJ20" s="22">
        <f t="shared" ref="CJ20:CJ39" si="49">CE20+CG20+CI20</f>
        <v>3.5</v>
      </c>
      <c r="CK20" s="23">
        <f t="shared" ref="CK20:CK39" si="50">CB$18-CE20-CG20-CI20</f>
        <v>20.5</v>
      </c>
      <c r="CL20" s="20">
        <f t="shared" ref="CL20:CL39" si="51">($IR20+(($IQ20-1)*$IS20)+$IT20)*CU20/144</f>
        <v>0.57674305555555561</v>
      </c>
      <c r="CM20" s="21" t="str">
        <f t="shared" ref="CM20:CM39" si="52">"("&amp;ROUND(CL20*0.092903,2)&amp;")"</f>
        <v>(0.05)</v>
      </c>
      <c r="CN20" s="22">
        <v>2</v>
      </c>
      <c r="CO20" s="22">
        <f t="shared" ref="CO20:CO39" si="53">$IU$21*CN20</f>
        <v>3.5</v>
      </c>
      <c r="CP20" s="22">
        <v>0</v>
      </c>
      <c r="CQ20" s="22">
        <f t="shared" ref="CQ20:CQ39" si="54">$IW$21*CP20</f>
        <v>0</v>
      </c>
      <c r="CR20" s="22">
        <v>0</v>
      </c>
      <c r="CS20" s="22">
        <f t="shared" ref="CS20:CS39" si="55">$IV$21*CR20</f>
        <v>0</v>
      </c>
      <c r="CT20" s="22">
        <f t="shared" ref="CT20:CT39" si="56">CO20+CQ20+CS20</f>
        <v>3.5</v>
      </c>
      <c r="CU20" s="23">
        <f t="shared" ref="CU20:CU39" si="57">CL$18-CO20-CQ20-CS20</f>
        <v>26.5</v>
      </c>
      <c r="CV20" s="20">
        <f t="shared" ref="CV20:CV39" si="58">($IR20+(($IQ20-1)*$IS20)+$IT20)*DE20/144</f>
        <v>0.70732638888888877</v>
      </c>
      <c r="CW20" s="21" t="str">
        <f t="shared" ref="CW20:CW39" si="59">"("&amp;ROUND(CV20*0.092903,2)&amp;")"</f>
        <v>(0.07)</v>
      </c>
      <c r="CX20" s="22">
        <v>2</v>
      </c>
      <c r="CY20" s="22">
        <f t="shared" ref="CY20:CY39" si="60">$IU$21*CX20</f>
        <v>3.5</v>
      </c>
      <c r="CZ20" s="22">
        <v>0</v>
      </c>
      <c r="DA20" s="22">
        <f t="shared" ref="DA20:DA39" si="61">$IW$21*CZ20</f>
        <v>0</v>
      </c>
      <c r="DB20" s="22">
        <v>0</v>
      </c>
      <c r="DC20" s="22">
        <f t="shared" ref="DC20:DC39" si="62">$IV$21*DB20</f>
        <v>0</v>
      </c>
      <c r="DD20" s="22">
        <f t="shared" ref="DD20:DD39" si="63">CY20+DA20+DC20</f>
        <v>3.5</v>
      </c>
      <c r="DE20" s="23">
        <f t="shared" ref="DE20:DE39" si="64">CV$18-CY20-DA20-DC20</f>
        <v>32.5</v>
      </c>
      <c r="DF20" s="20">
        <f t="shared" ref="DF20:DF39" si="65">($IR20+(($IQ20-1)*$IS20)+$IT20)*DO20/144</f>
        <v>0.83790972222222215</v>
      </c>
      <c r="DG20" s="21" t="str">
        <f t="shared" ref="DG20:DG39" si="66">"("&amp;ROUND(DF20*0.092903,2)&amp;")"</f>
        <v>(0.08)</v>
      </c>
      <c r="DH20" s="22">
        <v>2</v>
      </c>
      <c r="DI20" s="22">
        <f t="shared" ref="DI20:DI39" si="67">$IU$21*DH20</f>
        <v>3.5</v>
      </c>
      <c r="DJ20" s="22">
        <v>0</v>
      </c>
      <c r="DK20" s="22">
        <f t="shared" ref="DK20:DK39" si="68">$IW$21*DJ20</f>
        <v>0</v>
      </c>
      <c r="DL20" s="22">
        <v>0</v>
      </c>
      <c r="DM20" s="22">
        <f t="shared" ref="DM20:DM39" si="69">$IV$21*DL20</f>
        <v>0</v>
      </c>
      <c r="DN20" s="22">
        <f t="shared" ref="DN20:DN39" si="70">DI20+DK20+DM20</f>
        <v>3.5</v>
      </c>
      <c r="DO20" s="23">
        <f t="shared" ref="DO20:DO39" si="71">DF$18-DI20-DK20-DM20</f>
        <v>38.5</v>
      </c>
      <c r="DP20" s="20">
        <f t="shared" ref="DP20:DP39" si="72">($IR20+(($IQ20-1)*$IS20)+$IT20)*DY20/144</f>
        <v>0.96849305555555554</v>
      </c>
      <c r="DQ20" s="21" t="str">
        <f t="shared" ref="DQ20:DQ39" si="73">"("&amp;ROUND(DP20*0.092903,2)&amp;")"</f>
        <v>(0.09)</v>
      </c>
      <c r="DR20" s="22">
        <v>2</v>
      </c>
      <c r="DS20" s="22">
        <f t="shared" ref="DS20:DS39" si="74">$IU$21*DR20</f>
        <v>3.5</v>
      </c>
      <c r="DT20" s="22">
        <v>0</v>
      </c>
      <c r="DU20" s="22">
        <f t="shared" ref="DU20:DU39" si="75">$IW$21*DT20</f>
        <v>0</v>
      </c>
      <c r="DV20" s="22">
        <v>0</v>
      </c>
      <c r="DW20" s="22">
        <f t="shared" ref="DW20:DW39" si="76">$IV$21*DV20</f>
        <v>0</v>
      </c>
      <c r="DX20" s="22">
        <f t="shared" ref="DX20:DX39" si="77">DS20+DU20+DW20</f>
        <v>3.5</v>
      </c>
      <c r="DY20" s="23">
        <f t="shared" ref="DY20:DY39" si="78">DP$18-DS20-DU20-DW20</f>
        <v>44.5</v>
      </c>
      <c r="DZ20" s="20">
        <f t="shared" ref="DZ20:DZ39" si="79">($IR20+(($IQ20-1)*$IS20)+$IT20)*EI20/144</f>
        <v>1.0773124999999999</v>
      </c>
      <c r="EA20" s="21" t="str">
        <f t="shared" ref="EA20:EA39" si="80">"("&amp;FIXED(DZ20*0.092903,2)&amp;")"</f>
        <v>(0.10)</v>
      </c>
      <c r="EB20" s="22">
        <v>2</v>
      </c>
      <c r="EC20" s="22">
        <f t="shared" ref="EC20:EC39" si="81">$IU$21*EB20</f>
        <v>3.5</v>
      </c>
      <c r="ED20" s="22">
        <v>0</v>
      </c>
      <c r="EE20" s="22">
        <f t="shared" ref="EE20:EE39" si="82">$IW$21*ED20</f>
        <v>0</v>
      </c>
      <c r="EF20" s="22">
        <v>1</v>
      </c>
      <c r="EG20" s="22">
        <f t="shared" ref="EG20:EG39" si="83">$IV$21*EF20</f>
        <v>1</v>
      </c>
      <c r="EH20" s="22">
        <f t="shared" ref="EH20:EH39" si="84">EC20+EE20+EG20</f>
        <v>4.5</v>
      </c>
      <c r="EI20" s="23">
        <f t="shared" ref="EI20:EI39" si="85">DZ$18-EC20-EE20-EG20</f>
        <v>49.5</v>
      </c>
      <c r="EJ20" s="20">
        <f t="shared" ref="EJ20:EJ39" si="86">($IR20+(($IQ20-1)*$IS20)+$IT20)*ES20/144</f>
        <v>1.2078958333333332</v>
      </c>
      <c r="EK20" s="21" t="str">
        <f t="shared" ref="EK20:EK39" si="87">"("&amp;FIXED(EJ20*0.092903,2)&amp;")"</f>
        <v>(0.11)</v>
      </c>
      <c r="EL20" s="22">
        <v>2</v>
      </c>
      <c r="EM20" s="22">
        <f t="shared" ref="EM20:EM39" si="88">$IU$21*EL20</f>
        <v>3.5</v>
      </c>
      <c r="EN20" s="22">
        <v>0</v>
      </c>
      <c r="EO20" s="22">
        <f t="shared" ref="EO20:EO39" si="89">$IW$21*EN20</f>
        <v>0</v>
      </c>
      <c r="EP20" s="22">
        <v>1</v>
      </c>
      <c r="EQ20" s="22">
        <f t="shared" ref="EQ20:EQ39" si="90">$IV$21*EP20</f>
        <v>1</v>
      </c>
      <c r="ER20" s="22">
        <f t="shared" ref="ER20:ER39" si="91">EM20+EO20+EQ20</f>
        <v>4.5</v>
      </c>
      <c r="ES20" s="23">
        <f t="shared" ref="ES20:ES39" si="92">EJ$18-EM20-EO20-EQ20</f>
        <v>55.5</v>
      </c>
      <c r="ET20" s="20">
        <f t="shared" ref="ET20:ET39" si="93">($IR20+(($IQ20-1)*$IS20)+$IT20)*FC20/144</f>
        <v>1.3384791666666667</v>
      </c>
      <c r="EU20" s="21" t="str">
        <f t="shared" ref="EU20:EU39" si="94">"("&amp;FIXED(ET20*0.092903,2)&amp;")"</f>
        <v>(0.12)</v>
      </c>
      <c r="EV20" s="22">
        <v>2</v>
      </c>
      <c r="EW20" s="22">
        <f t="shared" ref="EW20:EW39" si="95">$IU$21*EV20</f>
        <v>3.5</v>
      </c>
      <c r="EX20" s="22">
        <v>0</v>
      </c>
      <c r="EY20" s="22">
        <f t="shared" ref="EY20:EY39" si="96">$IW$21*EX20</f>
        <v>0</v>
      </c>
      <c r="EZ20" s="22">
        <v>1</v>
      </c>
      <c r="FA20" s="22">
        <f t="shared" ref="FA20:FA39" si="97">$IV$21*EZ20</f>
        <v>1</v>
      </c>
      <c r="FB20" s="22">
        <f t="shared" ref="FB20:FB39" si="98">EW20+EY20+FA20</f>
        <v>4.5</v>
      </c>
      <c r="FC20" s="23">
        <f t="shared" ref="FC20:FC39" si="99">ET$18-EW20-EY20-FA20</f>
        <v>61.5</v>
      </c>
      <c r="FD20" s="20">
        <f t="shared" ref="FD20:FD39" si="100">($IR20+(($IQ20-1)*$IS20)+$IT20)*FM20/144</f>
        <v>1.4663420138888887</v>
      </c>
      <c r="FE20" s="21" t="str">
        <f t="shared" ref="FE20:FE39" si="101">"("&amp;FIXED(FD20*0.092903,2)&amp;")"</f>
        <v>(0.14)</v>
      </c>
      <c r="FF20" s="22">
        <v>2</v>
      </c>
      <c r="FG20" s="22">
        <f t="shared" ref="FG20:FG39" si="102">$IU$21*FF20</f>
        <v>3.5</v>
      </c>
      <c r="FH20" s="22">
        <v>1</v>
      </c>
      <c r="FI20" s="22">
        <f t="shared" ref="FI20:FI39" si="103">$IW$21*FH20</f>
        <v>1.125</v>
      </c>
      <c r="FJ20" s="22">
        <v>0</v>
      </c>
      <c r="FK20" s="22">
        <f t="shared" ref="FK20:FK39" si="104">$IV$21*FJ20</f>
        <v>0</v>
      </c>
      <c r="FL20" s="22">
        <f t="shared" ref="FL20:FL39" si="105">FG20+FI20+FK20</f>
        <v>4.625</v>
      </c>
      <c r="FM20" s="23">
        <f t="shared" ref="FM20:FM39" si="106">FD$18-FG20-FI20-FK20</f>
        <v>67.375</v>
      </c>
      <c r="FN20" s="20">
        <f t="shared" ref="FN20:FN31" si="107">($IR20+(($IQ20-1)*$IS20)+$IT20)*FW20/144</f>
        <v>1.5969253472222222</v>
      </c>
      <c r="FO20" s="21" t="str">
        <f t="shared" ref="FO20:FO31" si="108">"("&amp;FIXED(FN20*0.092903,2)&amp;")"</f>
        <v>(0.15)</v>
      </c>
      <c r="FP20" s="22">
        <v>2</v>
      </c>
      <c r="FQ20" s="22">
        <f t="shared" ref="FQ20:FQ31" si="109">$IU$21*FP20</f>
        <v>3.5</v>
      </c>
      <c r="FR20" s="22">
        <v>1</v>
      </c>
      <c r="FS20" s="22">
        <f t="shared" ref="FS20:FS31" si="110">$IW$21*FR20</f>
        <v>1.125</v>
      </c>
      <c r="FT20" s="22">
        <v>0</v>
      </c>
      <c r="FU20" s="22">
        <f t="shared" ref="FU20:FU31" si="111">$IV$21*FT20</f>
        <v>0</v>
      </c>
      <c r="FV20" s="22">
        <f t="shared" ref="FV20:FV31" si="112">FQ20+FS20+FU20</f>
        <v>4.625</v>
      </c>
      <c r="FW20" s="23">
        <f t="shared" ref="FW20:FW31" si="113">FN$18-FQ20-FS20-FU20</f>
        <v>73.375</v>
      </c>
      <c r="FX20" s="20">
        <f t="shared" ref="FX20:FX31" si="114">($IR20+(($IQ20-1)*$IS20)+$IT20)*GG20/144</f>
        <v>1.7275086805555555</v>
      </c>
      <c r="FY20" s="21" t="str">
        <f t="shared" ref="FY20:FY31" si="115">"("&amp;FIXED(FX20*0.092903,2)&amp;")"</f>
        <v>(0.16)</v>
      </c>
      <c r="FZ20" s="22">
        <v>2</v>
      </c>
      <c r="GA20" s="22">
        <f t="shared" ref="GA20:GA31" si="116">$IU$21*FZ20</f>
        <v>3.5</v>
      </c>
      <c r="GB20" s="22">
        <v>1</v>
      </c>
      <c r="GC20" s="22">
        <f t="shared" ref="GC20:GC31" si="117">$IW$21*GB20</f>
        <v>1.125</v>
      </c>
      <c r="GD20" s="22">
        <v>0</v>
      </c>
      <c r="GE20" s="22">
        <f t="shared" ref="GE20:GE31" si="118">$IV$21*GD20</f>
        <v>0</v>
      </c>
      <c r="GF20" s="22">
        <f t="shared" ref="GF20:GF31" si="119">GA20+GC20+GE20</f>
        <v>4.625</v>
      </c>
      <c r="GG20" s="23">
        <f t="shared" ref="GG20:GG31" si="120">FX$18-GA20-GC20-GE20</f>
        <v>79.375</v>
      </c>
      <c r="GH20" s="20">
        <f t="shared" ref="GH20:GH31" si="121">($IR20+(($IQ20-1)*$IS20)+$IT20)*GQ20/144</f>
        <v>1.8580920138888888</v>
      </c>
      <c r="GI20" s="21" t="str">
        <f t="shared" ref="GI20:GI31" si="122">"("&amp;FIXED(GH20*0.092903,2)&amp;")"</f>
        <v>(0.17)</v>
      </c>
      <c r="GJ20" s="22">
        <v>2</v>
      </c>
      <c r="GK20" s="22">
        <f t="shared" ref="GK20:GK31" si="123">$IU$21*GJ20</f>
        <v>3.5</v>
      </c>
      <c r="GL20" s="22">
        <v>1</v>
      </c>
      <c r="GM20" s="22">
        <f t="shared" ref="GM20:GM31" si="124">$IW$21*GL20</f>
        <v>1.125</v>
      </c>
      <c r="GN20" s="22">
        <v>0</v>
      </c>
      <c r="GO20" s="22">
        <f t="shared" ref="GO20:GO31" si="125">$IV$21*GN20</f>
        <v>0</v>
      </c>
      <c r="GP20" s="22">
        <f t="shared" ref="GP20:GP31" si="126">GK20+GM20+GO20</f>
        <v>4.625</v>
      </c>
      <c r="GQ20" s="23">
        <f t="shared" ref="GQ20:GQ31" si="127">GH$18-GK20-GM20-GO20</f>
        <v>85.375</v>
      </c>
      <c r="GR20" s="20">
        <f t="shared" ref="GR20:GR31" si="128">($IR20+(($IQ20-1)*$IS20)+$IT20)*HA20/144</f>
        <v>1.9886753472222221</v>
      </c>
      <c r="GS20" s="21" t="str">
        <f t="shared" ref="GS20:GS31" si="129">"("&amp;FIXED(GR20*0.092903,2)&amp;")"</f>
        <v>(0.18)</v>
      </c>
      <c r="GT20" s="22">
        <v>2</v>
      </c>
      <c r="GU20" s="22">
        <f t="shared" ref="GU20:GU31" si="130">$IU$21*GT20</f>
        <v>3.5</v>
      </c>
      <c r="GV20" s="22">
        <v>1</v>
      </c>
      <c r="GW20" s="22">
        <f t="shared" ref="GW20:GW31" si="131">$IW$21*GV20</f>
        <v>1.125</v>
      </c>
      <c r="GX20" s="22">
        <v>0</v>
      </c>
      <c r="GY20" s="22">
        <f t="shared" ref="GY20:GY31" si="132">$IV$21*GX20</f>
        <v>0</v>
      </c>
      <c r="GZ20" s="22">
        <f t="shared" ref="GZ20:GZ31" si="133">GU20+GW20+GY20</f>
        <v>4.625</v>
      </c>
      <c r="HA20" s="23">
        <f t="shared" ref="HA20:HA31" si="134">GR$18-GU20-GW20-GY20</f>
        <v>91.375</v>
      </c>
      <c r="HB20" s="20">
        <f t="shared" ref="HB20:HB31" si="135">($IR20+(($IQ20-1)*$IS20)+$IT20)*HK20/144</f>
        <v>2.1192586805555553</v>
      </c>
      <c r="HC20" s="21" t="str">
        <f t="shared" ref="HC20:HC31" si="136">"("&amp;FIXED(HB20*0.092903,2)&amp;")"</f>
        <v>(0.20)</v>
      </c>
      <c r="HD20" s="22">
        <v>2</v>
      </c>
      <c r="HE20" s="22">
        <f t="shared" ref="HE20:HE31" si="137">$IU$21*HD20</f>
        <v>3.5</v>
      </c>
      <c r="HF20" s="22">
        <v>1</v>
      </c>
      <c r="HG20" s="22">
        <f t="shared" ref="HG20:HG31" si="138">$IW$21*HF20</f>
        <v>1.125</v>
      </c>
      <c r="HH20" s="22">
        <v>0</v>
      </c>
      <c r="HI20" s="22">
        <f t="shared" ref="HI20:HI31" si="139">$IV$21*HH20</f>
        <v>0</v>
      </c>
      <c r="HJ20" s="22">
        <f t="shared" ref="HJ20:HJ31" si="140">HE20+HG20+HI20</f>
        <v>4.625</v>
      </c>
      <c r="HK20" s="23">
        <f t="shared" ref="HK20:HK31" si="141">HB$18-HE20-HG20-HI20</f>
        <v>97.375</v>
      </c>
      <c r="HL20" s="20">
        <f t="shared" ref="HL20:HL31" si="142">($IR20+(($IQ20-1)*$IS20)+$IT20)*HU20/144</f>
        <v>2.206314236111111</v>
      </c>
      <c r="HM20" s="21" t="str">
        <f t="shared" ref="HM20:HM31" si="143">"("&amp;FIXED(HL20*0.092903,2)&amp;")"</f>
        <v>(0.20)</v>
      </c>
      <c r="HN20" s="22">
        <v>2</v>
      </c>
      <c r="HO20" s="22">
        <f t="shared" ref="HO20:HO31" si="144">$IU$21*HN20</f>
        <v>3.5</v>
      </c>
      <c r="HP20" s="22">
        <v>1</v>
      </c>
      <c r="HQ20" s="22">
        <f t="shared" ref="HQ20:HQ31" si="145">$IW$21*HP20</f>
        <v>1.125</v>
      </c>
      <c r="HR20" s="22">
        <v>2</v>
      </c>
      <c r="HS20" s="22">
        <f t="shared" ref="HS20:HS31" si="146">$IV$21*HR20</f>
        <v>2</v>
      </c>
      <c r="HT20" s="22">
        <f t="shared" ref="HT20:HT31" si="147">HO20+HQ20+HS20</f>
        <v>6.625</v>
      </c>
      <c r="HU20" s="23">
        <f t="shared" ref="HU20:HU31" si="148">HL$18-HO20-HQ20-HS20</f>
        <v>101.375</v>
      </c>
      <c r="HV20" s="20">
        <f t="shared" ref="HV20:HV31" si="149">($IR20+(($IQ20-1)*$IS20)+$IT20)*IE20/144</f>
        <v>2.336897569444444</v>
      </c>
      <c r="HW20" s="21" t="str">
        <f t="shared" ref="HW20:HW31" si="150">"("&amp;FIXED(HV20*0.092903,2)&amp;")"</f>
        <v>(0.22)</v>
      </c>
      <c r="HX20" s="22">
        <v>2</v>
      </c>
      <c r="HY20" s="22">
        <f t="shared" ref="HY20:HY31" si="151">$IU$21*HX20</f>
        <v>3.5</v>
      </c>
      <c r="HZ20" s="22">
        <v>1</v>
      </c>
      <c r="IA20" s="22">
        <f t="shared" ref="IA20:IA31" si="152">$IW$21*HZ20</f>
        <v>1.125</v>
      </c>
      <c r="IB20" s="22">
        <v>2</v>
      </c>
      <c r="IC20" s="22">
        <f t="shared" ref="IC20:IC31" si="153">$IV$21*IB20</f>
        <v>2</v>
      </c>
      <c r="ID20" s="22">
        <f t="shared" ref="ID20:ID31" si="154">HY20+IA20+IC20</f>
        <v>6.625</v>
      </c>
      <c r="IE20" s="23">
        <f t="shared" ref="IE20:IE31" si="155">HV$18-HY20-IA20-IC20</f>
        <v>107.375</v>
      </c>
      <c r="IF20" s="20">
        <f t="shared" ref="IF20:IF31" si="156">($IR20+(($IQ20-1)*$IS20)+$IT20)*IO20/144</f>
        <v>2.467480902777778</v>
      </c>
      <c r="IG20" s="21" t="str">
        <f t="shared" ref="IG20:IG31" si="157">"("&amp;FIXED(IF20*0.092903,2)&amp;")"</f>
        <v>(0.23)</v>
      </c>
      <c r="IH20" s="22">
        <v>2</v>
      </c>
      <c r="II20" s="22">
        <f t="shared" ref="II20:II31" si="158">$IU$21*IH20</f>
        <v>3.5</v>
      </c>
      <c r="IJ20" s="22">
        <v>1</v>
      </c>
      <c r="IK20" s="22">
        <f t="shared" ref="IK20:IK31" si="159">$IW$21*IJ20</f>
        <v>1.125</v>
      </c>
      <c r="IL20" s="22">
        <v>2</v>
      </c>
      <c r="IM20" s="22">
        <f t="shared" ref="IM20:IM31" si="160">$IV$21*IL20</f>
        <v>2</v>
      </c>
      <c r="IN20" s="22">
        <f t="shared" ref="IN20:IN31" si="161">II20+IK20+IM20</f>
        <v>6.625</v>
      </c>
      <c r="IO20" s="23">
        <f t="shared" ref="IO20:IO31" si="162">IF$18-II20-IK20-IM20</f>
        <v>113.375</v>
      </c>
      <c r="IP20" s="15"/>
      <c r="IQ20" s="467">
        <v>1</v>
      </c>
      <c r="IR20" s="468">
        <v>2.645</v>
      </c>
      <c r="IS20" s="468">
        <v>2.645</v>
      </c>
      <c r="IT20" s="468">
        <v>0.48899999999999999</v>
      </c>
      <c r="IU20" s="468">
        <v>1.75</v>
      </c>
      <c r="IV20" s="468">
        <v>1</v>
      </c>
      <c r="IW20" s="468">
        <v>1.125</v>
      </c>
      <c r="IX20" s="8"/>
    </row>
    <row r="21" spans="2:258" ht="15.75" thickBot="1" x14ac:dyDescent="0.3">
      <c r="B21" s="103">
        <f t="shared" si="21"/>
        <v>30</v>
      </c>
      <c r="C21" s="221">
        <v>6</v>
      </c>
      <c r="D21" s="98">
        <f t="shared" si="1"/>
        <v>0.34124444444444441</v>
      </c>
      <c r="E21" s="96">
        <f t="shared" si="2"/>
        <v>0.39553333333333335</v>
      </c>
      <c r="F21" s="96">
        <f t="shared" si="3"/>
        <v>0.44982222222222223</v>
      </c>
      <c r="G21" s="96">
        <f t="shared" si="4"/>
        <v>0.47696666666666665</v>
      </c>
      <c r="H21" s="96">
        <f t="shared" si="5"/>
        <v>0.49325333333333332</v>
      </c>
      <c r="I21" s="96">
        <f t="shared" si="6"/>
        <v>0.50411111111111107</v>
      </c>
      <c r="J21" s="96">
        <f t="shared" si="7"/>
        <v>0.51186666666666669</v>
      </c>
      <c r="K21" s="96">
        <f t="shared" si="8"/>
        <v>0.51768333333333327</v>
      </c>
      <c r="L21" s="96">
        <f t="shared" si="9"/>
        <v>0.51186666666666669</v>
      </c>
      <c r="M21" s="96">
        <f t="shared" si="10"/>
        <v>0.51651999999999998</v>
      </c>
      <c r="N21" s="96">
        <f t="shared" si="11"/>
        <v>0.52032727272727264</v>
      </c>
      <c r="O21" s="96">
        <f t="shared" si="12"/>
        <v>0.5225305555555555</v>
      </c>
      <c r="P21" s="96">
        <f t="shared" si="13"/>
        <v>0.52528974358974356</v>
      </c>
      <c r="Q21" s="96">
        <f t="shared" si="14"/>
        <v>0.52765476190476179</v>
      </c>
      <c r="R21" s="96">
        <f t="shared" si="15"/>
        <v>0.52970444444444453</v>
      </c>
      <c r="S21" s="96">
        <f t="shared" si="16"/>
        <v>0.53149791666666668</v>
      </c>
      <c r="T21" s="96">
        <f t="shared" si="17"/>
        <v>0.53308039215686276</v>
      </c>
      <c r="U21" s="96">
        <f t="shared" si="18"/>
        <v>0.52414629629629628</v>
      </c>
      <c r="V21" s="96">
        <f t="shared" si="19"/>
        <v>0.52594912280701744</v>
      </c>
      <c r="W21" s="96">
        <f t="shared" si="20"/>
        <v>0.52757166666666666</v>
      </c>
      <c r="X21" s="96"/>
      <c r="Y21" s="65"/>
      <c r="AA21" s="83"/>
      <c r="AT21" s="4"/>
      <c r="AU21" s="14">
        <v>12</v>
      </c>
      <c r="AV21" s="12" t="str">
        <f t="shared" si="22"/>
        <v>(300)</v>
      </c>
      <c r="AW21" s="19"/>
      <c r="AX21" s="20">
        <f t="shared" si="23"/>
        <v>0.18092708333333332</v>
      </c>
      <c r="AY21" s="21" t="str">
        <f t="shared" si="24"/>
        <v>(0.02)</v>
      </c>
      <c r="AZ21" s="22">
        <v>2</v>
      </c>
      <c r="BA21" s="22">
        <f t="shared" si="25"/>
        <v>3.5</v>
      </c>
      <c r="BB21" s="22">
        <v>0</v>
      </c>
      <c r="BC21" s="22">
        <f t="shared" si="26"/>
        <v>0</v>
      </c>
      <c r="BD21" s="22">
        <v>0</v>
      </c>
      <c r="BE21" s="22">
        <f t="shared" si="27"/>
        <v>0</v>
      </c>
      <c r="BF21" s="22">
        <f t="shared" si="28"/>
        <v>3.5</v>
      </c>
      <c r="BG21" s="23">
        <f t="shared" si="29"/>
        <v>5.5</v>
      </c>
      <c r="BH21" s="373">
        <f t="shared" si="30"/>
        <v>0.27961458333333333</v>
      </c>
      <c r="BI21" s="374" t="str">
        <f t="shared" si="31"/>
        <v>(0.03)</v>
      </c>
      <c r="BJ21" s="375">
        <v>2</v>
      </c>
      <c r="BK21" s="375">
        <f t="shared" si="32"/>
        <v>3.5</v>
      </c>
      <c r="BL21" s="375">
        <v>0</v>
      </c>
      <c r="BM21" s="375">
        <f t="shared" si="33"/>
        <v>0</v>
      </c>
      <c r="BN21" s="375">
        <v>0</v>
      </c>
      <c r="BO21" s="375">
        <f t="shared" si="34"/>
        <v>0</v>
      </c>
      <c r="BP21" s="375">
        <f t="shared" si="35"/>
        <v>3.5</v>
      </c>
      <c r="BQ21" s="376">
        <f t="shared" si="36"/>
        <v>8.5</v>
      </c>
      <c r="BR21" s="373">
        <f t="shared" si="37"/>
        <v>0.4769895833333333</v>
      </c>
      <c r="BS21" s="374" t="str">
        <f t="shared" si="38"/>
        <v>(0.04)</v>
      </c>
      <c r="BT21" s="375">
        <v>2</v>
      </c>
      <c r="BU21" s="375">
        <f t="shared" si="39"/>
        <v>3.5</v>
      </c>
      <c r="BV21" s="375">
        <v>0</v>
      </c>
      <c r="BW21" s="375">
        <f t="shared" si="40"/>
        <v>0</v>
      </c>
      <c r="BX21" s="375">
        <v>0</v>
      </c>
      <c r="BY21" s="375">
        <f t="shared" si="41"/>
        <v>0</v>
      </c>
      <c r="BZ21" s="375">
        <f t="shared" si="42"/>
        <v>3.5</v>
      </c>
      <c r="CA21" s="376">
        <f t="shared" si="43"/>
        <v>14.5</v>
      </c>
      <c r="CB21" s="373">
        <f t="shared" si="44"/>
        <v>0.67436458333333338</v>
      </c>
      <c r="CC21" s="374" t="str">
        <f t="shared" si="45"/>
        <v>(0.06)</v>
      </c>
      <c r="CD21" s="375">
        <v>2</v>
      </c>
      <c r="CE21" s="375">
        <f t="shared" si="46"/>
        <v>3.5</v>
      </c>
      <c r="CF21" s="375">
        <v>0</v>
      </c>
      <c r="CG21" s="375">
        <f t="shared" si="47"/>
        <v>0</v>
      </c>
      <c r="CH21" s="375">
        <v>0</v>
      </c>
      <c r="CI21" s="375">
        <f t="shared" si="48"/>
        <v>0</v>
      </c>
      <c r="CJ21" s="375">
        <f t="shared" si="49"/>
        <v>3.5</v>
      </c>
      <c r="CK21" s="376">
        <f t="shared" si="50"/>
        <v>20.5</v>
      </c>
      <c r="CL21" s="373">
        <f t="shared" si="51"/>
        <v>0.87173958333333335</v>
      </c>
      <c r="CM21" s="374" t="str">
        <f t="shared" si="52"/>
        <v>(0.08)</v>
      </c>
      <c r="CN21" s="375">
        <v>2</v>
      </c>
      <c r="CO21" s="375">
        <f t="shared" si="53"/>
        <v>3.5</v>
      </c>
      <c r="CP21" s="375">
        <v>0</v>
      </c>
      <c r="CQ21" s="375">
        <f t="shared" si="54"/>
        <v>0</v>
      </c>
      <c r="CR21" s="375">
        <v>0</v>
      </c>
      <c r="CS21" s="375">
        <f t="shared" si="55"/>
        <v>0</v>
      </c>
      <c r="CT21" s="375">
        <f t="shared" si="56"/>
        <v>3.5</v>
      </c>
      <c r="CU21" s="376">
        <f t="shared" si="57"/>
        <v>26.5</v>
      </c>
      <c r="CV21" s="373">
        <f t="shared" si="58"/>
        <v>1.0691145833333335</v>
      </c>
      <c r="CW21" s="374" t="str">
        <f t="shared" si="59"/>
        <v>(0.1)</v>
      </c>
      <c r="CX21" s="375">
        <v>2</v>
      </c>
      <c r="CY21" s="375">
        <f t="shared" si="60"/>
        <v>3.5</v>
      </c>
      <c r="CZ21" s="375">
        <v>0</v>
      </c>
      <c r="DA21" s="375">
        <f t="shared" si="61"/>
        <v>0</v>
      </c>
      <c r="DB21" s="375">
        <v>0</v>
      </c>
      <c r="DC21" s="375">
        <f t="shared" si="62"/>
        <v>0</v>
      </c>
      <c r="DD21" s="375">
        <f t="shared" si="63"/>
        <v>3.5</v>
      </c>
      <c r="DE21" s="376">
        <f t="shared" si="64"/>
        <v>32.5</v>
      </c>
      <c r="DF21" s="373">
        <f t="shared" si="65"/>
        <v>1.2664895833333334</v>
      </c>
      <c r="DG21" s="374" t="str">
        <f t="shared" si="66"/>
        <v>(0.12)</v>
      </c>
      <c r="DH21" s="375">
        <v>2</v>
      </c>
      <c r="DI21" s="375">
        <f t="shared" si="67"/>
        <v>3.5</v>
      </c>
      <c r="DJ21" s="375">
        <v>0</v>
      </c>
      <c r="DK21" s="375">
        <f t="shared" si="68"/>
        <v>0</v>
      </c>
      <c r="DL21" s="375">
        <v>0</v>
      </c>
      <c r="DM21" s="375">
        <f t="shared" si="69"/>
        <v>0</v>
      </c>
      <c r="DN21" s="375">
        <f t="shared" si="70"/>
        <v>3.5</v>
      </c>
      <c r="DO21" s="376">
        <f t="shared" si="71"/>
        <v>38.5</v>
      </c>
      <c r="DP21" s="373">
        <f t="shared" si="72"/>
        <v>1.4638645833333335</v>
      </c>
      <c r="DQ21" s="374" t="str">
        <f t="shared" si="73"/>
        <v>(0.14)</v>
      </c>
      <c r="DR21" s="375">
        <v>2</v>
      </c>
      <c r="DS21" s="375">
        <f t="shared" si="74"/>
        <v>3.5</v>
      </c>
      <c r="DT21" s="375">
        <v>0</v>
      </c>
      <c r="DU21" s="375">
        <f t="shared" si="75"/>
        <v>0</v>
      </c>
      <c r="DV21" s="375">
        <v>0</v>
      </c>
      <c r="DW21" s="375">
        <f t="shared" si="76"/>
        <v>0</v>
      </c>
      <c r="DX21" s="375">
        <f t="shared" si="77"/>
        <v>3.5</v>
      </c>
      <c r="DY21" s="376">
        <f t="shared" si="78"/>
        <v>44.5</v>
      </c>
      <c r="DZ21" s="373">
        <f t="shared" si="79"/>
        <v>1.62834375</v>
      </c>
      <c r="EA21" s="374" t="str">
        <f t="shared" si="80"/>
        <v>(0.15)</v>
      </c>
      <c r="EB21" s="375">
        <v>2</v>
      </c>
      <c r="EC21" s="375">
        <f t="shared" si="81"/>
        <v>3.5</v>
      </c>
      <c r="ED21" s="375">
        <v>0</v>
      </c>
      <c r="EE21" s="375">
        <f t="shared" si="82"/>
        <v>0</v>
      </c>
      <c r="EF21" s="375">
        <v>1</v>
      </c>
      <c r="EG21" s="375">
        <f t="shared" si="83"/>
        <v>1</v>
      </c>
      <c r="EH21" s="375">
        <f t="shared" si="84"/>
        <v>4.5</v>
      </c>
      <c r="EI21" s="376">
        <f t="shared" si="85"/>
        <v>49.5</v>
      </c>
      <c r="EJ21" s="373">
        <f t="shared" si="86"/>
        <v>1.8257187500000001</v>
      </c>
      <c r="EK21" s="374" t="str">
        <f t="shared" si="87"/>
        <v>(0.17)</v>
      </c>
      <c r="EL21" s="375">
        <v>2</v>
      </c>
      <c r="EM21" s="375">
        <f t="shared" si="88"/>
        <v>3.5</v>
      </c>
      <c r="EN21" s="375">
        <v>0</v>
      </c>
      <c r="EO21" s="375">
        <f t="shared" si="89"/>
        <v>0</v>
      </c>
      <c r="EP21" s="375">
        <v>1</v>
      </c>
      <c r="EQ21" s="375">
        <f t="shared" si="90"/>
        <v>1</v>
      </c>
      <c r="ER21" s="375">
        <f t="shared" si="91"/>
        <v>4.5</v>
      </c>
      <c r="ES21" s="376">
        <f t="shared" si="92"/>
        <v>55.5</v>
      </c>
      <c r="ET21" s="373">
        <f t="shared" si="93"/>
        <v>2.0230937500000001</v>
      </c>
      <c r="EU21" s="374" t="str">
        <f t="shared" si="94"/>
        <v>(0.19)</v>
      </c>
      <c r="EV21" s="375">
        <v>2</v>
      </c>
      <c r="EW21" s="375">
        <f t="shared" si="95"/>
        <v>3.5</v>
      </c>
      <c r="EX21" s="375">
        <v>0</v>
      </c>
      <c r="EY21" s="375">
        <f t="shared" si="96"/>
        <v>0</v>
      </c>
      <c r="EZ21" s="375">
        <v>1</v>
      </c>
      <c r="FA21" s="375">
        <f t="shared" si="97"/>
        <v>1</v>
      </c>
      <c r="FB21" s="375">
        <f t="shared" si="98"/>
        <v>4.5</v>
      </c>
      <c r="FC21" s="376">
        <f t="shared" si="99"/>
        <v>61.5</v>
      </c>
      <c r="FD21" s="373">
        <f t="shared" si="100"/>
        <v>2.2163567708333334</v>
      </c>
      <c r="FE21" s="374" t="str">
        <f t="shared" si="101"/>
        <v>(0.21)</v>
      </c>
      <c r="FF21" s="375">
        <v>2</v>
      </c>
      <c r="FG21" s="375">
        <f t="shared" si="102"/>
        <v>3.5</v>
      </c>
      <c r="FH21" s="375">
        <v>1</v>
      </c>
      <c r="FI21" s="375">
        <f t="shared" si="103"/>
        <v>1.125</v>
      </c>
      <c r="FJ21" s="375">
        <v>0</v>
      </c>
      <c r="FK21" s="375">
        <f t="shared" si="104"/>
        <v>0</v>
      </c>
      <c r="FL21" s="375">
        <f t="shared" si="105"/>
        <v>4.625</v>
      </c>
      <c r="FM21" s="376">
        <f t="shared" si="106"/>
        <v>67.375</v>
      </c>
      <c r="FN21" s="373">
        <f t="shared" si="107"/>
        <v>2.4137317708333335</v>
      </c>
      <c r="FO21" s="374" t="str">
        <f t="shared" si="108"/>
        <v>(0.22)</v>
      </c>
      <c r="FP21" s="375">
        <v>2</v>
      </c>
      <c r="FQ21" s="375">
        <f t="shared" si="109"/>
        <v>3.5</v>
      </c>
      <c r="FR21" s="375">
        <v>1</v>
      </c>
      <c r="FS21" s="375">
        <f t="shared" si="110"/>
        <v>1.125</v>
      </c>
      <c r="FT21" s="375">
        <v>0</v>
      </c>
      <c r="FU21" s="375">
        <f t="shared" si="111"/>
        <v>0</v>
      </c>
      <c r="FV21" s="375">
        <f t="shared" si="112"/>
        <v>4.625</v>
      </c>
      <c r="FW21" s="376">
        <f t="shared" si="113"/>
        <v>73.375</v>
      </c>
      <c r="FX21" s="373">
        <f t="shared" si="114"/>
        <v>2.6111067708333331</v>
      </c>
      <c r="FY21" s="374" t="str">
        <f t="shared" si="115"/>
        <v>(0.24)</v>
      </c>
      <c r="FZ21" s="375">
        <v>2</v>
      </c>
      <c r="GA21" s="375">
        <f t="shared" si="116"/>
        <v>3.5</v>
      </c>
      <c r="GB21" s="375">
        <v>1</v>
      </c>
      <c r="GC21" s="375">
        <f t="shared" si="117"/>
        <v>1.125</v>
      </c>
      <c r="GD21" s="375">
        <v>0</v>
      </c>
      <c r="GE21" s="375">
        <f t="shared" si="118"/>
        <v>0</v>
      </c>
      <c r="GF21" s="375">
        <f t="shared" si="119"/>
        <v>4.625</v>
      </c>
      <c r="GG21" s="376">
        <f t="shared" si="120"/>
        <v>79.375</v>
      </c>
      <c r="GH21" s="373">
        <f t="shared" si="121"/>
        <v>2.8084817708333336</v>
      </c>
      <c r="GI21" s="374" t="str">
        <f t="shared" si="122"/>
        <v>(0.26)</v>
      </c>
      <c r="GJ21" s="375">
        <v>2</v>
      </c>
      <c r="GK21" s="375">
        <f t="shared" si="123"/>
        <v>3.5</v>
      </c>
      <c r="GL21" s="375">
        <v>1</v>
      </c>
      <c r="GM21" s="375">
        <f t="shared" si="124"/>
        <v>1.125</v>
      </c>
      <c r="GN21" s="375">
        <v>0</v>
      </c>
      <c r="GO21" s="375">
        <f t="shared" si="125"/>
        <v>0</v>
      </c>
      <c r="GP21" s="375">
        <f t="shared" si="126"/>
        <v>4.625</v>
      </c>
      <c r="GQ21" s="376">
        <f t="shared" si="127"/>
        <v>85.375</v>
      </c>
      <c r="GR21" s="373">
        <f t="shared" si="128"/>
        <v>3.0058567708333337</v>
      </c>
      <c r="GS21" s="374" t="str">
        <f t="shared" si="129"/>
        <v>(0.28)</v>
      </c>
      <c r="GT21" s="375">
        <v>2</v>
      </c>
      <c r="GU21" s="375">
        <f t="shared" si="130"/>
        <v>3.5</v>
      </c>
      <c r="GV21" s="375">
        <v>1</v>
      </c>
      <c r="GW21" s="375">
        <f t="shared" si="131"/>
        <v>1.125</v>
      </c>
      <c r="GX21" s="375">
        <v>0</v>
      </c>
      <c r="GY21" s="375">
        <f t="shared" si="132"/>
        <v>0</v>
      </c>
      <c r="GZ21" s="375">
        <f t="shared" si="133"/>
        <v>4.625</v>
      </c>
      <c r="HA21" s="376">
        <f t="shared" si="134"/>
        <v>91.375</v>
      </c>
      <c r="HB21" s="373">
        <f t="shared" si="135"/>
        <v>3.2032317708333333</v>
      </c>
      <c r="HC21" s="374" t="str">
        <f t="shared" si="136"/>
        <v>(0.30)</v>
      </c>
      <c r="HD21" s="375">
        <v>2</v>
      </c>
      <c r="HE21" s="375">
        <f t="shared" si="137"/>
        <v>3.5</v>
      </c>
      <c r="HF21" s="375">
        <v>1</v>
      </c>
      <c r="HG21" s="375">
        <f t="shared" si="138"/>
        <v>1.125</v>
      </c>
      <c r="HH21" s="375">
        <v>0</v>
      </c>
      <c r="HI21" s="375">
        <f t="shared" si="139"/>
        <v>0</v>
      </c>
      <c r="HJ21" s="375">
        <f t="shared" si="140"/>
        <v>4.625</v>
      </c>
      <c r="HK21" s="376">
        <f t="shared" si="141"/>
        <v>97.375</v>
      </c>
      <c r="HL21" s="373">
        <f t="shared" si="142"/>
        <v>3.3348151041666667</v>
      </c>
      <c r="HM21" s="374" t="str">
        <f t="shared" si="143"/>
        <v>(0.31)</v>
      </c>
      <c r="HN21" s="375">
        <v>2</v>
      </c>
      <c r="HO21" s="375">
        <f t="shared" si="144"/>
        <v>3.5</v>
      </c>
      <c r="HP21" s="375">
        <v>1</v>
      </c>
      <c r="HQ21" s="375">
        <f t="shared" si="145"/>
        <v>1.125</v>
      </c>
      <c r="HR21" s="375">
        <v>2</v>
      </c>
      <c r="HS21" s="375">
        <f t="shared" si="146"/>
        <v>2</v>
      </c>
      <c r="HT21" s="375">
        <f t="shared" si="147"/>
        <v>6.625</v>
      </c>
      <c r="HU21" s="376">
        <f t="shared" si="148"/>
        <v>101.375</v>
      </c>
      <c r="HV21" s="373">
        <f t="shared" si="149"/>
        <v>3.5321901041666668</v>
      </c>
      <c r="HW21" s="374" t="str">
        <f t="shared" si="150"/>
        <v>(0.33)</v>
      </c>
      <c r="HX21" s="375">
        <v>2</v>
      </c>
      <c r="HY21" s="375">
        <f t="shared" si="151"/>
        <v>3.5</v>
      </c>
      <c r="HZ21" s="375">
        <v>1</v>
      </c>
      <c r="IA21" s="375">
        <f t="shared" si="152"/>
        <v>1.125</v>
      </c>
      <c r="IB21" s="375">
        <v>2</v>
      </c>
      <c r="IC21" s="375">
        <f t="shared" si="153"/>
        <v>2</v>
      </c>
      <c r="ID21" s="375">
        <f t="shared" si="154"/>
        <v>6.625</v>
      </c>
      <c r="IE21" s="376">
        <f t="shared" si="155"/>
        <v>107.375</v>
      </c>
      <c r="IF21" s="373">
        <f t="shared" si="156"/>
        <v>3.7295651041666664</v>
      </c>
      <c r="IG21" s="374" t="str">
        <f t="shared" si="157"/>
        <v>(0.35)</v>
      </c>
      <c r="IH21" s="22">
        <v>2</v>
      </c>
      <c r="II21" s="22">
        <f t="shared" si="158"/>
        <v>3.5</v>
      </c>
      <c r="IJ21" s="22">
        <v>1</v>
      </c>
      <c r="IK21" s="22">
        <f t="shared" si="159"/>
        <v>1.125</v>
      </c>
      <c r="IL21" s="22">
        <v>2</v>
      </c>
      <c r="IM21" s="22">
        <f t="shared" si="160"/>
        <v>2</v>
      </c>
      <c r="IN21" s="22">
        <f t="shared" si="161"/>
        <v>6.625</v>
      </c>
      <c r="IO21" s="23">
        <f t="shared" si="162"/>
        <v>113.375</v>
      </c>
      <c r="IP21" s="24"/>
      <c r="IQ21" s="467">
        <v>1</v>
      </c>
      <c r="IR21" s="468">
        <v>2.645</v>
      </c>
      <c r="IS21" s="468">
        <v>2.645</v>
      </c>
      <c r="IT21" s="468">
        <v>2.0920000000000001</v>
      </c>
      <c r="IU21" s="468">
        <v>1.75</v>
      </c>
      <c r="IV21" s="468">
        <v>1</v>
      </c>
      <c r="IW21" s="468">
        <v>1.125</v>
      </c>
      <c r="IX21" s="8"/>
    </row>
    <row r="22" spans="2:258" ht="15.75" thickBot="1" x14ac:dyDescent="0.3">
      <c r="B22" s="103">
        <f t="shared" si="21"/>
        <v>36</v>
      </c>
      <c r="C22" s="226">
        <v>7</v>
      </c>
      <c r="D22" s="98">
        <f t="shared" si="1"/>
        <v>0.3498101851851852</v>
      </c>
      <c r="E22" s="96">
        <f t="shared" si="2"/>
        <v>0.4054618055555555</v>
      </c>
      <c r="F22" s="96">
        <f t="shared" si="3"/>
        <v>0.46111342592592586</v>
      </c>
      <c r="G22" s="96">
        <f t="shared" si="4"/>
        <v>0.48893923611111106</v>
      </c>
      <c r="H22" s="96">
        <f t="shared" si="5"/>
        <v>0.50563472222222228</v>
      </c>
      <c r="I22" s="96">
        <f t="shared" si="6"/>
        <v>0.51676504629629627</v>
      </c>
      <c r="J22" s="96">
        <f t="shared" si="7"/>
        <v>0.52471527777777782</v>
      </c>
      <c r="K22" s="96">
        <f t="shared" si="8"/>
        <v>0.53067795138888885</v>
      </c>
      <c r="L22" s="96">
        <f t="shared" si="9"/>
        <v>0.52471527777777771</v>
      </c>
      <c r="M22" s="96">
        <f t="shared" si="10"/>
        <v>0.5294854166666666</v>
      </c>
      <c r="N22" s="96">
        <f t="shared" si="11"/>
        <v>0.53338825757575759</v>
      </c>
      <c r="O22" s="96">
        <f t="shared" si="12"/>
        <v>0.53564684606481483</v>
      </c>
      <c r="P22" s="96">
        <f t="shared" si="13"/>
        <v>0.53847529380341874</v>
      </c>
      <c r="Q22" s="96">
        <f t="shared" si="14"/>
        <v>0.54089967757936508</v>
      </c>
      <c r="R22" s="96">
        <f t="shared" si="15"/>
        <v>0.5430008101851852</v>
      </c>
      <c r="S22" s="96">
        <f t="shared" si="16"/>
        <v>0.54483930121527779</v>
      </c>
      <c r="T22" s="96">
        <f t="shared" si="17"/>
        <v>0.54646149918300646</v>
      </c>
      <c r="U22" s="96">
        <f t="shared" si="18"/>
        <v>0.53730314429012338</v>
      </c>
      <c r="V22" s="96">
        <f t="shared" si="19"/>
        <v>0.53915122441520469</v>
      </c>
      <c r="W22" s="96">
        <f t="shared" si="20"/>
        <v>0.5408144965277778</v>
      </c>
      <c r="X22" s="96"/>
      <c r="Y22" s="65"/>
      <c r="AA22" s="83"/>
      <c r="AT22" s="4"/>
      <c r="AU22" s="14">
        <f t="shared" ref="AU22:AU39" si="163">AU21+6</f>
        <v>18</v>
      </c>
      <c r="AV22" s="12" t="str">
        <f t="shared" si="22"/>
        <v>(450)</v>
      </c>
      <c r="AW22" s="19"/>
      <c r="AX22" s="20">
        <f t="shared" si="23"/>
        <v>0.33676041666666667</v>
      </c>
      <c r="AY22" s="21" t="str">
        <f t="shared" si="24"/>
        <v>(0.03)</v>
      </c>
      <c r="AZ22" s="22">
        <v>2</v>
      </c>
      <c r="BA22" s="22">
        <f t="shared" si="25"/>
        <v>3.5</v>
      </c>
      <c r="BB22" s="22">
        <v>0</v>
      </c>
      <c r="BC22" s="22">
        <f t="shared" si="26"/>
        <v>0</v>
      </c>
      <c r="BD22" s="22">
        <v>0</v>
      </c>
      <c r="BE22" s="22">
        <f t="shared" si="27"/>
        <v>0</v>
      </c>
      <c r="BF22" s="22">
        <f t="shared" si="28"/>
        <v>3.5</v>
      </c>
      <c r="BG22" s="23">
        <f t="shared" si="29"/>
        <v>5.5</v>
      </c>
      <c r="BH22" s="373">
        <f t="shared" si="30"/>
        <v>0.52044791666666668</v>
      </c>
      <c r="BI22" s="374" t="str">
        <f t="shared" si="31"/>
        <v>(0.05)</v>
      </c>
      <c r="BJ22" s="375">
        <v>2</v>
      </c>
      <c r="BK22" s="375">
        <f t="shared" si="32"/>
        <v>3.5</v>
      </c>
      <c r="BL22" s="375">
        <v>0</v>
      </c>
      <c r="BM22" s="375">
        <f t="shared" si="33"/>
        <v>0</v>
      </c>
      <c r="BN22" s="375">
        <v>0</v>
      </c>
      <c r="BO22" s="375">
        <f t="shared" si="34"/>
        <v>0</v>
      </c>
      <c r="BP22" s="375">
        <f t="shared" si="35"/>
        <v>3.5</v>
      </c>
      <c r="BQ22" s="376">
        <f t="shared" si="36"/>
        <v>8.5</v>
      </c>
      <c r="BR22" s="373">
        <f t="shared" si="37"/>
        <v>0.88782291666666668</v>
      </c>
      <c r="BS22" s="374" t="str">
        <f t="shared" si="38"/>
        <v>(0.08)</v>
      </c>
      <c r="BT22" s="375">
        <v>2</v>
      </c>
      <c r="BU22" s="375">
        <f t="shared" si="39"/>
        <v>3.5</v>
      </c>
      <c r="BV22" s="375">
        <v>0</v>
      </c>
      <c r="BW22" s="375">
        <f t="shared" si="40"/>
        <v>0</v>
      </c>
      <c r="BX22" s="375">
        <v>0</v>
      </c>
      <c r="BY22" s="375">
        <f t="shared" si="41"/>
        <v>0</v>
      </c>
      <c r="BZ22" s="375">
        <f t="shared" si="42"/>
        <v>3.5</v>
      </c>
      <c r="CA22" s="376">
        <f t="shared" si="43"/>
        <v>14.5</v>
      </c>
      <c r="CB22" s="373">
        <f t="shared" si="44"/>
        <v>1.2551979166666667</v>
      </c>
      <c r="CC22" s="374" t="str">
        <f t="shared" si="45"/>
        <v>(0.12)</v>
      </c>
      <c r="CD22" s="375">
        <v>2</v>
      </c>
      <c r="CE22" s="375">
        <f t="shared" si="46"/>
        <v>3.5</v>
      </c>
      <c r="CF22" s="375">
        <v>0</v>
      </c>
      <c r="CG22" s="375">
        <f t="shared" si="47"/>
        <v>0</v>
      </c>
      <c r="CH22" s="375">
        <v>0</v>
      </c>
      <c r="CI22" s="375">
        <f t="shared" si="48"/>
        <v>0</v>
      </c>
      <c r="CJ22" s="375">
        <f t="shared" si="49"/>
        <v>3.5</v>
      </c>
      <c r="CK22" s="376">
        <f t="shared" si="50"/>
        <v>20.5</v>
      </c>
      <c r="CL22" s="373">
        <f t="shared" si="51"/>
        <v>1.6225729166666667</v>
      </c>
      <c r="CM22" s="374" t="str">
        <f t="shared" si="52"/>
        <v>(0.15)</v>
      </c>
      <c r="CN22" s="375">
        <v>2</v>
      </c>
      <c r="CO22" s="375">
        <f t="shared" si="53"/>
        <v>3.5</v>
      </c>
      <c r="CP22" s="375">
        <v>0</v>
      </c>
      <c r="CQ22" s="375">
        <f t="shared" si="54"/>
        <v>0</v>
      </c>
      <c r="CR22" s="375">
        <v>0</v>
      </c>
      <c r="CS22" s="375">
        <f t="shared" si="55"/>
        <v>0</v>
      </c>
      <c r="CT22" s="375">
        <f t="shared" si="56"/>
        <v>3.5</v>
      </c>
      <c r="CU22" s="376">
        <f t="shared" si="57"/>
        <v>26.5</v>
      </c>
      <c r="CV22" s="373">
        <f t="shared" si="58"/>
        <v>1.9899479166666667</v>
      </c>
      <c r="CW22" s="374" t="str">
        <f t="shared" si="59"/>
        <v>(0.18)</v>
      </c>
      <c r="CX22" s="375">
        <v>2</v>
      </c>
      <c r="CY22" s="375">
        <f t="shared" si="60"/>
        <v>3.5</v>
      </c>
      <c r="CZ22" s="375">
        <v>0</v>
      </c>
      <c r="DA22" s="375">
        <f t="shared" si="61"/>
        <v>0</v>
      </c>
      <c r="DB22" s="375">
        <v>0</v>
      </c>
      <c r="DC22" s="375">
        <f t="shared" si="62"/>
        <v>0</v>
      </c>
      <c r="DD22" s="375">
        <f t="shared" si="63"/>
        <v>3.5</v>
      </c>
      <c r="DE22" s="376">
        <f t="shared" si="64"/>
        <v>32.5</v>
      </c>
      <c r="DF22" s="373">
        <f t="shared" si="65"/>
        <v>2.3573229166666665</v>
      </c>
      <c r="DG22" s="374" t="str">
        <f t="shared" si="66"/>
        <v>(0.22)</v>
      </c>
      <c r="DH22" s="375">
        <v>2</v>
      </c>
      <c r="DI22" s="375">
        <f t="shared" si="67"/>
        <v>3.5</v>
      </c>
      <c r="DJ22" s="375">
        <v>0</v>
      </c>
      <c r="DK22" s="375">
        <f t="shared" si="68"/>
        <v>0</v>
      </c>
      <c r="DL22" s="375">
        <v>0</v>
      </c>
      <c r="DM22" s="375">
        <f t="shared" si="69"/>
        <v>0</v>
      </c>
      <c r="DN22" s="375">
        <f t="shared" si="70"/>
        <v>3.5</v>
      </c>
      <c r="DO22" s="376">
        <f t="shared" si="71"/>
        <v>38.5</v>
      </c>
      <c r="DP22" s="373">
        <f t="shared" si="72"/>
        <v>2.7246979166666665</v>
      </c>
      <c r="DQ22" s="374" t="str">
        <f t="shared" si="73"/>
        <v>(0.25)</v>
      </c>
      <c r="DR22" s="375">
        <v>2</v>
      </c>
      <c r="DS22" s="375">
        <f t="shared" si="74"/>
        <v>3.5</v>
      </c>
      <c r="DT22" s="375">
        <v>0</v>
      </c>
      <c r="DU22" s="375">
        <f t="shared" si="75"/>
        <v>0</v>
      </c>
      <c r="DV22" s="375">
        <v>0</v>
      </c>
      <c r="DW22" s="375">
        <f t="shared" si="76"/>
        <v>0</v>
      </c>
      <c r="DX22" s="375">
        <f t="shared" si="77"/>
        <v>3.5</v>
      </c>
      <c r="DY22" s="376">
        <f t="shared" si="78"/>
        <v>44.5</v>
      </c>
      <c r="DZ22" s="373">
        <f t="shared" si="79"/>
        <v>3.0308437500000003</v>
      </c>
      <c r="EA22" s="374" t="str">
        <f t="shared" si="80"/>
        <v>(0.28)</v>
      </c>
      <c r="EB22" s="375">
        <v>2</v>
      </c>
      <c r="EC22" s="375">
        <f t="shared" si="81"/>
        <v>3.5</v>
      </c>
      <c r="ED22" s="375">
        <v>0</v>
      </c>
      <c r="EE22" s="375">
        <f t="shared" si="82"/>
        <v>0</v>
      </c>
      <c r="EF22" s="375">
        <v>1</v>
      </c>
      <c r="EG22" s="375">
        <f t="shared" si="83"/>
        <v>1</v>
      </c>
      <c r="EH22" s="375">
        <f t="shared" si="84"/>
        <v>4.5</v>
      </c>
      <c r="EI22" s="376">
        <f t="shared" si="85"/>
        <v>49.5</v>
      </c>
      <c r="EJ22" s="373">
        <f t="shared" si="86"/>
        <v>3.3982187499999998</v>
      </c>
      <c r="EK22" s="374" t="str">
        <f t="shared" si="87"/>
        <v>(0.32)</v>
      </c>
      <c r="EL22" s="375">
        <v>2</v>
      </c>
      <c r="EM22" s="375">
        <f t="shared" si="88"/>
        <v>3.5</v>
      </c>
      <c r="EN22" s="375">
        <v>0</v>
      </c>
      <c r="EO22" s="375">
        <f t="shared" si="89"/>
        <v>0</v>
      </c>
      <c r="EP22" s="375">
        <v>1</v>
      </c>
      <c r="EQ22" s="375">
        <f t="shared" si="90"/>
        <v>1</v>
      </c>
      <c r="ER22" s="375">
        <f t="shared" si="91"/>
        <v>4.5</v>
      </c>
      <c r="ES22" s="376">
        <f t="shared" si="92"/>
        <v>55.5</v>
      </c>
      <c r="ET22" s="373">
        <f t="shared" si="93"/>
        <v>3.7655937499999999</v>
      </c>
      <c r="EU22" s="374" t="str">
        <f t="shared" si="94"/>
        <v>(0.35)</v>
      </c>
      <c r="EV22" s="375">
        <v>2</v>
      </c>
      <c r="EW22" s="375">
        <f t="shared" si="95"/>
        <v>3.5</v>
      </c>
      <c r="EX22" s="375">
        <v>0</v>
      </c>
      <c r="EY22" s="375">
        <f t="shared" si="96"/>
        <v>0</v>
      </c>
      <c r="EZ22" s="375">
        <v>1</v>
      </c>
      <c r="FA22" s="375">
        <f t="shared" si="97"/>
        <v>1</v>
      </c>
      <c r="FB22" s="375">
        <f t="shared" si="98"/>
        <v>4.5</v>
      </c>
      <c r="FC22" s="376">
        <f t="shared" si="99"/>
        <v>61.5</v>
      </c>
      <c r="FD22" s="373">
        <f t="shared" si="100"/>
        <v>4.1253151041666669</v>
      </c>
      <c r="FE22" s="374" t="str">
        <f t="shared" si="101"/>
        <v>(0.38)</v>
      </c>
      <c r="FF22" s="375">
        <v>2</v>
      </c>
      <c r="FG22" s="375">
        <f t="shared" si="102"/>
        <v>3.5</v>
      </c>
      <c r="FH22" s="375">
        <v>1</v>
      </c>
      <c r="FI22" s="375">
        <f t="shared" si="103"/>
        <v>1.125</v>
      </c>
      <c r="FJ22" s="375">
        <v>0</v>
      </c>
      <c r="FK22" s="375">
        <f t="shared" si="104"/>
        <v>0</v>
      </c>
      <c r="FL22" s="375">
        <f t="shared" si="105"/>
        <v>4.625</v>
      </c>
      <c r="FM22" s="376">
        <f t="shared" si="106"/>
        <v>67.375</v>
      </c>
      <c r="FN22" s="373">
        <f t="shared" si="107"/>
        <v>4.492690104166666</v>
      </c>
      <c r="FO22" s="374" t="str">
        <f t="shared" si="108"/>
        <v>(0.42)</v>
      </c>
      <c r="FP22" s="375">
        <v>2</v>
      </c>
      <c r="FQ22" s="375">
        <f t="shared" si="109"/>
        <v>3.5</v>
      </c>
      <c r="FR22" s="375">
        <v>1</v>
      </c>
      <c r="FS22" s="375">
        <f t="shared" si="110"/>
        <v>1.125</v>
      </c>
      <c r="FT22" s="375">
        <v>0</v>
      </c>
      <c r="FU22" s="375">
        <f t="shared" si="111"/>
        <v>0</v>
      </c>
      <c r="FV22" s="375">
        <f t="shared" si="112"/>
        <v>4.625</v>
      </c>
      <c r="FW22" s="376">
        <f t="shared" si="113"/>
        <v>73.375</v>
      </c>
      <c r="FX22" s="373">
        <f t="shared" si="114"/>
        <v>4.8600651041666669</v>
      </c>
      <c r="FY22" s="374" t="str">
        <f t="shared" si="115"/>
        <v>(0.45)</v>
      </c>
      <c r="FZ22" s="375">
        <v>2</v>
      </c>
      <c r="GA22" s="375">
        <f t="shared" si="116"/>
        <v>3.5</v>
      </c>
      <c r="GB22" s="375">
        <v>1</v>
      </c>
      <c r="GC22" s="375">
        <f t="shared" si="117"/>
        <v>1.125</v>
      </c>
      <c r="GD22" s="375">
        <v>0</v>
      </c>
      <c r="GE22" s="375">
        <f t="shared" si="118"/>
        <v>0</v>
      </c>
      <c r="GF22" s="375">
        <f t="shared" si="119"/>
        <v>4.625</v>
      </c>
      <c r="GG22" s="376">
        <f t="shared" si="120"/>
        <v>79.375</v>
      </c>
      <c r="GH22" s="373">
        <f t="shared" si="121"/>
        <v>5.2274401041666669</v>
      </c>
      <c r="GI22" s="374" t="str">
        <f t="shared" si="122"/>
        <v>(0.49)</v>
      </c>
      <c r="GJ22" s="375">
        <v>2</v>
      </c>
      <c r="GK22" s="375">
        <f t="shared" si="123"/>
        <v>3.5</v>
      </c>
      <c r="GL22" s="375">
        <v>1</v>
      </c>
      <c r="GM22" s="375">
        <f t="shared" si="124"/>
        <v>1.125</v>
      </c>
      <c r="GN22" s="375">
        <v>0</v>
      </c>
      <c r="GO22" s="375">
        <f t="shared" si="125"/>
        <v>0</v>
      </c>
      <c r="GP22" s="375">
        <f t="shared" si="126"/>
        <v>4.625</v>
      </c>
      <c r="GQ22" s="376">
        <f t="shared" si="127"/>
        <v>85.375</v>
      </c>
      <c r="GR22" s="373">
        <f t="shared" si="128"/>
        <v>5.5948151041666669</v>
      </c>
      <c r="GS22" s="374" t="str">
        <f t="shared" si="129"/>
        <v>(0.52)</v>
      </c>
      <c r="GT22" s="375">
        <v>2</v>
      </c>
      <c r="GU22" s="375">
        <f t="shared" si="130"/>
        <v>3.5</v>
      </c>
      <c r="GV22" s="375">
        <v>1</v>
      </c>
      <c r="GW22" s="375">
        <f t="shared" si="131"/>
        <v>1.125</v>
      </c>
      <c r="GX22" s="375">
        <v>0</v>
      </c>
      <c r="GY22" s="375">
        <f t="shared" si="132"/>
        <v>0</v>
      </c>
      <c r="GZ22" s="375">
        <f t="shared" si="133"/>
        <v>4.625</v>
      </c>
      <c r="HA22" s="376">
        <f t="shared" si="134"/>
        <v>91.375</v>
      </c>
      <c r="HB22" s="373">
        <f t="shared" si="135"/>
        <v>5.9621901041666669</v>
      </c>
      <c r="HC22" s="374" t="str">
        <f t="shared" si="136"/>
        <v>(0.55)</v>
      </c>
      <c r="HD22" s="375">
        <v>2</v>
      </c>
      <c r="HE22" s="375">
        <f t="shared" si="137"/>
        <v>3.5</v>
      </c>
      <c r="HF22" s="375">
        <v>1</v>
      </c>
      <c r="HG22" s="375">
        <f t="shared" si="138"/>
        <v>1.125</v>
      </c>
      <c r="HH22" s="375">
        <v>0</v>
      </c>
      <c r="HI22" s="375">
        <f t="shared" si="139"/>
        <v>0</v>
      </c>
      <c r="HJ22" s="375">
        <f t="shared" si="140"/>
        <v>4.625</v>
      </c>
      <c r="HK22" s="376">
        <f t="shared" si="141"/>
        <v>97.375</v>
      </c>
      <c r="HL22" s="373">
        <f t="shared" si="142"/>
        <v>6.2071067708333336</v>
      </c>
      <c r="HM22" s="374" t="str">
        <f t="shared" si="143"/>
        <v>(0.58)</v>
      </c>
      <c r="HN22" s="375">
        <v>2</v>
      </c>
      <c r="HO22" s="375">
        <f t="shared" si="144"/>
        <v>3.5</v>
      </c>
      <c r="HP22" s="375">
        <v>1</v>
      </c>
      <c r="HQ22" s="375">
        <f t="shared" si="145"/>
        <v>1.125</v>
      </c>
      <c r="HR22" s="375">
        <v>2</v>
      </c>
      <c r="HS22" s="375">
        <f t="shared" si="146"/>
        <v>2</v>
      </c>
      <c r="HT22" s="375">
        <f t="shared" si="147"/>
        <v>6.625</v>
      </c>
      <c r="HU22" s="376">
        <f t="shared" si="148"/>
        <v>101.375</v>
      </c>
      <c r="HV22" s="373">
        <f t="shared" si="149"/>
        <v>6.5744817708333336</v>
      </c>
      <c r="HW22" s="374" t="str">
        <f t="shared" si="150"/>
        <v>(0.61)</v>
      </c>
      <c r="HX22" s="375">
        <v>2</v>
      </c>
      <c r="HY22" s="375">
        <f t="shared" si="151"/>
        <v>3.5</v>
      </c>
      <c r="HZ22" s="375">
        <v>1</v>
      </c>
      <c r="IA22" s="375">
        <f t="shared" si="152"/>
        <v>1.125</v>
      </c>
      <c r="IB22" s="375">
        <v>2</v>
      </c>
      <c r="IC22" s="375">
        <f t="shared" si="153"/>
        <v>2</v>
      </c>
      <c r="ID22" s="375">
        <f t="shared" si="154"/>
        <v>6.625</v>
      </c>
      <c r="IE22" s="376">
        <f t="shared" si="155"/>
        <v>107.375</v>
      </c>
      <c r="IF22" s="373">
        <f t="shared" si="156"/>
        <v>6.9418567708333336</v>
      </c>
      <c r="IG22" s="374" t="str">
        <f t="shared" si="157"/>
        <v>(0.64)</v>
      </c>
      <c r="IH22" s="22">
        <v>2</v>
      </c>
      <c r="II22" s="22">
        <f t="shared" si="158"/>
        <v>3.5</v>
      </c>
      <c r="IJ22" s="22">
        <v>1</v>
      </c>
      <c r="IK22" s="22">
        <f t="shared" si="159"/>
        <v>1.125</v>
      </c>
      <c r="IL22" s="22">
        <v>2</v>
      </c>
      <c r="IM22" s="22">
        <f t="shared" si="160"/>
        <v>2</v>
      </c>
      <c r="IN22" s="22">
        <f t="shared" si="161"/>
        <v>6.625</v>
      </c>
      <c r="IO22" s="23">
        <f t="shared" si="162"/>
        <v>113.375</v>
      </c>
      <c r="IP22" s="24"/>
      <c r="IQ22" s="467">
        <v>3</v>
      </c>
      <c r="IR22" s="468">
        <v>2.645</v>
      </c>
      <c r="IS22" s="468">
        <v>2.645</v>
      </c>
      <c r="IT22" s="468">
        <v>0.88200000000000001</v>
      </c>
      <c r="IU22" s="468">
        <v>1.75</v>
      </c>
      <c r="IV22" s="468">
        <v>1</v>
      </c>
      <c r="IW22" s="468">
        <v>1.125</v>
      </c>
      <c r="IX22" s="8"/>
    </row>
    <row r="23" spans="2:258" ht="15.75" thickBot="1" x14ac:dyDescent="0.3">
      <c r="B23" s="103">
        <f t="shared" si="21"/>
        <v>42</v>
      </c>
      <c r="C23" s="221">
        <v>8</v>
      </c>
      <c r="D23" s="98">
        <f t="shared" si="1"/>
        <v>0.359202380952381</v>
      </c>
      <c r="E23" s="96">
        <f t="shared" si="2"/>
        <v>0.41634821428571428</v>
      </c>
      <c r="F23" s="96">
        <f t="shared" si="3"/>
        <v>0.47349404761904762</v>
      </c>
      <c r="G23" s="96">
        <f t="shared" si="4"/>
        <v>0.50206696428571429</v>
      </c>
      <c r="H23" s="96">
        <f t="shared" si="5"/>
        <v>0.5192107142857143</v>
      </c>
      <c r="I23" s="96">
        <f t="shared" si="6"/>
        <v>0.5306398809523809</v>
      </c>
      <c r="J23" s="96">
        <f t="shared" si="7"/>
        <v>0.53880357142857149</v>
      </c>
      <c r="K23" s="96">
        <f t="shared" si="8"/>
        <v>0.54492633928571432</v>
      </c>
      <c r="L23" s="96">
        <f t="shared" si="9"/>
        <v>0.53880357142857149</v>
      </c>
      <c r="M23" s="96">
        <f t="shared" si="10"/>
        <v>0.54370178571428573</v>
      </c>
      <c r="N23" s="96">
        <f t="shared" si="11"/>
        <v>0.54770941558441555</v>
      </c>
      <c r="O23" s="96">
        <f t="shared" si="12"/>
        <v>0.55002864583333333</v>
      </c>
      <c r="P23" s="96">
        <f t="shared" si="13"/>
        <v>0.55293303571428576</v>
      </c>
      <c r="Q23" s="96">
        <f t="shared" si="14"/>
        <v>0.55542251275510202</v>
      </c>
      <c r="R23" s="96">
        <f t="shared" si="15"/>
        <v>0.55758005952380951</v>
      </c>
      <c r="S23" s="96">
        <f t="shared" si="16"/>
        <v>0.55946791294642861</v>
      </c>
      <c r="T23" s="96">
        <f t="shared" si="17"/>
        <v>0.5611336659663867</v>
      </c>
      <c r="U23" s="96">
        <f t="shared" si="18"/>
        <v>0.55172941468253967</v>
      </c>
      <c r="V23" s="96">
        <f t="shared" si="19"/>
        <v>0.55362711466165415</v>
      </c>
      <c r="W23" s="96">
        <f t="shared" si="20"/>
        <v>0.5553350446428571</v>
      </c>
      <c r="X23" s="96"/>
      <c r="Y23" s="65"/>
      <c r="AA23" s="83"/>
      <c r="AT23" s="4"/>
      <c r="AU23" s="14">
        <f t="shared" si="163"/>
        <v>24</v>
      </c>
      <c r="AV23" s="12" t="str">
        <f t="shared" si="22"/>
        <v>(600)</v>
      </c>
      <c r="AW23" s="19"/>
      <c r="AX23" s="20">
        <f t="shared" si="23"/>
        <v>0.48399999999999999</v>
      </c>
      <c r="AY23" s="21" t="str">
        <f t="shared" si="24"/>
        <v>(0.04)</v>
      </c>
      <c r="AZ23" s="22">
        <v>2</v>
      </c>
      <c r="BA23" s="22">
        <f t="shared" si="25"/>
        <v>3.5</v>
      </c>
      <c r="BB23" s="22">
        <v>0</v>
      </c>
      <c r="BC23" s="22">
        <f t="shared" si="26"/>
        <v>0</v>
      </c>
      <c r="BD23" s="22">
        <v>0</v>
      </c>
      <c r="BE23" s="22">
        <f t="shared" si="27"/>
        <v>0</v>
      </c>
      <c r="BF23" s="22">
        <f t="shared" si="28"/>
        <v>3.5</v>
      </c>
      <c r="BG23" s="23">
        <f t="shared" si="29"/>
        <v>5.5</v>
      </c>
      <c r="BH23" s="373">
        <f>($IR23+(($IQ23-1)*$IS23)+$IT23)*BQ23/144</f>
        <v>0.748</v>
      </c>
      <c r="BI23" s="374" t="str">
        <f t="shared" si="31"/>
        <v>(0.07)</v>
      </c>
      <c r="BJ23" s="375">
        <v>2</v>
      </c>
      <c r="BK23" s="375">
        <f t="shared" si="32"/>
        <v>3.5</v>
      </c>
      <c r="BL23" s="375">
        <v>0</v>
      </c>
      <c r="BM23" s="375">
        <f t="shared" si="33"/>
        <v>0</v>
      </c>
      <c r="BN23" s="375">
        <v>0</v>
      </c>
      <c r="BO23" s="375">
        <f t="shared" si="34"/>
        <v>0</v>
      </c>
      <c r="BP23" s="375">
        <f t="shared" si="35"/>
        <v>3.5</v>
      </c>
      <c r="BQ23" s="376">
        <f t="shared" si="36"/>
        <v>8.5</v>
      </c>
      <c r="BR23" s="373">
        <f t="shared" si="37"/>
        <v>1.276</v>
      </c>
      <c r="BS23" s="374" t="str">
        <f t="shared" si="38"/>
        <v>(0.12)</v>
      </c>
      <c r="BT23" s="375">
        <v>2</v>
      </c>
      <c r="BU23" s="375">
        <f t="shared" si="39"/>
        <v>3.5</v>
      </c>
      <c r="BV23" s="375">
        <v>0</v>
      </c>
      <c r="BW23" s="375">
        <f t="shared" si="40"/>
        <v>0</v>
      </c>
      <c r="BX23" s="375">
        <v>0</v>
      </c>
      <c r="BY23" s="375">
        <f t="shared" si="41"/>
        <v>0</v>
      </c>
      <c r="BZ23" s="375">
        <f t="shared" si="42"/>
        <v>3.5</v>
      </c>
      <c r="CA23" s="376">
        <f t="shared" si="43"/>
        <v>14.5</v>
      </c>
      <c r="CB23" s="373">
        <f t="shared" si="44"/>
        <v>1.804</v>
      </c>
      <c r="CC23" s="374" t="str">
        <f t="shared" si="45"/>
        <v>(0.17)</v>
      </c>
      <c r="CD23" s="375">
        <v>2</v>
      </c>
      <c r="CE23" s="375">
        <f t="shared" si="46"/>
        <v>3.5</v>
      </c>
      <c r="CF23" s="375">
        <v>0</v>
      </c>
      <c r="CG23" s="375">
        <f t="shared" si="47"/>
        <v>0</v>
      </c>
      <c r="CH23" s="375">
        <v>0</v>
      </c>
      <c r="CI23" s="375">
        <f t="shared" si="48"/>
        <v>0</v>
      </c>
      <c r="CJ23" s="375">
        <f t="shared" si="49"/>
        <v>3.5</v>
      </c>
      <c r="CK23" s="376">
        <f t="shared" si="50"/>
        <v>20.5</v>
      </c>
      <c r="CL23" s="373">
        <f t="shared" si="51"/>
        <v>2.3319999999999999</v>
      </c>
      <c r="CM23" s="374" t="str">
        <f t="shared" si="52"/>
        <v>(0.22)</v>
      </c>
      <c r="CN23" s="375">
        <v>2</v>
      </c>
      <c r="CO23" s="375">
        <f t="shared" si="53"/>
        <v>3.5</v>
      </c>
      <c r="CP23" s="375">
        <v>0</v>
      </c>
      <c r="CQ23" s="375">
        <f t="shared" si="54"/>
        <v>0</v>
      </c>
      <c r="CR23" s="375">
        <v>0</v>
      </c>
      <c r="CS23" s="375">
        <f t="shared" si="55"/>
        <v>0</v>
      </c>
      <c r="CT23" s="375">
        <f t="shared" si="56"/>
        <v>3.5</v>
      </c>
      <c r="CU23" s="376">
        <f t="shared" si="57"/>
        <v>26.5</v>
      </c>
      <c r="CV23" s="373">
        <f t="shared" si="58"/>
        <v>2.8600000000000003</v>
      </c>
      <c r="CW23" s="374" t="str">
        <f t="shared" si="59"/>
        <v>(0.27)</v>
      </c>
      <c r="CX23" s="375">
        <v>2</v>
      </c>
      <c r="CY23" s="375">
        <f t="shared" si="60"/>
        <v>3.5</v>
      </c>
      <c r="CZ23" s="375">
        <v>0</v>
      </c>
      <c r="DA23" s="375">
        <f t="shared" si="61"/>
        <v>0</v>
      </c>
      <c r="DB23" s="375">
        <v>0</v>
      </c>
      <c r="DC23" s="375">
        <f t="shared" si="62"/>
        <v>0</v>
      </c>
      <c r="DD23" s="375">
        <f t="shared" si="63"/>
        <v>3.5</v>
      </c>
      <c r="DE23" s="376">
        <f t="shared" si="64"/>
        <v>32.5</v>
      </c>
      <c r="DF23" s="373">
        <f t="shared" si="65"/>
        <v>3.3879999999999999</v>
      </c>
      <c r="DG23" s="374" t="str">
        <f t="shared" si="66"/>
        <v>(0.31)</v>
      </c>
      <c r="DH23" s="375">
        <v>2</v>
      </c>
      <c r="DI23" s="375">
        <f t="shared" si="67"/>
        <v>3.5</v>
      </c>
      <c r="DJ23" s="375">
        <v>0</v>
      </c>
      <c r="DK23" s="375">
        <f t="shared" si="68"/>
        <v>0</v>
      </c>
      <c r="DL23" s="375">
        <v>0</v>
      </c>
      <c r="DM23" s="375">
        <f t="shared" si="69"/>
        <v>0</v>
      </c>
      <c r="DN23" s="375">
        <f t="shared" si="70"/>
        <v>3.5</v>
      </c>
      <c r="DO23" s="376">
        <f t="shared" si="71"/>
        <v>38.5</v>
      </c>
      <c r="DP23" s="373">
        <f t="shared" si="72"/>
        <v>3.9159999999999999</v>
      </c>
      <c r="DQ23" s="374" t="str">
        <f t="shared" si="73"/>
        <v>(0.36)</v>
      </c>
      <c r="DR23" s="375">
        <v>2</v>
      </c>
      <c r="DS23" s="375">
        <f t="shared" si="74"/>
        <v>3.5</v>
      </c>
      <c r="DT23" s="375">
        <v>0</v>
      </c>
      <c r="DU23" s="375">
        <f t="shared" si="75"/>
        <v>0</v>
      </c>
      <c r="DV23" s="375">
        <v>0</v>
      </c>
      <c r="DW23" s="375">
        <f t="shared" si="76"/>
        <v>0</v>
      </c>
      <c r="DX23" s="375">
        <f t="shared" si="77"/>
        <v>3.5</v>
      </c>
      <c r="DY23" s="376">
        <f t="shared" si="78"/>
        <v>44.5</v>
      </c>
      <c r="DZ23" s="373">
        <f t="shared" si="79"/>
        <v>4.3559999999999999</v>
      </c>
      <c r="EA23" s="374" t="str">
        <f t="shared" si="80"/>
        <v>(0.40)</v>
      </c>
      <c r="EB23" s="375">
        <v>2</v>
      </c>
      <c r="EC23" s="375">
        <f t="shared" si="81"/>
        <v>3.5</v>
      </c>
      <c r="ED23" s="375">
        <v>0</v>
      </c>
      <c r="EE23" s="375">
        <f t="shared" si="82"/>
        <v>0</v>
      </c>
      <c r="EF23" s="375">
        <v>1</v>
      </c>
      <c r="EG23" s="375">
        <f t="shared" si="83"/>
        <v>1</v>
      </c>
      <c r="EH23" s="375">
        <f t="shared" si="84"/>
        <v>4.5</v>
      </c>
      <c r="EI23" s="376">
        <f t="shared" si="85"/>
        <v>49.5</v>
      </c>
      <c r="EJ23" s="373">
        <f t="shared" si="86"/>
        <v>4.8840000000000003</v>
      </c>
      <c r="EK23" s="374" t="str">
        <f t="shared" si="87"/>
        <v>(0.45)</v>
      </c>
      <c r="EL23" s="375">
        <v>2</v>
      </c>
      <c r="EM23" s="375">
        <f t="shared" si="88"/>
        <v>3.5</v>
      </c>
      <c r="EN23" s="375">
        <v>0</v>
      </c>
      <c r="EO23" s="375">
        <f t="shared" si="89"/>
        <v>0</v>
      </c>
      <c r="EP23" s="375">
        <v>1</v>
      </c>
      <c r="EQ23" s="375">
        <f t="shared" si="90"/>
        <v>1</v>
      </c>
      <c r="ER23" s="375">
        <f t="shared" si="91"/>
        <v>4.5</v>
      </c>
      <c r="ES23" s="376">
        <f t="shared" si="92"/>
        <v>55.5</v>
      </c>
      <c r="ET23" s="373">
        <f t="shared" si="93"/>
        <v>5.4120000000000008</v>
      </c>
      <c r="EU23" s="374" t="str">
        <f t="shared" si="94"/>
        <v>(0.50)</v>
      </c>
      <c r="EV23" s="375">
        <v>2</v>
      </c>
      <c r="EW23" s="375">
        <f t="shared" si="95"/>
        <v>3.5</v>
      </c>
      <c r="EX23" s="375">
        <v>0</v>
      </c>
      <c r="EY23" s="375">
        <f t="shared" si="96"/>
        <v>0</v>
      </c>
      <c r="EZ23" s="375">
        <v>1</v>
      </c>
      <c r="FA23" s="375">
        <f t="shared" si="97"/>
        <v>1</v>
      </c>
      <c r="FB23" s="375">
        <f t="shared" si="98"/>
        <v>4.5</v>
      </c>
      <c r="FC23" s="376">
        <f t="shared" si="99"/>
        <v>61.5</v>
      </c>
      <c r="FD23" s="373">
        <f t="shared" si="100"/>
        <v>5.9290000000000003</v>
      </c>
      <c r="FE23" s="374" t="str">
        <f t="shared" si="101"/>
        <v>(0.55)</v>
      </c>
      <c r="FF23" s="375">
        <v>2</v>
      </c>
      <c r="FG23" s="375">
        <f t="shared" si="102"/>
        <v>3.5</v>
      </c>
      <c r="FH23" s="375">
        <v>1</v>
      </c>
      <c r="FI23" s="375">
        <f t="shared" si="103"/>
        <v>1.125</v>
      </c>
      <c r="FJ23" s="375">
        <v>0</v>
      </c>
      <c r="FK23" s="375">
        <f t="shared" si="104"/>
        <v>0</v>
      </c>
      <c r="FL23" s="375">
        <f t="shared" si="105"/>
        <v>4.625</v>
      </c>
      <c r="FM23" s="376">
        <f t="shared" si="106"/>
        <v>67.375</v>
      </c>
      <c r="FN23" s="373">
        <f t="shared" si="107"/>
        <v>6.4569999999999999</v>
      </c>
      <c r="FO23" s="374" t="str">
        <f t="shared" si="108"/>
        <v>(0.60)</v>
      </c>
      <c r="FP23" s="375">
        <v>2</v>
      </c>
      <c r="FQ23" s="375">
        <f t="shared" si="109"/>
        <v>3.5</v>
      </c>
      <c r="FR23" s="375">
        <v>1</v>
      </c>
      <c r="FS23" s="375">
        <f t="shared" si="110"/>
        <v>1.125</v>
      </c>
      <c r="FT23" s="375">
        <v>0</v>
      </c>
      <c r="FU23" s="375">
        <f t="shared" si="111"/>
        <v>0</v>
      </c>
      <c r="FV23" s="375">
        <f t="shared" si="112"/>
        <v>4.625</v>
      </c>
      <c r="FW23" s="376">
        <f t="shared" si="113"/>
        <v>73.375</v>
      </c>
      <c r="FX23" s="373">
        <f t="shared" si="114"/>
        <v>6.9850000000000003</v>
      </c>
      <c r="FY23" s="374" t="str">
        <f t="shared" si="115"/>
        <v>(0.65)</v>
      </c>
      <c r="FZ23" s="375">
        <v>2</v>
      </c>
      <c r="GA23" s="375">
        <f t="shared" si="116"/>
        <v>3.5</v>
      </c>
      <c r="GB23" s="375">
        <v>1</v>
      </c>
      <c r="GC23" s="375">
        <f t="shared" si="117"/>
        <v>1.125</v>
      </c>
      <c r="GD23" s="375">
        <v>0</v>
      </c>
      <c r="GE23" s="375">
        <f t="shared" si="118"/>
        <v>0</v>
      </c>
      <c r="GF23" s="375">
        <f t="shared" si="119"/>
        <v>4.625</v>
      </c>
      <c r="GG23" s="376">
        <f t="shared" si="120"/>
        <v>79.375</v>
      </c>
      <c r="GH23" s="373">
        <f t="shared" si="121"/>
        <v>7.5130000000000008</v>
      </c>
      <c r="GI23" s="374" t="str">
        <f t="shared" si="122"/>
        <v>(0.70)</v>
      </c>
      <c r="GJ23" s="375">
        <v>2</v>
      </c>
      <c r="GK23" s="375">
        <f t="shared" si="123"/>
        <v>3.5</v>
      </c>
      <c r="GL23" s="375">
        <v>1</v>
      </c>
      <c r="GM23" s="375">
        <f t="shared" si="124"/>
        <v>1.125</v>
      </c>
      <c r="GN23" s="375">
        <v>0</v>
      </c>
      <c r="GO23" s="375">
        <f t="shared" si="125"/>
        <v>0</v>
      </c>
      <c r="GP23" s="375">
        <f t="shared" si="126"/>
        <v>4.625</v>
      </c>
      <c r="GQ23" s="376">
        <f t="shared" si="127"/>
        <v>85.375</v>
      </c>
      <c r="GR23" s="373">
        <f t="shared" si="128"/>
        <v>8.0410000000000004</v>
      </c>
      <c r="GS23" s="374" t="str">
        <f t="shared" si="129"/>
        <v>(0.75)</v>
      </c>
      <c r="GT23" s="375">
        <v>2</v>
      </c>
      <c r="GU23" s="375">
        <f t="shared" si="130"/>
        <v>3.5</v>
      </c>
      <c r="GV23" s="375">
        <v>1</v>
      </c>
      <c r="GW23" s="375">
        <f t="shared" si="131"/>
        <v>1.125</v>
      </c>
      <c r="GX23" s="375">
        <v>0</v>
      </c>
      <c r="GY23" s="375">
        <f t="shared" si="132"/>
        <v>0</v>
      </c>
      <c r="GZ23" s="375">
        <f t="shared" si="133"/>
        <v>4.625</v>
      </c>
      <c r="HA23" s="376">
        <f t="shared" si="134"/>
        <v>91.375</v>
      </c>
      <c r="HB23" s="373">
        <f t="shared" si="135"/>
        <v>8.5690000000000008</v>
      </c>
      <c r="HC23" s="374" t="str">
        <f t="shared" si="136"/>
        <v>(0.80)</v>
      </c>
      <c r="HD23" s="375">
        <v>2</v>
      </c>
      <c r="HE23" s="375">
        <f t="shared" si="137"/>
        <v>3.5</v>
      </c>
      <c r="HF23" s="375">
        <v>1</v>
      </c>
      <c r="HG23" s="375">
        <f t="shared" si="138"/>
        <v>1.125</v>
      </c>
      <c r="HH23" s="375">
        <v>0</v>
      </c>
      <c r="HI23" s="375">
        <f t="shared" si="139"/>
        <v>0</v>
      </c>
      <c r="HJ23" s="375">
        <f t="shared" si="140"/>
        <v>4.625</v>
      </c>
      <c r="HK23" s="376">
        <f t="shared" si="141"/>
        <v>97.375</v>
      </c>
      <c r="HL23" s="373">
        <f t="shared" si="142"/>
        <v>8.9209999999999994</v>
      </c>
      <c r="HM23" s="374" t="str">
        <f t="shared" si="143"/>
        <v>(0.83)</v>
      </c>
      <c r="HN23" s="375">
        <v>2</v>
      </c>
      <c r="HO23" s="375">
        <f t="shared" si="144"/>
        <v>3.5</v>
      </c>
      <c r="HP23" s="375">
        <v>1</v>
      </c>
      <c r="HQ23" s="375">
        <f t="shared" si="145"/>
        <v>1.125</v>
      </c>
      <c r="HR23" s="375">
        <v>2</v>
      </c>
      <c r="HS23" s="375">
        <f t="shared" si="146"/>
        <v>2</v>
      </c>
      <c r="HT23" s="375">
        <f t="shared" si="147"/>
        <v>6.625</v>
      </c>
      <c r="HU23" s="376">
        <f t="shared" si="148"/>
        <v>101.375</v>
      </c>
      <c r="HV23" s="373">
        <f t="shared" si="149"/>
        <v>9.4490000000000016</v>
      </c>
      <c r="HW23" s="374" t="str">
        <f t="shared" si="150"/>
        <v>(0.88)</v>
      </c>
      <c r="HX23" s="375">
        <v>2</v>
      </c>
      <c r="HY23" s="375">
        <f t="shared" si="151"/>
        <v>3.5</v>
      </c>
      <c r="HZ23" s="375">
        <v>1</v>
      </c>
      <c r="IA23" s="375">
        <f t="shared" si="152"/>
        <v>1.125</v>
      </c>
      <c r="IB23" s="375">
        <v>2</v>
      </c>
      <c r="IC23" s="375">
        <f t="shared" si="153"/>
        <v>2</v>
      </c>
      <c r="ID23" s="375">
        <f t="shared" si="154"/>
        <v>6.625</v>
      </c>
      <c r="IE23" s="376">
        <f t="shared" si="155"/>
        <v>107.375</v>
      </c>
      <c r="IF23" s="373">
        <f t="shared" si="156"/>
        <v>9.9770000000000003</v>
      </c>
      <c r="IG23" s="374" t="str">
        <f t="shared" si="157"/>
        <v>(0.93)</v>
      </c>
      <c r="IH23" s="22">
        <v>2</v>
      </c>
      <c r="II23" s="22">
        <f t="shared" si="158"/>
        <v>3.5</v>
      </c>
      <c r="IJ23" s="22">
        <v>1</v>
      </c>
      <c r="IK23" s="22">
        <f t="shared" si="159"/>
        <v>1.125</v>
      </c>
      <c r="IL23" s="22">
        <v>2</v>
      </c>
      <c r="IM23" s="22">
        <f t="shared" si="160"/>
        <v>2</v>
      </c>
      <c r="IN23" s="22">
        <f t="shared" si="161"/>
        <v>6.625</v>
      </c>
      <c r="IO23" s="23">
        <f t="shared" si="162"/>
        <v>113.375</v>
      </c>
      <c r="IP23" s="24"/>
      <c r="IQ23" s="467">
        <v>4</v>
      </c>
      <c r="IR23" s="468">
        <v>2.645</v>
      </c>
      <c r="IS23" s="468">
        <v>2.645</v>
      </c>
      <c r="IT23" s="468">
        <v>2.0920000000000001</v>
      </c>
      <c r="IU23" s="468">
        <v>1.75</v>
      </c>
      <c r="IV23" s="468">
        <v>1</v>
      </c>
      <c r="IW23" s="468">
        <v>1.125</v>
      </c>
      <c r="IX23" s="8"/>
    </row>
    <row r="24" spans="2:258" ht="15.75" thickBot="1" x14ac:dyDescent="0.3">
      <c r="B24" s="103">
        <f t="shared" si="21"/>
        <v>48</v>
      </c>
      <c r="C24" s="226">
        <v>9</v>
      </c>
      <c r="D24" s="98">
        <f t="shared" si="1"/>
        <v>0.36338194444444444</v>
      </c>
      <c r="E24" s="96">
        <f t="shared" si="2"/>
        <v>0.42119270833333328</v>
      </c>
      <c r="F24" s="96">
        <f t="shared" si="3"/>
        <v>0.47900347222222223</v>
      </c>
      <c r="G24" s="96">
        <f t="shared" si="4"/>
        <v>0.50790885416666665</v>
      </c>
      <c r="H24" s="96">
        <f>CL27/((H$15*$B24)/144)</f>
        <v>0.52525208333333329</v>
      </c>
      <c r="I24" s="96">
        <f t="shared" si="6"/>
        <v>0.53681423611111112</v>
      </c>
      <c r="J24" s="96">
        <f t="shared" si="7"/>
        <v>0.54507291666666668</v>
      </c>
      <c r="K24" s="96">
        <f t="shared" si="8"/>
        <v>0.55126692708333325</v>
      </c>
      <c r="L24" s="96">
        <f t="shared" si="9"/>
        <v>0.54507291666666668</v>
      </c>
      <c r="M24" s="96">
        <f t="shared" si="10"/>
        <v>0.55002812499999998</v>
      </c>
      <c r="N24" s="96">
        <f t="shared" si="11"/>
        <v>0.55408238636363627</v>
      </c>
      <c r="O24" s="96">
        <f t="shared" si="12"/>
        <v>0.55642860243055547</v>
      </c>
      <c r="P24" s="96">
        <f t="shared" si="13"/>
        <v>0.55936678685897434</v>
      </c>
      <c r="Q24" s="96">
        <f t="shared" si="14"/>
        <v>0.56188523065476181</v>
      </c>
      <c r="R24" s="96">
        <f t="shared" si="15"/>
        <v>0.56406788194444435</v>
      </c>
      <c r="S24" s="96">
        <f t="shared" si="16"/>
        <v>0.56597770182291662</v>
      </c>
      <c r="T24" s="96">
        <f t="shared" si="17"/>
        <v>0.5676628370098038</v>
      </c>
      <c r="U24" s="96">
        <f t="shared" si="18"/>
        <v>0.55814916087962951</v>
      </c>
      <c r="V24" s="96">
        <f t="shared" si="19"/>
        <v>0.5600689418859649</v>
      </c>
      <c r="W24" s="96">
        <f t="shared" si="20"/>
        <v>0.56179674479166652</v>
      </c>
      <c r="X24" s="96"/>
      <c r="Y24" s="65"/>
      <c r="AA24" s="83"/>
      <c r="AT24" s="4"/>
      <c r="AU24" s="27">
        <f t="shared" si="163"/>
        <v>30</v>
      </c>
      <c r="AV24" s="28" t="str">
        <f t="shared" si="22"/>
        <v>(750)</v>
      </c>
      <c r="AW24" s="19"/>
      <c r="AX24" s="20">
        <f t="shared" si="23"/>
        <v>0.63983333333333325</v>
      </c>
      <c r="AY24" s="29" t="str">
        <f t="shared" si="24"/>
        <v>(0.06)</v>
      </c>
      <c r="AZ24" s="22">
        <v>2</v>
      </c>
      <c r="BA24" s="22">
        <f t="shared" si="25"/>
        <v>3.5</v>
      </c>
      <c r="BB24" s="30">
        <v>0</v>
      </c>
      <c r="BC24" s="22">
        <f t="shared" si="26"/>
        <v>0</v>
      </c>
      <c r="BD24" s="30">
        <v>0</v>
      </c>
      <c r="BE24" s="22">
        <f t="shared" si="27"/>
        <v>0</v>
      </c>
      <c r="BF24" s="22">
        <f t="shared" si="28"/>
        <v>3.5</v>
      </c>
      <c r="BG24" s="23">
        <f t="shared" si="29"/>
        <v>5.5</v>
      </c>
      <c r="BH24" s="373">
        <f t="shared" si="30"/>
        <v>0.98883333333333334</v>
      </c>
      <c r="BI24" s="374" t="str">
        <f t="shared" si="31"/>
        <v>(0.09)</v>
      </c>
      <c r="BJ24" s="375">
        <v>2</v>
      </c>
      <c r="BK24" s="375">
        <f t="shared" si="32"/>
        <v>3.5</v>
      </c>
      <c r="BL24" s="375">
        <v>0</v>
      </c>
      <c r="BM24" s="375">
        <f t="shared" si="33"/>
        <v>0</v>
      </c>
      <c r="BN24" s="375">
        <v>0</v>
      </c>
      <c r="BO24" s="375">
        <f t="shared" si="34"/>
        <v>0</v>
      </c>
      <c r="BP24" s="375">
        <f t="shared" si="35"/>
        <v>3.5</v>
      </c>
      <c r="BQ24" s="376">
        <f t="shared" si="36"/>
        <v>8.5</v>
      </c>
      <c r="BR24" s="373">
        <f t="shared" si="37"/>
        <v>1.6868333333333334</v>
      </c>
      <c r="BS24" s="374" t="str">
        <f t="shared" si="38"/>
        <v>(0.16)</v>
      </c>
      <c r="BT24" s="375">
        <v>2</v>
      </c>
      <c r="BU24" s="375">
        <f t="shared" si="39"/>
        <v>3.5</v>
      </c>
      <c r="BV24" s="375">
        <v>0</v>
      </c>
      <c r="BW24" s="375">
        <f t="shared" si="40"/>
        <v>0</v>
      </c>
      <c r="BX24" s="375">
        <v>0</v>
      </c>
      <c r="BY24" s="375">
        <f t="shared" si="41"/>
        <v>0</v>
      </c>
      <c r="BZ24" s="375">
        <f t="shared" si="42"/>
        <v>3.5</v>
      </c>
      <c r="CA24" s="376">
        <f t="shared" si="43"/>
        <v>14.5</v>
      </c>
      <c r="CB24" s="373">
        <f t="shared" si="44"/>
        <v>2.3848333333333334</v>
      </c>
      <c r="CC24" s="374" t="str">
        <f t="shared" si="45"/>
        <v>(0.22)</v>
      </c>
      <c r="CD24" s="375">
        <v>2</v>
      </c>
      <c r="CE24" s="375">
        <f t="shared" si="46"/>
        <v>3.5</v>
      </c>
      <c r="CF24" s="375">
        <v>0</v>
      </c>
      <c r="CG24" s="375">
        <f t="shared" si="47"/>
        <v>0</v>
      </c>
      <c r="CH24" s="375">
        <v>0</v>
      </c>
      <c r="CI24" s="375">
        <f t="shared" si="48"/>
        <v>0</v>
      </c>
      <c r="CJ24" s="375">
        <f t="shared" si="49"/>
        <v>3.5</v>
      </c>
      <c r="CK24" s="376">
        <f t="shared" si="50"/>
        <v>20.5</v>
      </c>
      <c r="CL24" s="373">
        <f t="shared" si="51"/>
        <v>3.0828333333333333</v>
      </c>
      <c r="CM24" s="374" t="str">
        <f t="shared" si="52"/>
        <v>(0.29)</v>
      </c>
      <c r="CN24" s="375">
        <v>2</v>
      </c>
      <c r="CO24" s="375">
        <f t="shared" si="53"/>
        <v>3.5</v>
      </c>
      <c r="CP24" s="375">
        <v>0</v>
      </c>
      <c r="CQ24" s="375">
        <f t="shared" si="54"/>
        <v>0</v>
      </c>
      <c r="CR24" s="375">
        <v>0</v>
      </c>
      <c r="CS24" s="375">
        <f t="shared" si="55"/>
        <v>0</v>
      </c>
      <c r="CT24" s="375">
        <f t="shared" si="56"/>
        <v>3.5</v>
      </c>
      <c r="CU24" s="376">
        <f t="shared" si="57"/>
        <v>26.5</v>
      </c>
      <c r="CV24" s="373">
        <f t="shared" si="58"/>
        <v>3.7808333333333328</v>
      </c>
      <c r="CW24" s="374" t="str">
        <f t="shared" si="59"/>
        <v>(0.35)</v>
      </c>
      <c r="CX24" s="375">
        <v>2</v>
      </c>
      <c r="CY24" s="375">
        <f t="shared" si="60"/>
        <v>3.5</v>
      </c>
      <c r="CZ24" s="375">
        <v>0</v>
      </c>
      <c r="DA24" s="375">
        <f t="shared" si="61"/>
        <v>0</v>
      </c>
      <c r="DB24" s="375">
        <v>0</v>
      </c>
      <c r="DC24" s="375">
        <f t="shared" si="62"/>
        <v>0</v>
      </c>
      <c r="DD24" s="375">
        <f t="shared" si="63"/>
        <v>3.5</v>
      </c>
      <c r="DE24" s="376">
        <f t="shared" si="64"/>
        <v>32.5</v>
      </c>
      <c r="DF24" s="373">
        <f t="shared" si="65"/>
        <v>4.4788333333333332</v>
      </c>
      <c r="DG24" s="374" t="str">
        <f t="shared" si="66"/>
        <v>(0.42)</v>
      </c>
      <c r="DH24" s="375">
        <v>2</v>
      </c>
      <c r="DI24" s="375">
        <f t="shared" si="67"/>
        <v>3.5</v>
      </c>
      <c r="DJ24" s="375">
        <v>0</v>
      </c>
      <c r="DK24" s="375">
        <f t="shared" si="68"/>
        <v>0</v>
      </c>
      <c r="DL24" s="375">
        <v>0</v>
      </c>
      <c r="DM24" s="375">
        <f t="shared" si="69"/>
        <v>0</v>
      </c>
      <c r="DN24" s="375">
        <f t="shared" si="70"/>
        <v>3.5</v>
      </c>
      <c r="DO24" s="376">
        <f t="shared" si="71"/>
        <v>38.5</v>
      </c>
      <c r="DP24" s="373">
        <f t="shared" si="72"/>
        <v>5.1768333333333327</v>
      </c>
      <c r="DQ24" s="374" t="str">
        <f t="shared" si="73"/>
        <v>(0.48)</v>
      </c>
      <c r="DR24" s="375">
        <v>2</v>
      </c>
      <c r="DS24" s="375">
        <f t="shared" si="74"/>
        <v>3.5</v>
      </c>
      <c r="DT24" s="375">
        <v>0</v>
      </c>
      <c r="DU24" s="375">
        <f t="shared" si="75"/>
        <v>0</v>
      </c>
      <c r="DV24" s="375">
        <v>0</v>
      </c>
      <c r="DW24" s="375">
        <f t="shared" si="76"/>
        <v>0</v>
      </c>
      <c r="DX24" s="375">
        <f t="shared" si="77"/>
        <v>3.5</v>
      </c>
      <c r="DY24" s="376">
        <f t="shared" si="78"/>
        <v>44.5</v>
      </c>
      <c r="DZ24" s="373">
        <f t="shared" si="79"/>
        <v>5.7584999999999997</v>
      </c>
      <c r="EA24" s="374" t="str">
        <f t="shared" si="80"/>
        <v>(0.53)</v>
      </c>
      <c r="EB24" s="375">
        <v>2</v>
      </c>
      <c r="EC24" s="375">
        <f t="shared" si="81"/>
        <v>3.5</v>
      </c>
      <c r="ED24" s="375">
        <v>0</v>
      </c>
      <c r="EE24" s="375">
        <f t="shared" si="82"/>
        <v>0</v>
      </c>
      <c r="EF24" s="375">
        <v>1</v>
      </c>
      <c r="EG24" s="375">
        <f t="shared" si="83"/>
        <v>1</v>
      </c>
      <c r="EH24" s="375">
        <f t="shared" si="84"/>
        <v>4.5</v>
      </c>
      <c r="EI24" s="376">
        <f t="shared" si="85"/>
        <v>49.5</v>
      </c>
      <c r="EJ24" s="373">
        <f t="shared" si="86"/>
        <v>6.4565000000000001</v>
      </c>
      <c r="EK24" s="374" t="str">
        <f t="shared" si="87"/>
        <v>(0.60)</v>
      </c>
      <c r="EL24" s="375">
        <v>2</v>
      </c>
      <c r="EM24" s="375">
        <f t="shared" si="88"/>
        <v>3.5</v>
      </c>
      <c r="EN24" s="375">
        <v>0</v>
      </c>
      <c r="EO24" s="375">
        <f t="shared" si="89"/>
        <v>0</v>
      </c>
      <c r="EP24" s="375">
        <v>1</v>
      </c>
      <c r="EQ24" s="375">
        <f t="shared" si="90"/>
        <v>1</v>
      </c>
      <c r="ER24" s="375">
        <f t="shared" si="91"/>
        <v>4.5</v>
      </c>
      <c r="ES24" s="376">
        <f t="shared" si="92"/>
        <v>55.5</v>
      </c>
      <c r="ET24" s="373">
        <f t="shared" si="93"/>
        <v>7.1544999999999987</v>
      </c>
      <c r="EU24" s="374" t="str">
        <f t="shared" si="94"/>
        <v>(0.66)</v>
      </c>
      <c r="EV24" s="375">
        <v>2</v>
      </c>
      <c r="EW24" s="375">
        <f t="shared" si="95"/>
        <v>3.5</v>
      </c>
      <c r="EX24" s="375">
        <v>0</v>
      </c>
      <c r="EY24" s="375">
        <f t="shared" si="96"/>
        <v>0</v>
      </c>
      <c r="EZ24" s="375">
        <v>1</v>
      </c>
      <c r="FA24" s="375">
        <f t="shared" si="97"/>
        <v>1</v>
      </c>
      <c r="FB24" s="375">
        <f t="shared" si="98"/>
        <v>4.5</v>
      </c>
      <c r="FC24" s="376">
        <f t="shared" si="99"/>
        <v>61.5</v>
      </c>
      <c r="FD24" s="373">
        <f t="shared" si="100"/>
        <v>7.8379583333333329</v>
      </c>
      <c r="FE24" s="374" t="str">
        <f t="shared" si="101"/>
        <v>(0.73)</v>
      </c>
      <c r="FF24" s="375">
        <v>2</v>
      </c>
      <c r="FG24" s="375">
        <f t="shared" si="102"/>
        <v>3.5</v>
      </c>
      <c r="FH24" s="375">
        <v>1</v>
      </c>
      <c r="FI24" s="375">
        <f t="shared" si="103"/>
        <v>1.125</v>
      </c>
      <c r="FJ24" s="375">
        <v>0</v>
      </c>
      <c r="FK24" s="375">
        <f t="shared" si="104"/>
        <v>0</v>
      </c>
      <c r="FL24" s="375">
        <f t="shared" si="105"/>
        <v>4.625</v>
      </c>
      <c r="FM24" s="376">
        <f t="shared" si="106"/>
        <v>67.375</v>
      </c>
      <c r="FN24" s="373">
        <f t="shared" si="107"/>
        <v>8.5359583333333333</v>
      </c>
      <c r="FO24" s="374" t="str">
        <f t="shared" si="108"/>
        <v>(0.79)</v>
      </c>
      <c r="FP24" s="375">
        <v>2</v>
      </c>
      <c r="FQ24" s="375">
        <f t="shared" si="109"/>
        <v>3.5</v>
      </c>
      <c r="FR24" s="375">
        <v>1</v>
      </c>
      <c r="FS24" s="375">
        <f t="shared" si="110"/>
        <v>1.125</v>
      </c>
      <c r="FT24" s="375">
        <v>0</v>
      </c>
      <c r="FU24" s="375">
        <f t="shared" si="111"/>
        <v>0</v>
      </c>
      <c r="FV24" s="375">
        <f t="shared" si="112"/>
        <v>4.625</v>
      </c>
      <c r="FW24" s="376">
        <f t="shared" si="113"/>
        <v>73.375</v>
      </c>
      <c r="FX24" s="373">
        <f t="shared" si="114"/>
        <v>9.2339583333333319</v>
      </c>
      <c r="FY24" s="374" t="str">
        <f t="shared" si="115"/>
        <v>(0.86)</v>
      </c>
      <c r="FZ24" s="375">
        <v>2</v>
      </c>
      <c r="GA24" s="375">
        <f t="shared" si="116"/>
        <v>3.5</v>
      </c>
      <c r="GB24" s="375">
        <v>1</v>
      </c>
      <c r="GC24" s="375">
        <f t="shared" si="117"/>
        <v>1.125</v>
      </c>
      <c r="GD24" s="375">
        <v>0</v>
      </c>
      <c r="GE24" s="375">
        <f t="shared" si="118"/>
        <v>0</v>
      </c>
      <c r="GF24" s="375">
        <f t="shared" si="119"/>
        <v>4.625</v>
      </c>
      <c r="GG24" s="376">
        <f t="shared" si="120"/>
        <v>79.375</v>
      </c>
      <c r="GH24" s="373">
        <f t="shared" si="121"/>
        <v>9.9319583333333341</v>
      </c>
      <c r="GI24" s="374" t="str">
        <f t="shared" si="122"/>
        <v>(0.92)</v>
      </c>
      <c r="GJ24" s="375">
        <v>2</v>
      </c>
      <c r="GK24" s="375">
        <f t="shared" si="123"/>
        <v>3.5</v>
      </c>
      <c r="GL24" s="375">
        <v>1</v>
      </c>
      <c r="GM24" s="375">
        <f t="shared" si="124"/>
        <v>1.125</v>
      </c>
      <c r="GN24" s="375">
        <v>0</v>
      </c>
      <c r="GO24" s="375">
        <f t="shared" si="125"/>
        <v>0</v>
      </c>
      <c r="GP24" s="375">
        <f t="shared" si="126"/>
        <v>4.625</v>
      </c>
      <c r="GQ24" s="376">
        <f t="shared" si="127"/>
        <v>85.375</v>
      </c>
      <c r="GR24" s="373">
        <f t="shared" si="128"/>
        <v>10.629958333333333</v>
      </c>
      <c r="GS24" s="374" t="str">
        <f t="shared" si="129"/>
        <v>(0.99)</v>
      </c>
      <c r="GT24" s="375">
        <v>2</v>
      </c>
      <c r="GU24" s="375">
        <f t="shared" si="130"/>
        <v>3.5</v>
      </c>
      <c r="GV24" s="375">
        <v>1</v>
      </c>
      <c r="GW24" s="375">
        <f t="shared" si="131"/>
        <v>1.125</v>
      </c>
      <c r="GX24" s="375">
        <v>0</v>
      </c>
      <c r="GY24" s="375">
        <f t="shared" si="132"/>
        <v>0</v>
      </c>
      <c r="GZ24" s="375">
        <f t="shared" si="133"/>
        <v>4.625</v>
      </c>
      <c r="HA24" s="376">
        <f t="shared" si="134"/>
        <v>91.375</v>
      </c>
      <c r="HB24" s="373">
        <f t="shared" si="135"/>
        <v>11.327958333333333</v>
      </c>
      <c r="HC24" s="374" t="str">
        <f t="shared" si="136"/>
        <v>(1.05)</v>
      </c>
      <c r="HD24" s="375">
        <v>2</v>
      </c>
      <c r="HE24" s="375">
        <f t="shared" si="137"/>
        <v>3.5</v>
      </c>
      <c r="HF24" s="375">
        <v>1</v>
      </c>
      <c r="HG24" s="375">
        <f t="shared" si="138"/>
        <v>1.125</v>
      </c>
      <c r="HH24" s="375">
        <v>0</v>
      </c>
      <c r="HI24" s="375">
        <f t="shared" si="139"/>
        <v>0</v>
      </c>
      <c r="HJ24" s="375">
        <f t="shared" si="140"/>
        <v>4.625</v>
      </c>
      <c r="HK24" s="376">
        <f t="shared" si="141"/>
        <v>97.375</v>
      </c>
      <c r="HL24" s="373">
        <f t="shared" si="142"/>
        <v>11.793291666666667</v>
      </c>
      <c r="HM24" s="374" t="str">
        <f t="shared" si="143"/>
        <v>(1.10)</v>
      </c>
      <c r="HN24" s="375">
        <v>2</v>
      </c>
      <c r="HO24" s="375">
        <f t="shared" si="144"/>
        <v>3.5</v>
      </c>
      <c r="HP24" s="375">
        <v>1</v>
      </c>
      <c r="HQ24" s="375">
        <f t="shared" si="145"/>
        <v>1.125</v>
      </c>
      <c r="HR24" s="375">
        <v>2</v>
      </c>
      <c r="HS24" s="375">
        <f t="shared" si="146"/>
        <v>2</v>
      </c>
      <c r="HT24" s="375">
        <f t="shared" si="147"/>
        <v>6.625</v>
      </c>
      <c r="HU24" s="376">
        <f t="shared" si="148"/>
        <v>101.375</v>
      </c>
      <c r="HV24" s="373">
        <f t="shared" si="149"/>
        <v>12.491291666666665</v>
      </c>
      <c r="HW24" s="374" t="str">
        <f t="shared" si="150"/>
        <v>(1.16)</v>
      </c>
      <c r="HX24" s="375">
        <v>2</v>
      </c>
      <c r="HY24" s="375">
        <f t="shared" si="151"/>
        <v>3.5</v>
      </c>
      <c r="HZ24" s="375">
        <v>1</v>
      </c>
      <c r="IA24" s="375">
        <f t="shared" si="152"/>
        <v>1.125</v>
      </c>
      <c r="IB24" s="375">
        <v>2</v>
      </c>
      <c r="IC24" s="375">
        <f t="shared" si="153"/>
        <v>2</v>
      </c>
      <c r="ID24" s="375">
        <f t="shared" si="154"/>
        <v>6.625</v>
      </c>
      <c r="IE24" s="376">
        <f t="shared" si="155"/>
        <v>107.375</v>
      </c>
      <c r="IF24" s="373">
        <f t="shared" si="156"/>
        <v>13.189291666666666</v>
      </c>
      <c r="IG24" s="374" t="str">
        <f t="shared" si="157"/>
        <v>(1.23)</v>
      </c>
      <c r="IH24" s="22">
        <v>2</v>
      </c>
      <c r="II24" s="22">
        <f t="shared" si="158"/>
        <v>3.5</v>
      </c>
      <c r="IJ24" s="30">
        <v>1</v>
      </c>
      <c r="IK24" s="22">
        <f t="shared" si="159"/>
        <v>1.125</v>
      </c>
      <c r="IL24" s="22">
        <v>2</v>
      </c>
      <c r="IM24" s="22">
        <f t="shared" si="160"/>
        <v>2</v>
      </c>
      <c r="IN24" s="22">
        <f t="shared" si="161"/>
        <v>6.625</v>
      </c>
      <c r="IO24" s="23">
        <f t="shared" si="162"/>
        <v>113.375</v>
      </c>
      <c r="IP24" s="24"/>
      <c r="IQ24" s="467">
        <v>6</v>
      </c>
      <c r="IR24" s="468">
        <v>2.645</v>
      </c>
      <c r="IS24" s="468">
        <v>2.645</v>
      </c>
      <c r="IT24" s="468">
        <v>0.88200000000000001</v>
      </c>
      <c r="IU24" s="468">
        <v>1.75</v>
      </c>
      <c r="IV24" s="468">
        <v>1</v>
      </c>
      <c r="IW24" s="468">
        <v>1.125</v>
      </c>
      <c r="IX24" s="8"/>
    </row>
    <row r="25" spans="2:258" ht="15.75" thickBot="1" x14ac:dyDescent="0.3">
      <c r="B25" s="103">
        <f t="shared" si="21"/>
        <v>54</v>
      </c>
      <c r="C25" s="221">
        <v>10</v>
      </c>
      <c r="D25" s="98">
        <f t="shared" si="1"/>
        <v>0.33924588477366258</v>
      </c>
      <c r="E25" s="96">
        <f t="shared" si="2"/>
        <v>0.39321682098765431</v>
      </c>
      <c r="F25" s="96">
        <f t="shared" si="3"/>
        <v>0.44718775720164605</v>
      </c>
      <c r="G25" s="96">
        <f t="shared" si="4"/>
        <v>0.47417322530864198</v>
      </c>
      <c r="H25" s="96">
        <f t="shared" si="5"/>
        <v>0.4903645061728395</v>
      </c>
      <c r="I25" s="96">
        <f t="shared" si="6"/>
        <v>0.5011586934156379</v>
      </c>
      <c r="J25" s="96">
        <f t="shared" si="7"/>
        <v>0.50886882716049375</v>
      </c>
      <c r="K25" s="96">
        <f t="shared" si="8"/>
        <v>0.51465142746913584</v>
      </c>
      <c r="L25" s="96">
        <f t="shared" si="9"/>
        <v>0.50886882716049386</v>
      </c>
      <c r="M25" s="96">
        <f t="shared" si="10"/>
        <v>0.51349490740740744</v>
      </c>
      <c r="N25" s="96">
        <f t="shared" si="11"/>
        <v>0.51727988215488208</v>
      </c>
      <c r="O25" s="96">
        <f t="shared" si="12"/>
        <v>0.51947026105967087</v>
      </c>
      <c r="P25" s="96">
        <f t="shared" si="13"/>
        <v>0.52221328941120604</v>
      </c>
      <c r="Q25" s="96">
        <f t="shared" si="14"/>
        <v>0.52456445656966488</v>
      </c>
      <c r="R25" s="96">
        <f t="shared" si="15"/>
        <v>0.52660213477366258</v>
      </c>
      <c r="S25" s="96">
        <f t="shared" si="16"/>
        <v>0.52838510320216048</v>
      </c>
      <c r="T25" s="96">
        <f t="shared" si="17"/>
        <v>0.52995831063907051</v>
      </c>
      <c r="U25" s="96">
        <f t="shared" si="18"/>
        <v>0.52107653892318251</v>
      </c>
      <c r="V25" s="96">
        <f t="shared" si="19"/>
        <v>0.52286880685510073</v>
      </c>
      <c r="W25" s="96">
        <f t="shared" si="20"/>
        <v>0.52448184799382713</v>
      </c>
      <c r="X25" s="96"/>
      <c r="Y25" s="65"/>
      <c r="AA25" s="83"/>
      <c r="AT25" s="4"/>
      <c r="AU25" s="14">
        <f t="shared" si="163"/>
        <v>36</v>
      </c>
      <c r="AV25" s="12" t="str">
        <f t="shared" si="22"/>
        <v>(900)</v>
      </c>
      <c r="AW25" s="19"/>
      <c r="AX25" s="20">
        <f t="shared" si="23"/>
        <v>0.78707291666666668</v>
      </c>
      <c r="AY25" s="21" t="str">
        <f t="shared" si="24"/>
        <v>(0.07)</v>
      </c>
      <c r="AZ25" s="22">
        <v>2</v>
      </c>
      <c r="BA25" s="22">
        <f t="shared" si="25"/>
        <v>3.5</v>
      </c>
      <c r="BB25" s="22">
        <v>0</v>
      </c>
      <c r="BC25" s="22">
        <f t="shared" si="26"/>
        <v>0</v>
      </c>
      <c r="BD25" s="22">
        <v>0</v>
      </c>
      <c r="BE25" s="22">
        <f t="shared" si="27"/>
        <v>0</v>
      </c>
      <c r="BF25" s="22">
        <f t="shared" si="28"/>
        <v>3.5</v>
      </c>
      <c r="BG25" s="23">
        <f t="shared" si="29"/>
        <v>5.5</v>
      </c>
      <c r="BH25" s="373">
        <f t="shared" si="30"/>
        <v>1.2163854166666666</v>
      </c>
      <c r="BI25" s="374" t="str">
        <f t="shared" si="31"/>
        <v>(0.11)</v>
      </c>
      <c r="BJ25" s="375">
        <v>2</v>
      </c>
      <c r="BK25" s="375">
        <f t="shared" si="32"/>
        <v>3.5</v>
      </c>
      <c r="BL25" s="375">
        <v>0</v>
      </c>
      <c r="BM25" s="375">
        <f t="shared" si="33"/>
        <v>0</v>
      </c>
      <c r="BN25" s="375">
        <v>0</v>
      </c>
      <c r="BO25" s="375">
        <f t="shared" si="34"/>
        <v>0</v>
      </c>
      <c r="BP25" s="375">
        <f t="shared" si="35"/>
        <v>3.5</v>
      </c>
      <c r="BQ25" s="376">
        <f t="shared" si="36"/>
        <v>8.5</v>
      </c>
      <c r="BR25" s="373">
        <f t="shared" si="37"/>
        <v>2.0750104166666663</v>
      </c>
      <c r="BS25" s="374" t="str">
        <f t="shared" si="38"/>
        <v>(0.19)</v>
      </c>
      <c r="BT25" s="375">
        <v>2</v>
      </c>
      <c r="BU25" s="375">
        <f t="shared" si="39"/>
        <v>3.5</v>
      </c>
      <c r="BV25" s="375">
        <v>0</v>
      </c>
      <c r="BW25" s="375">
        <f t="shared" si="40"/>
        <v>0</v>
      </c>
      <c r="BX25" s="375">
        <v>0</v>
      </c>
      <c r="BY25" s="375">
        <f t="shared" si="41"/>
        <v>0</v>
      </c>
      <c r="BZ25" s="375">
        <f t="shared" si="42"/>
        <v>3.5</v>
      </c>
      <c r="CA25" s="376">
        <f t="shared" si="43"/>
        <v>14.5</v>
      </c>
      <c r="CB25" s="373">
        <f t="shared" si="44"/>
        <v>2.9336354166666663</v>
      </c>
      <c r="CC25" s="374" t="str">
        <f t="shared" si="45"/>
        <v>(0.27)</v>
      </c>
      <c r="CD25" s="375">
        <v>2</v>
      </c>
      <c r="CE25" s="375">
        <f t="shared" si="46"/>
        <v>3.5</v>
      </c>
      <c r="CF25" s="375">
        <v>0</v>
      </c>
      <c r="CG25" s="375">
        <f t="shared" si="47"/>
        <v>0</v>
      </c>
      <c r="CH25" s="375">
        <v>0</v>
      </c>
      <c r="CI25" s="375">
        <f t="shared" si="48"/>
        <v>0</v>
      </c>
      <c r="CJ25" s="375">
        <f t="shared" si="49"/>
        <v>3.5</v>
      </c>
      <c r="CK25" s="376">
        <f t="shared" si="50"/>
        <v>20.5</v>
      </c>
      <c r="CL25" s="373">
        <f t="shared" si="51"/>
        <v>3.7922604166666667</v>
      </c>
      <c r="CM25" s="374" t="str">
        <f t="shared" si="52"/>
        <v>(0.35)</v>
      </c>
      <c r="CN25" s="375">
        <v>2</v>
      </c>
      <c r="CO25" s="375">
        <f t="shared" si="53"/>
        <v>3.5</v>
      </c>
      <c r="CP25" s="375">
        <v>0</v>
      </c>
      <c r="CQ25" s="375">
        <f t="shared" si="54"/>
        <v>0</v>
      </c>
      <c r="CR25" s="375">
        <v>0</v>
      </c>
      <c r="CS25" s="375">
        <f t="shared" si="55"/>
        <v>0</v>
      </c>
      <c r="CT25" s="375">
        <f t="shared" si="56"/>
        <v>3.5</v>
      </c>
      <c r="CU25" s="376">
        <f t="shared" si="57"/>
        <v>26.5</v>
      </c>
      <c r="CV25" s="373">
        <f t="shared" si="58"/>
        <v>4.6508854166666662</v>
      </c>
      <c r="CW25" s="374" t="str">
        <f t="shared" si="59"/>
        <v>(0.43)</v>
      </c>
      <c r="CX25" s="375">
        <v>2</v>
      </c>
      <c r="CY25" s="375">
        <f t="shared" si="60"/>
        <v>3.5</v>
      </c>
      <c r="CZ25" s="375">
        <v>0</v>
      </c>
      <c r="DA25" s="375">
        <f t="shared" si="61"/>
        <v>0</v>
      </c>
      <c r="DB25" s="375">
        <v>0</v>
      </c>
      <c r="DC25" s="375">
        <f t="shared" si="62"/>
        <v>0</v>
      </c>
      <c r="DD25" s="375">
        <f t="shared" si="63"/>
        <v>3.5</v>
      </c>
      <c r="DE25" s="376">
        <f t="shared" si="64"/>
        <v>32.5</v>
      </c>
      <c r="DF25" s="373">
        <f t="shared" si="65"/>
        <v>5.5095104166666671</v>
      </c>
      <c r="DG25" s="374" t="str">
        <f t="shared" si="66"/>
        <v>(0.51)</v>
      </c>
      <c r="DH25" s="375">
        <v>2</v>
      </c>
      <c r="DI25" s="375">
        <f t="shared" si="67"/>
        <v>3.5</v>
      </c>
      <c r="DJ25" s="375">
        <v>0</v>
      </c>
      <c r="DK25" s="375">
        <f t="shared" si="68"/>
        <v>0</v>
      </c>
      <c r="DL25" s="375">
        <v>0</v>
      </c>
      <c r="DM25" s="375">
        <f t="shared" si="69"/>
        <v>0</v>
      </c>
      <c r="DN25" s="375">
        <f t="shared" si="70"/>
        <v>3.5</v>
      </c>
      <c r="DO25" s="376">
        <f t="shared" si="71"/>
        <v>38.5</v>
      </c>
      <c r="DP25" s="373">
        <f t="shared" si="72"/>
        <v>6.3681354166666662</v>
      </c>
      <c r="DQ25" s="374" t="str">
        <f t="shared" si="73"/>
        <v>(0.59)</v>
      </c>
      <c r="DR25" s="375">
        <v>2</v>
      </c>
      <c r="DS25" s="375">
        <f t="shared" si="74"/>
        <v>3.5</v>
      </c>
      <c r="DT25" s="375">
        <v>0</v>
      </c>
      <c r="DU25" s="375">
        <f t="shared" si="75"/>
        <v>0</v>
      </c>
      <c r="DV25" s="375">
        <v>0</v>
      </c>
      <c r="DW25" s="375">
        <f t="shared" si="76"/>
        <v>0</v>
      </c>
      <c r="DX25" s="375">
        <f t="shared" si="77"/>
        <v>3.5</v>
      </c>
      <c r="DY25" s="376">
        <f t="shared" si="78"/>
        <v>44.5</v>
      </c>
      <c r="DZ25" s="373">
        <f t="shared" si="79"/>
        <v>7.0836562499999998</v>
      </c>
      <c r="EA25" s="374" t="str">
        <f t="shared" si="80"/>
        <v>(0.66)</v>
      </c>
      <c r="EB25" s="375">
        <v>2</v>
      </c>
      <c r="EC25" s="375">
        <f t="shared" si="81"/>
        <v>3.5</v>
      </c>
      <c r="ED25" s="375">
        <v>0</v>
      </c>
      <c r="EE25" s="375">
        <f t="shared" si="82"/>
        <v>0</v>
      </c>
      <c r="EF25" s="375">
        <v>1</v>
      </c>
      <c r="EG25" s="375">
        <f t="shared" si="83"/>
        <v>1</v>
      </c>
      <c r="EH25" s="375">
        <f t="shared" si="84"/>
        <v>4.5</v>
      </c>
      <c r="EI25" s="376">
        <f t="shared" si="85"/>
        <v>49.5</v>
      </c>
      <c r="EJ25" s="373">
        <f t="shared" si="86"/>
        <v>7.9422812499999997</v>
      </c>
      <c r="EK25" s="374" t="str">
        <f t="shared" si="87"/>
        <v>(0.74)</v>
      </c>
      <c r="EL25" s="375">
        <v>2</v>
      </c>
      <c r="EM25" s="375">
        <f t="shared" si="88"/>
        <v>3.5</v>
      </c>
      <c r="EN25" s="375">
        <v>0</v>
      </c>
      <c r="EO25" s="375">
        <f t="shared" si="89"/>
        <v>0</v>
      </c>
      <c r="EP25" s="375">
        <v>1</v>
      </c>
      <c r="EQ25" s="375">
        <f t="shared" si="90"/>
        <v>1</v>
      </c>
      <c r="ER25" s="375">
        <f t="shared" si="91"/>
        <v>4.5</v>
      </c>
      <c r="ES25" s="376">
        <f t="shared" si="92"/>
        <v>55.5</v>
      </c>
      <c r="ET25" s="373">
        <f t="shared" si="93"/>
        <v>8.8009062500000006</v>
      </c>
      <c r="EU25" s="374" t="str">
        <f t="shared" si="94"/>
        <v>(0.82)</v>
      </c>
      <c r="EV25" s="375">
        <v>2</v>
      </c>
      <c r="EW25" s="375">
        <f t="shared" si="95"/>
        <v>3.5</v>
      </c>
      <c r="EX25" s="375">
        <v>0</v>
      </c>
      <c r="EY25" s="375">
        <f t="shared" si="96"/>
        <v>0</v>
      </c>
      <c r="EZ25" s="375">
        <v>1</v>
      </c>
      <c r="FA25" s="375">
        <f t="shared" si="97"/>
        <v>1</v>
      </c>
      <c r="FB25" s="375">
        <f t="shared" si="98"/>
        <v>4.5</v>
      </c>
      <c r="FC25" s="376">
        <f t="shared" si="99"/>
        <v>61.5</v>
      </c>
      <c r="FD25" s="373">
        <f t="shared" si="100"/>
        <v>9.6416432291666663</v>
      </c>
      <c r="FE25" s="374" t="str">
        <f t="shared" si="101"/>
        <v>(0.90)</v>
      </c>
      <c r="FF25" s="375">
        <v>2</v>
      </c>
      <c r="FG25" s="375">
        <f t="shared" si="102"/>
        <v>3.5</v>
      </c>
      <c r="FH25" s="375">
        <v>1</v>
      </c>
      <c r="FI25" s="375">
        <f t="shared" si="103"/>
        <v>1.125</v>
      </c>
      <c r="FJ25" s="375">
        <v>0</v>
      </c>
      <c r="FK25" s="375">
        <f t="shared" si="104"/>
        <v>0</v>
      </c>
      <c r="FL25" s="375">
        <f t="shared" si="105"/>
        <v>4.625</v>
      </c>
      <c r="FM25" s="376">
        <f t="shared" si="106"/>
        <v>67.375</v>
      </c>
      <c r="FN25" s="373">
        <f t="shared" si="107"/>
        <v>10.500268229166666</v>
      </c>
      <c r="FO25" s="374" t="str">
        <f t="shared" si="108"/>
        <v>(0.98)</v>
      </c>
      <c r="FP25" s="375">
        <v>2</v>
      </c>
      <c r="FQ25" s="375">
        <f t="shared" si="109"/>
        <v>3.5</v>
      </c>
      <c r="FR25" s="375">
        <v>1</v>
      </c>
      <c r="FS25" s="375">
        <f t="shared" si="110"/>
        <v>1.125</v>
      </c>
      <c r="FT25" s="375">
        <v>0</v>
      </c>
      <c r="FU25" s="375">
        <f t="shared" si="111"/>
        <v>0</v>
      </c>
      <c r="FV25" s="375">
        <f t="shared" si="112"/>
        <v>4.625</v>
      </c>
      <c r="FW25" s="376">
        <f t="shared" si="113"/>
        <v>73.375</v>
      </c>
      <c r="FX25" s="373">
        <f t="shared" si="114"/>
        <v>11.358893229166666</v>
      </c>
      <c r="FY25" s="374" t="str">
        <f t="shared" si="115"/>
        <v>(1.06)</v>
      </c>
      <c r="FZ25" s="375">
        <v>2</v>
      </c>
      <c r="GA25" s="375">
        <f t="shared" si="116"/>
        <v>3.5</v>
      </c>
      <c r="GB25" s="375">
        <v>1</v>
      </c>
      <c r="GC25" s="375">
        <f t="shared" si="117"/>
        <v>1.125</v>
      </c>
      <c r="GD25" s="375">
        <v>0</v>
      </c>
      <c r="GE25" s="375">
        <f t="shared" si="118"/>
        <v>0</v>
      </c>
      <c r="GF25" s="375">
        <f t="shared" si="119"/>
        <v>4.625</v>
      </c>
      <c r="GG25" s="376">
        <f t="shared" si="120"/>
        <v>79.375</v>
      </c>
      <c r="GH25" s="373">
        <f t="shared" si="121"/>
        <v>12.217518229166666</v>
      </c>
      <c r="GI25" s="374" t="str">
        <f t="shared" si="122"/>
        <v>(1.14)</v>
      </c>
      <c r="GJ25" s="375">
        <v>2</v>
      </c>
      <c r="GK25" s="375">
        <f t="shared" si="123"/>
        <v>3.5</v>
      </c>
      <c r="GL25" s="375">
        <v>1</v>
      </c>
      <c r="GM25" s="375">
        <f t="shared" si="124"/>
        <v>1.125</v>
      </c>
      <c r="GN25" s="375">
        <v>0</v>
      </c>
      <c r="GO25" s="375">
        <f t="shared" si="125"/>
        <v>0</v>
      </c>
      <c r="GP25" s="375">
        <f t="shared" si="126"/>
        <v>4.625</v>
      </c>
      <c r="GQ25" s="376">
        <f t="shared" si="127"/>
        <v>85.375</v>
      </c>
      <c r="GR25" s="373">
        <f t="shared" si="128"/>
        <v>13.076143229166666</v>
      </c>
      <c r="GS25" s="374" t="str">
        <f t="shared" si="129"/>
        <v>(1.21)</v>
      </c>
      <c r="GT25" s="375">
        <v>2</v>
      </c>
      <c r="GU25" s="375">
        <f t="shared" si="130"/>
        <v>3.5</v>
      </c>
      <c r="GV25" s="375">
        <v>1</v>
      </c>
      <c r="GW25" s="375">
        <f t="shared" si="131"/>
        <v>1.125</v>
      </c>
      <c r="GX25" s="375">
        <v>0</v>
      </c>
      <c r="GY25" s="375">
        <f t="shared" si="132"/>
        <v>0</v>
      </c>
      <c r="GZ25" s="375">
        <f t="shared" si="133"/>
        <v>4.625</v>
      </c>
      <c r="HA25" s="376">
        <f t="shared" si="134"/>
        <v>91.375</v>
      </c>
      <c r="HB25" s="373">
        <f t="shared" si="135"/>
        <v>13.934768229166666</v>
      </c>
      <c r="HC25" s="374" t="str">
        <f t="shared" si="136"/>
        <v>(1.29)</v>
      </c>
      <c r="HD25" s="375">
        <v>2</v>
      </c>
      <c r="HE25" s="375">
        <f t="shared" si="137"/>
        <v>3.5</v>
      </c>
      <c r="HF25" s="375">
        <v>1</v>
      </c>
      <c r="HG25" s="375">
        <f t="shared" si="138"/>
        <v>1.125</v>
      </c>
      <c r="HH25" s="375">
        <v>0</v>
      </c>
      <c r="HI25" s="375">
        <f t="shared" si="139"/>
        <v>0</v>
      </c>
      <c r="HJ25" s="375">
        <f t="shared" si="140"/>
        <v>4.625</v>
      </c>
      <c r="HK25" s="376">
        <f t="shared" si="141"/>
        <v>97.375</v>
      </c>
      <c r="HL25" s="373">
        <f t="shared" si="142"/>
        <v>14.507184895833332</v>
      </c>
      <c r="HM25" s="374" t="str">
        <f t="shared" si="143"/>
        <v>(1.35)</v>
      </c>
      <c r="HN25" s="375">
        <v>2</v>
      </c>
      <c r="HO25" s="375">
        <f t="shared" si="144"/>
        <v>3.5</v>
      </c>
      <c r="HP25" s="375">
        <v>1</v>
      </c>
      <c r="HQ25" s="375">
        <f t="shared" si="145"/>
        <v>1.125</v>
      </c>
      <c r="HR25" s="375">
        <v>2</v>
      </c>
      <c r="HS25" s="375">
        <f t="shared" si="146"/>
        <v>2</v>
      </c>
      <c r="HT25" s="375">
        <f t="shared" si="147"/>
        <v>6.625</v>
      </c>
      <c r="HU25" s="376">
        <f t="shared" si="148"/>
        <v>101.375</v>
      </c>
      <c r="HV25" s="373">
        <f t="shared" si="149"/>
        <v>15.365809895833333</v>
      </c>
      <c r="HW25" s="374" t="str">
        <f t="shared" si="150"/>
        <v>(1.43)</v>
      </c>
      <c r="HX25" s="375">
        <v>2</v>
      </c>
      <c r="HY25" s="375">
        <f t="shared" si="151"/>
        <v>3.5</v>
      </c>
      <c r="HZ25" s="375">
        <v>1</v>
      </c>
      <c r="IA25" s="375">
        <f t="shared" si="152"/>
        <v>1.125</v>
      </c>
      <c r="IB25" s="375">
        <v>2</v>
      </c>
      <c r="IC25" s="375">
        <f t="shared" si="153"/>
        <v>2</v>
      </c>
      <c r="ID25" s="375">
        <f t="shared" si="154"/>
        <v>6.625</v>
      </c>
      <c r="IE25" s="376">
        <f t="shared" si="155"/>
        <v>107.375</v>
      </c>
      <c r="IF25" s="373">
        <f t="shared" si="156"/>
        <v>16.224434895833333</v>
      </c>
      <c r="IG25" s="374" t="str">
        <f t="shared" si="157"/>
        <v>(1.51)</v>
      </c>
      <c r="IH25" s="22">
        <v>2</v>
      </c>
      <c r="II25" s="22">
        <f t="shared" si="158"/>
        <v>3.5</v>
      </c>
      <c r="IJ25" s="22">
        <v>1</v>
      </c>
      <c r="IK25" s="22">
        <f t="shared" si="159"/>
        <v>1.125</v>
      </c>
      <c r="IL25" s="22">
        <v>2</v>
      </c>
      <c r="IM25" s="22">
        <f t="shared" si="160"/>
        <v>2</v>
      </c>
      <c r="IN25" s="22">
        <f t="shared" si="161"/>
        <v>6.625</v>
      </c>
      <c r="IO25" s="23">
        <f t="shared" si="162"/>
        <v>113.375</v>
      </c>
      <c r="IP25" s="24"/>
      <c r="IQ25" s="467">
        <v>7</v>
      </c>
      <c r="IR25" s="468">
        <v>2.645</v>
      </c>
      <c r="IS25" s="468">
        <v>2.645</v>
      </c>
      <c r="IT25" s="468">
        <v>2.0920000000000001</v>
      </c>
      <c r="IU25" s="468">
        <v>1.75</v>
      </c>
      <c r="IV25" s="468">
        <v>1</v>
      </c>
      <c r="IW25" s="468">
        <v>1.125</v>
      </c>
      <c r="IX25" s="8"/>
    </row>
    <row r="26" spans="2:258" ht="15.75" thickBot="1" x14ac:dyDescent="0.3">
      <c r="B26" s="103">
        <f t="shared" si="21"/>
        <v>60</v>
      </c>
      <c r="C26" s="226">
        <v>11</v>
      </c>
      <c r="D26" s="98">
        <f t="shared" si="1"/>
        <v>0.37152500000000005</v>
      </c>
      <c r="E26" s="96">
        <f t="shared" si="2"/>
        <v>0.43063125000000008</v>
      </c>
      <c r="F26" s="96">
        <f t="shared" si="3"/>
        <v>0.48973750000000005</v>
      </c>
      <c r="G26" s="96">
        <f t="shared" si="4"/>
        <v>0.51929062500000012</v>
      </c>
      <c r="H26" s="96">
        <f t="shared" si="5"/>
        <v>0.53702250000000007</v>
      </c>
      <c r="I26" s="96">
        <f t="shared" si="6"/>
        <v>0.54884374999999996</v>
      </c>
      <c r="J26" s="96">
        <f t="shared" si="7"/>
        <v>0.55728750000000005</v>
      </c>
      <c r="K26" s="96">
        <f t="shared" si="8"/>
        <v>0.56362031250000011</v>
      </c>
      <c r="L26" s="96">
        <f t="shared" si="9"/>
        <v>0.55728750000000005</v>
      </c>
      <c r="M26" s="96">
        <f t="shared" si="10"/>
        <v>0.5623537500000001</v>
      </c>
      <c r="N26" s="96">
        <f t="shared" si="11"/>
        <v>0.56649886363636359</v>
      </c>
      <c r="O26" s="96">
        <f t="shared" si="12"/>
        <v>0.56889765625000011</v>
      </c>
      <c r="P26" s="96">
        <f t="shared" si="13"/>
        <v>0.57190168269230779</v>
      </c>
      <c r="Q26" s="96">
        <f t="shared" si="14"/>
        <v>0.57447656250000012</v>
      </c>
      <c r="R26" s="96">
        <f t="shared" si="15"/>
        <v>0.57670812500000002</v>
      </c>
      <c r="S26" s="96">
        <f t="shared" si="16"/>
        <v>0.57866074218750008</v>
      </c>
      <c r="T26" s="96">
        <f t="shared" si="17"/>
        <v>0.58038363970588236</v>
      </c>
      <c r="U26" s="96">
        <f t="shared" si="18"/>
        <v>0.57065677083333333</v>
      </c>
      <c r="V26" s="96">
        <f t="shared" si="19"/>
        <v>0.57261957236842109</v>
      </c>
      <c r="W26" s="96">
        <f t="shared" si="20"/>
        <v>0.57438609375000005</v>
      </c>
      <c r="X26" s="96"/>
      <c r="Y26" s="65"/>
      <c r="AA26" s="83"/>
      <c r="AT26" s="4"/>
      <c r="AU26" s="14">
        <f t="shared" si="163"/>
        <v>42</v>
      </c>
      <c r="AV26" s="12" t="str">
        <f t="shared" si="22"/>
        <v>(1050)</v>
      </c>
      <c r="AW26" s="19"/>
      <c r="AX26" s="20">
        <f t="shared" si="23"/>
        <v>0.94290625000000006</v>
      </c>
      <c r="AY26" s="21" t="str">
        <f t="shared" si="24"/>
        <v>(0.09)</v>
      </c>
      <c r="AZ26" s="22">
        <v>2</v>
      </c>
      <c r="BA26" s="22">
        <f t="shared" si="25"/>
        <v>3.5</v>
      </c>
      <c r="BB26" s="22">
        <v>0</v>
      </c>
      <c r="BC26" s="22">
        <f t="shared" si="26"/>
        <v>0</v>
      </c>
      <c r="BD26" s="22">
        <v>0</v>
      </c>
      <c r="BE26" s="22">
        <f t="shared" si="27"/>
        <v>0</v>
      </c>
      <c r="BF26" s="22">
        <f t="shared" si="28"/>
        <v>3.5</v>
      </c>
      <c r="BG26" s="23">
        <f t="shared" si="29"/>
        <v>5.5</v>
      </c>
      <c r="BH26" s="373">
        <f t="shared" si="30"/>
        <v>1.45721875</v>
      </c>
      <c r="BI26" s="374" t="str">
        <f t="shared" si="31"/>
        <v>(0.14)</v>
      </c>
      <c r="BJ26" s="375">
        <v>2</v>
      </c>
      <c r="BK26" s="375">
        <f t="shared" si="32"/>
        <v>3.5</v>
      </c>
      <c r="BL26" s="375">
        <v>0</v>
      </c>
      <c r="BM26" s="375">
        <f t="shared" si="33"/>
        <v>0</v>
      </c>
      <c r="BN26" s="375">
        <v>0</v>
      </c>
      <c r="BO26" s="375">
        <f t="shared" si="34"/>
        <v>0</v>
      </c>
      <c r="BP26" s="375">
        <f t="shared" si="35"/>
        <v>3.5</v>
      </c>
      <c r="BQ26" s="376">
        <f t="shared" si="36"/>
        <v>8.5</v>
      </c>
      <c r="BR26" s="373">
        <f t="shared" si="37"/>
        <v>2.4858437499999999</v>
      </c>
      <c r="BS26" s="374" t="str">
        <f t="shared" si="38"/>
        <v>(0.23)</v>
      </c>
      <c r="BT26" s="375">
        <v>2</v>
      </c>
      <c r="BU26" s="375">
        <f t="shared" si="39"/>
        <v>3.5</v>
      </c>
      <c r="BV26" s="375">
        <v>0</v>
      </c>
      <c r="BW26" s="375">
        <f t="shared" si="40"/>
        <v>0</v>
      </c>
      <c r="BX26" s="375">
        <v>0</v>
      </c>
      <c r="BY26" s="375">
        <f t="shared" si="41"/>
        <v>0</v>
      </c>
      <c r="BZ26" s="375">
        <f t="shared" si="42"/>
        <v>3.5</v>
      </c>
      <c r="CA26" s="376">
        <f t="shared" si="43"/>
        <v>14.5</v>
      </c>
      <c r="CB26" s="373">
        <f t="shared" si="44"/>
        <v>3.5144687500000003</v>
      </c>
      <c r="CC26" s="374" t="str">
        <f t="shared" si="45"/>
        <v>(0.33)</v>
      </c>
      <c r="CD26" s="375">
        <v>2</v>
      </c>
      <c r="CE26" s="375">
        <f t="shared" si="46"/>
        <v>3.5</v>
      </c>
      <c r="CF26" s="375">
        <v>0</v>
      </c>
      <c r="CG26" s="375">
        <f t="shared" si="47"/>
        <v>0</v>
      </c>
      <c r="CH26" s="375">
        <v>0</v>
      </c>
      <c r="CI26" s="375">
        <f t="shared" si="48"/>
        <v>0</v>
      </c>
      <c r="CJ26" s="375">
        <f t="shared" si="49"/>
        <v>3.5</v>
      </c>
      <c r="CK26" s="376">
        <f t="shared" si="50"/>
        <v>20.5</v>
      </c>
      <c r="CL26" s="373">
        <f t="shared" si="51"/>
        <v>4.5430937500000006</v>
      </c>
      <c r="CM26" s="374" t="str">
        <f t="shared" si="52"/>
        <v>(0.42)</v>
      </c>
      <c r="CN26" s="375">
        <v>2</v>
      </c>
      <c r="CO26" s="375">
        <f t="shared" si="53"/>
        <v>3.5</v>
      </c>
      <c r="CP26" s="375">
        <v>0</v>
      </c>
      <c r="CQ26" s="375">
        <f t="shared" si="54"/>
        <v>0</v>
      </c>
      <c r="CR26" s="375">
        <v>0</v>
      </c>
      <c r="CS26" s="375">
        <f t="shared" si="55"/>
        <v>0</v>
      </c>
      <c r="CT26" s="375">
        <f t="shared" si="56"/>
        <v>3.5</v>
      </c>
      <c r="CU26" s="376">
        <f t="shared" si="57"/>
        <v>26.5</v>
      </c>
      <c r="CV26" s="373">
        <f t="shared" si="58"/>
        <v>5.5717187499999996</v>
      </c>
      <c r="CW26" s="374" t="str">
        <f t="shared" si="59"/>
        <v>(0.52)</v>
      </c>
      <c r="CX26" s="375">
        <v>2</v>
      </c>
      <c r="CY26" s="375">
        <f t="shared" si="60"/>
        <v>3.5</v>
      </c>
      <c r="CZ26" s="375">
        <v>0</v>
      </c>
      <c r="DA26" s="375">
        <f t="shared" si="61"/>
        <v>0</v>
      </c>
      <c r="DB26" s="375">
        <v>0</v>
      </c>
      <c r="DC26" s="375">
        <f t="shared" si="62"/>
        <v>0</v>
      </c>
      <c r="DD26" s="375">
        <f t="shared" si="63"/>
        <v>3.5</v>
      </c>
      <c r="DE26" s="376">
        <f t="shared" si="64"/>
        <v>32.5</v>
      </c>
      <c r="DF26" s="373">
        <f t="shared" si="65"/>
        <v>6.6003437500000004</v>
      </c>
      <c r="DG26" s="374" t="str">
        <f t="shared" si="66"/>
        <v>(0.61)</v>
      </c>
      <c r="DH26" s="375">
        <v>2</v>
      </c>
      <c r="DI26" s="375">
        <f t="shared" si="67"/>
        <v>3.5</v>
      </c>
      <c r="DJ26" s="375">
        <v>0</v>
      </c>
      <c r="DK26" s="375">
        <f t="shared" si="68"/>
        <v>0</v>
      </c>
      <c r="DL26" s="375">
        <v>0</v>
      </c>
      <c r="DM26" s="375">
        <f t="shared" si="69"/>
        <v>0</v>
      </c>
      <c r="DN26" s="375">
        <f t="shared" si="70"/>
        <v>3.5</v>
      </c>
      <c r="DO26" s="376">
        <f t="shared" si="71"/>
        <v>38.5</v>
      </c>
      <c r="DP26" s="373">
        <f t="shared" si="72"/>
        <v>7.6289687500000003</v>
      </c>
      <c r="DQ26" s="374" t="str">
        <f t="shared" si="73"/>
        <v>(0.71)</v>
      </c>
      <c r="DR26" s="375">
        <v>2</v>
      </c>
      <c r="DS26" s="375">
        <f t="shared" si="74"/>
        <v>3.5</v>
      </c>
      <c r="DT26" s="375">
        <v>0</v>
      </c>
      <c r="DU26" s="375">
        <f t="shared" si="75"/>
        <v>0</v>
      </c>
      <c r="DV26" s="375">
        <v>0</v>
      </c>
      <c r="DW26" s="375">
        <f t="shared" si="76"/>
        <v>0</v>
      </c>
      <c r="DX26" s="375">
        <f t="shared" si="77"/>
        <v>3.5</v>
      </c>
      <c r="DY26" s="376">
        <f t="shared" si="78"/>
        <v>44.5</v>
      </c>
      <c r="DZ26" s="373">
        <f t="shared" si="79"/>
        <v>8.4861562500000005</v>
      </c>
      <c r="EA26" s="374" t="str">
        <f t="shared" si="80"/>
        <v>(0.79)</v>
      </c>
      <c r="EB26" s="375">
        <v>2</v>
      </c>
      <c r="EC26" s="375">
        <f t="shared" si="81"/>
        <v>3.5</v>
      </c>
      <c r="ED26" s="375">
        <v>0</v>
      </c>
      <c r="EE26" s="375">
        <f t="shared" si="82"/>
        <v>0</v>
      </c>
      <c r="EF26" s="375">
        <v>1</v>
      </c>
      <c r="EG26" s="375">
        <f t="shared" si="83"/>
        <v>1</v>
      </c>
      <c r="EH26" s="375">
        <f t="shared" si="84"/>
        <v>4.5</v>
      </c>
      <c r="EI26" s="376">
        <f t="shared" si="85"/>
        <v>49.5</v>
      </c>
      <c r="EJ26" s="373">
        <f t="shared" si="86"/>
        <v>9.5147812500000004</v>
      </c>
      <c r="EK26" s="374" t="str">
        <f t="shared" si="87"/>
        <v>(0.88)</v>
      </c>
      <c r="EL26" s="375">
        <v>2</v>
      </c>
      <c r="EM26" s="375">
        <f t="shared" si="88"/>
        <v>3.5</v>
      </c>
      <c r="EN26" s="375">
        <v>0</v>
      </c>
      <c r="EO26" s="375">
        <f t="shared" si="89"/>
        <v>0</v>
      </c>
      <c r="EP26" s="375">
        <v>1</v>
      </c>
      <c r="EQ26" s="375">
        <f t="shared" si="90"/>
        <v>1</v>
      </c>
      <c r="ER26" s="375">
        <f t="shared" si="91"/>
        <v>4.5</v>
      </c>
      <c r="ES26" s="376">
        <f t="shared" si="92"/>
        <v>55.5</v>
      </c>
      <c r="ET26" s="373">
        <f t="shared" si="93"/>
        <v>10.54340625</v>
      </c>
      <c r="EU26" s="374" t="str">
        <f t="shared" si="94"/>
        <v>(0.98)</v>
      </c>
      <c r="EV26" s="375">
        <v>2</v>
      </c>
      <c r="EW26" s="375">
        <f t="shared" si="95"/>
        <v>3.5</v>
      </c>
      <c r="EX26" s="375">
        <v>0</v>
      </c>
      <c r="EY26" s="375">
        <f t="shared" si="96"/>
        <v>0</v>
      </c>
      <c r="EZ26" s="375">
        <v>1</v>
      </c>
      <c r="FA26" s="375">
        <f t="shared" si="97"/>
        <v>1</v>
      </c>
      <c r="FB26" s="375">
        <f t="shared" si="98"/>
        <v>4.5</v>
      </c>
      <c r="FC26" s="376">
        <f t="shared" si="99"/>
        <v>61.5</v>
      </c>
      <c r="FD26" s="373">
        <f t="shared" si="100"/>
        <v>11.550601562500001</v>
      </c>
      <c r="FE26" s="374" t="str">
        <f t="shared" si="101"/>
        <v>(1.07)</v>
      </c>
      <c r="FF26" s="375">
        <v>2</v>
      </c>
      <c r="FG26" s="375">
        <f t="shared" si="102"/>
        <v>3.5</v>
      </c>
      <c r="FH26" s="375">
        <v>1</v>
      </c>
      <c r="FI26" s="375">
        <f t="shared" si="103"/>
        <v>1.125</v>
      </c>
      <c r="FJ26" s="375">
        <v>0</v>
      </c>
      <c r="FK26" s="375">
        <f t="shared" si="104"/>
        <v>0</v>
      </c>
      <c r="FL26" s="375">
        <f t="shared" si="105"/>
        <v>4.625</v>
      </c>
      <c r="FM26" s="376">
        <f t="shared" si="106"/>
        <v>67.375</v>
      </c>
      <c r="FN26" s="373">
        <f t="shared" si="107"/>
        <v>12.579226562500001</v>
      </c>
      <c r="FO26" s="374" t="str">
        <f t="shared" si="108"/>
        <v>(1.17)</v>
      </c>
      <c r="FP26" s="375">
        <v>2</v>
      </c>
      <c r="FQ26" s="375">
        <f t="shared" si="109"/>
        <v>3.5</v>
      </c>
      <c r="FR26" s="375">
        <v>1</v>
      </c>
      <c r="FS26" s="375">
        <f t="shared" si="110"/>
        <v>1.125</v>
      </c>
      <c r="FT26" s="375">
        <v>0</v>
      </c>
      <c r="FU26" s="375">
        <f t="shared" si="111"/>
        <v>0</v>
      </c>
      <c r="FV26" s="375">
        <f t="shared" si="112"/>
        <v>4.625</v>
      </c>
      <c r="FW26" s="376">
        <f t="shared" si="113"/>
        <v>73.375</v>
      </c>
      <c r="FX26" s="373">
        <f t="shared" si="114"/>
        <v>13.6078515625</v>
      </c>
      <c r="FY26" s="374" t="str">
        <f t="shared" si="115"/>
        <v>(1.26)</v>
      </c>
      <c r="FZ26" s="375">
        <v>2</v>
      </c>
      <c r="GA26" s="375">
        <f t="shared" si="116"/>
        <v>3.5</v>
      </c>
      <c r="GB26" s="375">
        <v>1</v>
      </c>
      <c r="GC26" s="375">
        <f t="shared" si="117"/>
        <v>1.125</v>
      </c>
      <c r="GD26" s="375">
        <v>0</v>
      </c>
      <c r="GE26" s="375">
        <f t="shared" si="118"/>
        <v>0</v>
      </c>
      <c r="GF26" s="375">
        <f t="shared" si="119"/>
        <v>4.625</v>
      </c>
      <c r="GG26" s="376">
        <f t="shared" si="120"/>
        <v>79.375</v>
      </c>
      <c r="GH26" s="373">
        <f t="shared" si="121"/>
        <v>14.6364765625</v>
      </c>
      <c r="GI26" s="374" t="str">
        <f t="shared" si="122"/>
        <v>(1.36)</v>
      </c>
      <c r="GJ26" s="375">
        <v>2</v>
      </c>
      <c r="GK26" s="375">
        <f t="shared" si="123"/>
        <v>3.5</v>
      </c>
      <c r="GL26" s="375">
        <v>1</v>
      </c>
      <c r="GM26" s="375">
        <f t="shared" si="124"/>
        <v>1.125</v>
      </c>
      <c r="GN26" s="375">
        <v>0</v>
      </c>
      <c r="GO26" s="375">
        <f t="shared" si="125"/>
        <v>0</v>
      </c>
      <c r="GP26" s="375">
        <f t="shared" si="126"/>
        <v>4.625</v>
      </c>
      <c r="GQ26" s="376">
        <f t="shared" si="127"/>
        <v>85.375</v>
      </c>
      <c r="GR26" s="373">
        <f t="shared" si="128"/>
        <v>15.6651015625</v>
      </c>
      <c r="GS26" s="374" t="str">
        <f t="shared" si="129"/>
        <v>(1.46)</v>
      </c>
      <c r="GT26" s="375">
        <v>2</v>
      </c>
      <c r="GU26" s="375">
        <f t="shared" si="130"/>
        <v>3.5</v>
      </c>
      <c r="GV26" s="375">
        <v>1</v>
      </c>
      <c r="GW26" s="375">
        <f t="shared" si="131"/>
        <v>1.125</v>
      </c>
      <c r="GX26" s="375">
        <v>0</v>
      </c>
      <c r="GY26" s="375">
        <f t="shared" si="132"/>
        <v>0</v>
      </c>
      <c r="GZ26" s="375">
        <f t="shared" si="133"/>
        <v>4.625</v>
      </c>
      <c r="HA26" s="376">
        <f t="shared" si="134"/>
        <v>91.375</v>
      </c>
      <c r="HB26" s="373">
        <f t="shared" si="135"/>
        <v>16.693726562500004</v>
      </c>
      <c r="HC26" s="374" t="str">
        <f t="shared" si="136"/>
        <v>(1.55)</v>
      </c>
      <c r="HD26" s="375">
        <v>2</v>
      </c>
      <c r="HE26" s="375">
        <f t="shared" si="137"/>
        <v>3.5</v>
      </c>
      <c r="HF26" s="375">
        <v>1</v>
      </c>
      <c r="HG26" s="375">
        <f t="shared" si="138"/>
        <v>1.125</v>
      </c>
      <c r="HH26" s="375">
        <v>0</v>
      </c>
      <c r="HI26" s="375">
        <f t="shared" si="139"/>
        <v>0</v>
      </c>
      <c r="HJ26" s="375">
        <f t="shared" si="140"/>
        <v>4.625</v>
      </c>
      <c r="HK26" s="376">
        <f t="shared" si="141"/>
        <v>97.375</v>
      </c>
      <c r="HL26" s="373">
        <f t="shared" si="142"/>
        <v>17.379476562499999</v>
      </c>
      <c r="HM26" s="374" t="str">
        <f t="shared" si="143"/>
        <v>(1.61)</v>
      </c>
      <c r="HN26" s="375">
        <v>2</v>
      </c>
      <c r="HO26" s="375">
        <f t="shared" si="144"/>
        <v>3.5</v>
      </c>
      <c r="HP26" s="375">
        <v>1</v>
      </c>
      <c r="HQ26" s="375">
        <f t="shared" si="145"/>
        <v>1.125</v>
      </c>
      <c r="HR26" s="375">
        <v>2</v>
      </c>
      <c r="HS26" s="375">
        <f t="shared" si="146"/>
        <v>2</v>
      </c>
      <c r="HT26" s="375">
        <f t="shared" si="147"/>
        <v>6.625</v>
      </c>
      <c r="HU26" s="376">
        <f t="shared" si="148"/>
        <v>101.375</v>
      </c>
      <c r="HV26" s="373">
        <f t="shared" si="149"/>
        <v>18.408101562500001</v>
      </c>
      <c r="HW26" s="374" t="str">
        <f t="shared" si="150"/>
        <v>(1.71)</v>
      </c>
      <c r="HX26" s="375">
        <v>2</v>
      </c>
      <c r="HY26" s="375">
        <f t="shared" si="151"/>
        <v>3.5</v>
      </c>
      <c r="HZ26" s="375">
        <v>1</v>
      </c>
      <c r="IA26" s="375">
        <f t="shared" si="152"/>
        <v>1.125</v>
      </c>
      <c r="IB26" s="375">
        <v>2</v>
      </c>
      <c r="IC26" s="375">
        <f t="shared" si="153"/>
        <v>2</v>
      </c>
      <c r="ID26" s="375">
        <f t="shared" si="154"/>
        <v>6.625</v>
      </c>
      <c r="IE26" s="376">
        <f t="shared" si="155"/>
        <v>107.375</v>
      </c>
      <c r="IF26" s="373">
        <f t="shared" si="156"/>
        <v>19.436726562499999</v>
      </c>
      <c r="IG26" s="374" t="str">
        <f t="shared" si="157"/>
        <v>(1.81)</v>
      </c>
      <c r="IH26" s="22">
        <v>2</v>
      </c>
      <c r="II26" s="22">
        <f t="shared" si="158"/>
        <v>3.5</v>
      </c>
      <c r="IJ26" s="22">
        <v>1</v>
      </c>
      <c r="IK26" s="22">
        <f t="shared" si="159"/>
        <v>1.125</v>
      </c>
      <c r="IL26" s="22">
        <v>2</v>
      </c>
      <c r="IM26" s="22">
        <f t="shared" si="160"/>
        <v>2</v>
      </c>
      <c r="IN26" s="22">
        <f t="shared" si="161"/>
        <v>6.625</v>
      </c>
      <c r="IO26" s="23">
        <f t="shared" si="162"/>
        <v>113.375</v>
      </c>
      <c r="IP26" s="24"/>
      <c r="IQ26" s="467">
        <v>9</v>
      </c>
      <c r="IR26" s="468">
        <v>2.645</v>
      </c>
      <c r="IS26" s="468">
        <v>2.645</v>
      </c>
      <c r="IT26" s="468">
        <v>0.88200000000000001</v>
      </c>
      <c r="IU26" s="468">
        <v>1.75</v>
      </c>
      <c r="IV26" s="468">
        <v>1</v>
      </c>
      <c r="IW26" s="468">
        <v>1.125</v>
      </c>
      <c r="IX26" s="8"/>
    </row>
    <row r="27" spans="2:258" ht="15.75" thickBot="1" x14ac:dyDescent="0.3">
      <c r="B27" s="103">
        <f t="shared" si="21"/>
        <v>66</v>
      </c>
      <c r="C27" s="221">
        <v>12</v>
      </c>
      <c r="D27" s="98">
        <f t="shared" si="1"/>
        <v>0.37552777777777779</v>
      </c>
      <c r="E27" s="96">
        <f t="shared" si="2"/>
        <v>0.43527083333333338</v>
      </c>
      <c r="F27" s="96">
        <f t="shared" si="3"/>
        <v>0.49501388888888892</v>
      </c>
      <c r="G27" s="96">
        <f t="shared" si="4"/>
        <v>0.52488541666666666</v>
      </c>
      <c r="H27" s="96">
        <f t="shared" si="5"/>
        <v>0.54280833333333345</v>
      </c>
      <c r="I27" s="96">
        <f t="shared" si="6"/>
        <v>0.55475694444444434</v>
      </c>
      <c r="J27" s="96">
        <f t="shared" si="7"/>
        <v>0.56329166666666663</v>
      </c>
      <c r="K27" s="96">
        <f t="shared" si="8"/>
        <v>0.5696927083333333</v>
      </c>
      <c r="L27" s="96">
        <f t="shared" si="9"/>
        <v>0.56329166666666663</v>
      </c>
      <c r="M27" s="96">
        <f t="shared" si="10"/>
        <v>0.56841249999999999</v>
      </c>
      <c r="N27" s="96">
        <f t="shared" si="11"/>
        <v>0.57260227272727271</v>
      </c>
      <c r="O27" s="96">
        <f t="shared" si="12"/>
        <v>0.57502690972222226</v>
      </c>
      <c r="P27" s="96">
        <f t="shared" si="13"/>
        <v>0.5780633012820513</v>
      </c>
      <c r="Q27" s="96">
        <f t="shared" si="14"/>
        <v>0.58066592261904759</v>
      </c>
      <c r="R27" s="96">
        <f t="shared" si="15"/>
        <v>0.58292152777777773</v>
      </c>
      <c r="S27" s="96">
        <f t="shared" si="16"/>
        <v>0.5848951822916667</v>
      </c>
      <c r="T27" s="96">
        <f t="shared" si="17"/>
        <v>0.58663664215686273</v>
      </c>
      <c r="U27" s="96">
        <f t="shared" si="18"/>
        <v>0.57680497685185184</v>
      </c>
      <c r="V27" s="96">
        <f t="shared" si="19"/>
        <v>0.57878892543859661</v>
      </c>
      <c r="W27" s="96">
        <f t="shared" si="20"/>
        <v>0.58057447916666671</v>
      </c>
      <c r="X27" s="96"/>
      <c r="Y27" s="65"/>
      <c r="AA27" s="83"/>
      <c r="AT27" s="4"/>
      <c r="AU27" s="14">
        <f t="shared" si="163"/>
        <v>48</v>
      </c>
      <c r="AV27" s="12" t="str">
        <f t="shared" si="22"/>
        <v>(1200)</v>
      </c>
      <c r="AW27" s="19"/>
      <c r="AX27" s="20">
        <f t="shared" si="23"/>
        <v>1.0901458333333334</v>
      </c>
      <c r="AY27" s="21" t="str">
        <f t="shared" si="24"/>
        <v>(0.10)</v>
      </c>
      <c r="AZ27" s="22">
        <v>2</v>
      </c>
      <c r="BA27" s="22">
        <f t="shared" si="25"/>
        <v>3.5</v>
      </c>
      <c r="BB27" s="22">
        <v>0</v>
      </c>
      <c r="BC27" s="22">
        <f t="shared" si="26"/>
        <v>0</v>
      </c>
      <c r="BD27" s="22">
        <v>0</v>
      </c>
      <c r="BE27" s="22">
        <f t="shared" si="27"/>
        <v>0</v>
      </c>
      <c r="BF27" s="22">
        <f t="shared" si="28"/>
        <v>3.5</v>
      </c>
      <c r="BG27" s="23">
        <f t="shared" si="29"/>
        <v>5.5</v>
      </c>
      <c r="BH27" s="373">
        <f t="shared" si="30"/>
        <v>1.6847708333333331</v>
      </c>
      <c r="BI27" s="374" t="str">
        <f t="shared" si="31"/>
        <v>(0.16)</v>
      </c>
      <c r="BJ27" s="375">
        <v>2</v>
      </c>
      <c r="BK27" s="375">
        <f t="shared" si="32"/>
        <v>3.5</v>
      </c>
      <c r="BL27" s="375">
        <v>0</v>
      </c>
      <c r="BM27" s="375">
        <f t="shared" si="33"/>
        <v>0</v>
      </c>
      <c r="BN27" s="375">
        <v>0</v>
      </c>
      <c r="BO27" s="375">
        <f t="shared" si="34"/>
        <v>0</v>
      </c>
      <c r="BP27" s="375">
        <f t="shared" si="35"/>
        <v>3.5</v>
      </c>
      <c r="BQ27" s="376">
        <f t="shared" si="36"/>
        <v>8.5</v>
      </c>
      <c r="BR27" s="373">
        <f t="shared" si="37"/>
        <v>2.8740208333333332</v>
      </c>
      <c r="BS27" s="374" t="str">
        <f t="shared" si="38"/>
        <v>(0.27)</v>
      </c>
      <c r="BT27" s="375">
        <v>2</v>
      </c>
      <c r="BU27" s="375">
        <f t="shared" si="39"/>
        <v>3.5</v>
      </c>
      <c r="BV27" s="375">
        <v>0</v>
      </c>
      <c r="BW27" s="375">
        <f t="shared" si="40"/>
        <v>0</v>
      </c>
      <c r="BX27" s="375">
        <v>0</v>
      </c>
      <c r="BY27" s="375">
        <f t="shared" si="41"/>
        <v>0</v>
      </c>
      <c r="BZ27" s="375">
        <f t="shared" si="42"/>
        <v>3.5</v>
      </c>
      <c r="CA27" s="376">
        <f t="shared" si="43"/>
        <v>14.5</v>
      </c>
      <c r="CB27" s="373">
        <f t="shared" si="44"/>
        <v>4.0632708333333332</v>
      </c>
      <c r="CC27" s="374" t="str">
        <f t="shared" si="45"/>
        <v>(0.38)</v>
      </c>
      <c r="CD27" s="375">
        <v>2</v>
      </c>
      <c r="CE27" s="375">
        <f t="shared" si="46"/>
        <v>3.5</v>
      </c>
      <c r="CF27" s="375">
        <v>0</v>
      </c>
      <c r="CG27" s="375">
        <f t="shared" si="47"/>
        <v>0</v>
      </c>
      <c r="CH27" s="375">
        <v>0</v>
      </c>
      <c r="CI27" s="375">
        <f t="shared" si="48"/>
        <v>0</v>
      </c>
      <c r="CJ27" s="375">
        <f t="shared" si="49"/>
        <v>3.5</v>
      </c>
      <c r="CK27" s="376">
        <f t="shared" si="50"/>
        <v>20.5</v>
      </c>
      <c r="CL27" s="373">
        <f t="shared" si="51"/>
        <v>5.2525208333333326</v>
      </c>
      <c r="CM27" s="374" t="str">
        <f t="shared" si="52"/>
        <v>(0.49)</v>
      </c>
      <c r="CN27" s="375">
        <v>2</v>
      </c>
      <c r="CO27" s="375">
        <f t="shared" si="53"/>
        <v>3.5</v>
      </c>
      <c r="CP27" s="375">
        <v>0</v>
      </c>
      <c r="CQ27" s="375">
        <f t="shared" si="54"/>
        <v>0</v>
      </c>
      <c r="CR27" s="375">
        <v>0</v>
      </c>
      <c r="CS27" s="375">
        <f t="shared" si="55"/>
        <v>0</v>
      </c>
      <c r="CT27" s="375">
        <f t="shared" si="56"/>
        <v>3.5</v>
      </c>
      <c r="CU27" s="376">
        <f t="shared" si="57"/>
        <v>26.5</v>
      </c>
      <c r="CV27" s="373">
        <f t="shared" si="58"/>
        <v>6.441770833333333</v>
      </c>
      <c r="CW27" s="374" t="str">
        <f t="shared" si="59"/>
        <v>(0.6)</v>
      </c>
      <c r="CX27" s="375">
        <v>2</v>
      </c>
      <c r="CY27" s="375">
        <f t="shared" si="60"/>
        <v>3.5</v>
      </c>
      <c r="CZ27" s="375">
        <v>0</v>
      </c>
      <c r="DA27" s="375">
        <f t="shared" si="61"/>
        <v>0</v>
      </c>
      <c r="DB27" s="375">
        <v>0</v>
      </c>
      <c r="DC27" s="375">
        <f t="shared" si="62"/>
        <v>0</v>
      </c>
      <c r="DD27" s="375">
        <f t="shared" si="63"/>
        <v>3.5</v>
      </c>
      <c r="DE27" s="376">
        <f t="shared" si="64"/>
        <v>32.5</v>
      </c>
      <c r="DF27" s="373">
        <f t="shared" si="65"/>
        <v>7.6310208333333334</v>
      </c>
      <c r="DG27" s="374" t="str">
        <f t="shared" si="66"/>
        <v>(0.71)</v>
      </c>
      <c r="DH27" s="375">
        <v>2</v>
      </c>
      <c r="DI27" s="375">
        <f t="shared" si="67"/>
        <v>3.5</v>
      </c>
      <c r="DJ27" s="375">
        <v>0</v>
      </c>
      <c r="DK27" s="375">
        <f t="shared" si="68"/>
        <v>0</v>
      </c>
      <c r="DL27" s="375">
        <v>0</v>
      </c>
      <c r="DM27" s="375">
        <f t="shared" si="69"/>
        <v>0</v>
      </c>
      <c r="DN27" s="375">
        <f t="shared" si="70"/>
        <v>3.5</v>
      </c>
      <c r="DO27" s="376">
        <f t="shared" si="71"/>
        <v>38.5</v>
      </c>
      <c r="DP27" s="377">
        <f t="shared" si="72"/>
        <v>8.820270833333332</v>
      </c>
      <c r="DQ27" s="378" t="str">
        <f t="shared" si="73"/>
        <v>(0.82)</v>
      </c>
      <c r="DR27" s="375">
        <v>2</v>
      </c>
      <c r="DS27" s="375">
        <f t="shared" si="74"/>
        <v>3.5</v>
      </c>
      <c r="DT27" s="375">
        <v>0</v>
      </c>
      <c r="DU27" s="375">
        <f t="shared" si="75"/>
        <v>0</v>
      </c>
      <c r="DV27" s="375">
        <v>0</v>
      </c>
      <c r="DW27" s="375">
        <f t="shared" si="76"/>
        <v>0</v>
      </c>
      <c r="DX27" s="375">
        <f t="shared" si="77"/>
        <v>3.5</v>
      </c>
      <c r="DY27" s="376">
        <f t="shared" si="78"/>
        <v>44.5</v>
      </c>
      <c r="DZ27" s="373">
        <f t="shared" si="79"/>
        <v>9.8113124999999997</v>
      </c>
      <c r="EA27" s="374" t="str">
        <f t="shared" si="80"/>
        <v>(0.91)</v>
      </c>
      <c r="EB27" s="375">
        <v>2</v>
      </c>
      <c r="EC27" s="375">
        <f t="shared" si="81"/>
        <v>3.5</v>
      </c>
      <c r="ED27" s="375">
        <v>0</v>
      </c>
      <c r="EE27" s="375">
        <f t="shared" si="82"/>
        <v>0</v>
      </c>
      <c r="EF27" s="375">
        <v>1</v>
      </c>
      <c r="EG27" s="375">
        <f t="shared" si="83"/>
        <v>1</v>
      </c>
      <c r="EH27" s="375">
        <f t="shared" si="84"/>
        <v>4.5</v>
      </c>
      <c r="EI27" s="376">
        <f t="shared" si="85"/>
        <v>49.5</v>
      </c>
      <c r="EJ27" s="373">
        <f t="shared" si="86"/>
        <v>11.000562499999999</v>
      </c>
      <c r="EK27" s="374" t="str">
        <f t="shared" si="87"/>
        <v>(1.02)</v>
      </c>
      <c r="EL27" s="375">
        <v>2</v>
      </c>
      <c r="EM27" s="375">
        <f t="shared" si="88"/>
        <v>3.5</v>
      </c>
      <c r="EN27" s="375">
        <v>0</v>
      </c>
      <c r="EO27" s="375">
        <f t="shared" si="89"/>
        <v>0</v>
      </c>
      <c r="EP27" s="375">
        <v>1</v>
      </c>
      <c r="EQ27" s="375">
        <f t="shared" si="90"/>
        <v>1</v>
      </c>
      <c r="ER27" s="375">
        <f t="shared" si="91"/>
        <v>4.5</v>
      </c>
      <c r="ES27" s="376">
        <f t="shared" si="92"/>
        <v>55.5</v>
      </c>
      <c r="ET27" s="373">
        <f t="shared" si="93"/>
        <v>12.189812499999999</v>
      </c>
      <c r="EU27" s="374" t="str">
        <f t="shared" si="94"/>
        <v>(1.13)</v>
      </c>
      <c r="EV27" s="375">
        <v>2</v>
      </c>
      <c r="EW27" s="375">
        <f t="shared" si="95"/>
        <v>3.5</v>
      </c>
      <c r="EX27" s="375">
        <v>0</v>
      </c>
      <c r="EY27" s="375">
        <f t="shared" si="96"/>
        <v>0</v>
      </c>
      <c r="EZ27" s="375">
        <v>1</v>
      </c>
      <c r="FA27" s="375">
        <f t="shared" si="97"/>
        <v>1</v>
      </c>
      <c r="FB27" s="375">
        <f t="shared" si="98"/>
        <v>4.5</v>
      </c>
      <c r="FC27" s="376">
        <f t="shared" si="99"/>
        <v>61.5</v>
      </c>
      <c r="FD27" s="373">
        <f t="shared" si="100"/>
        <v>13.354286458333332</v>
      </c>
      <c r="FE27" s="374" t="str">
        <f t="shared" si="101"/>
        <v>(1.24)</v>
      </c>
      <c r="FF27" s="375">
        <v>2</v>
      </c>
      <c r="FG27" s="375">
        <f t="shared" si="102"/>
        <v>3.5</v>
      </c>
      <c r="FH27" s="375">
        <v>1</v>
      </c>
      <c r="FI27" s="375">
        <f t="shared" si="103"/>
        <v>1.125</v>
      </c>
      <c r="FJ27" s="375">
        <v>0</v>
      </c>
      <c r="FK27" s="375">
        <f t="shared" si="104"/>
        <v>0</v>
      </c>
      <c r="FL27" s="375">
        <f t="shared" si="105"/>
        <v>4.625</v>
      </c>
      <c r="FM27" s="376">
        <f t="shared" si="106"/>
        <v>67.375</v>
      </c>
      <c r="FN27" s="373">
        <f t="shared" si="107"/>
        <v>14.543536458333332</v>
      </c>
      <c r="FO27" s="374" t="str">
        <f t="shared" si="108"/>
        <v>(1.35)</v>
      </c>
      <c r="FP27" s="375">
        <v>2</v>
      </c>
      <c r="FQ27" s="375">
        <f t="shared" si="109"/>
        <v>3.5</v>
      </c>
      <c r="FR27" s="375">
        <v>1</v>
      </c>
      <c r="FS27" s="375">
        <f t="shared" si="110"/>
        <v>1.125</v>
      </c>
      <c r="FT27" s="375">
        <v>0</v>
      </c>
      <c r="FU27" s="375">
        <f t="shared" si="111"/>
        <v>0</v>
      </c>
      <c r="FV27" s="375">
        <f t="shared" si="112"/>
        <v>4.625</v>
      </c>
      <c r="FW27" s="376">
        <f t="shared" si="113"/>
        <v>73.375</v>
      </c>
      <c r="FX27" s="373">
        <f t="shared" si="114"/>
        <v>15.732786458333331</v>
      </c>
      <c r="FY27" s="374" t="str">
        <f t="shared" si="115"/>
        <v>(1.46)</v>
      </c>
      <c r="FZ27" s="375">
        <v>2</v>
      </c>
      <c r="GA27" s="375">
        <f t="shared" si="116"/>
        <v>3.5</v>
      </c>
      <c r="GB27" s="375">
        <v>1</v>
      </c>
      <c r="GC27" s="375">
        <f t="shared" si="117"/>
        <v>1.125</v>
      </c>
      <c r="GD27" s="375">
        <v>0</v>
      </c>
      <c r="GE27" s="375">
        <f t="shared" si="118"/>
        <v>0</v>
      </c>
      <c r="GF27" s="375">
        <f t="shared" si="119"/>
        <v>4.625</v>
      </c>
      <c r="GG27" s="376">
        <f t="shared" si="120"/>
        <v>79.375</v>
      </c>
      <c r="GH27" s="373">
        <f t="shared" si="121"/>
        <v>16.922036458333331</v>
      </c>
      <c r="GI27" s="374" t="str">
        <f t="shared" si="122"/>
        <v>(1.57)</v>
      </c>
      <c r="GJ27" s="375">
        <v>2</v>
      </c>
      <c r="GK27" s="375">
        <f t="shared" si="123"/>
        <v>3.5</v>
      </c>
      <c r="GL27" s="375">
        <v>1</v>
      </c>
      <c r="GM27" s="375">
        <f t="shared" si="124"/>
        <v>1.125</v>
      </c>
      <c r="GN27" s="375">
        <v>0</v>
      </c>
      <c r="GO27" s="375">
        <f t="shared" si="125"/>
        <v>0</v>
      </c>
      <c r="GP27" s="375">
        <f t="shared" si="126"/>
        <v>4.625</v>
      </c>
      <c r="GQ27" s="376">
        <f t="shared" si="127"/>
        <v>85.375</v>
      </c>
      <c r="GR27" s="373">
        <f t="shared" si="128"/>
        <v>18.111286458333332</v>
      </c>
      <c r="GS27" s="374" t="str">
        <f t="shared" si="129"/>
        <v>(1.68)</v>
      </c>
      <c r="GT27" s="375">
        <v>2</v>
      </c>
      <c r="GU27" s="375">
        <f t="shared" si="130"/>
        <v>3.5</v>
      </c>
      <c r="GV27" s="375">
        <v>1</v>
      </c>
      <c r="GW27" s="375">
        <f t="shared" si="131"/>
        <v>1.125</v>
      </c>
      <c r="GX27" s="375">
        <v>0</v>
      </c>
      <c r="GY27" s="375">
        <f t="shared" si="132"/>
        <v>0</v>
      </c>
      <c r="GZ27" s="375">
        <f t="shared" si="133"/>
        <v>4.625</v>
      </c>
      <c r="HA27" s="376">
        <f t="shared" si="134"/>
        <v>91.375</v>
      </c>
      <c r="HB27" s="373">
        <f t="shared" si="135"/>
        <v>19.30053645833333</v>
      </c>
      <c r="HC27" s="374" t="str">
        <f t="shared" si="136"/>
        <v>(1.79)</v>
      </c>
      <c r="HD27" s="375">
        <v>2</v>
      </c>
      <c r="HE27" s="375">
        <f t="shared" si="137"/>
        <v>3.5</v>
      </c>
      <c r="HF27" s="375">
        <v>1</v>
      </c>
      <c r="HG27" s="375">
        <f t="shared" si="138"/>
        <v>1.125</v>
      </c>
      <c r="HH27" s="375">
        <v>0</v>
      </c>
      <c r="HI27" s="375">
        <f t="shared" si="139"/>
        <v>0</v>
      </c>
      <c r="HJ27" s="375">
        <f t="shared" si="140"/>
        <v>4.625</v>
      </c>
      <c r="HK27" s="376">
        <f t="shared" si="141"/>
        <v>97.375</v>
      </c>
      <c r="HL27" s="373">
        <f t="shared" si="142"/>
        <v>20.093369791666664</v>
      </c>
      <c r="HM27" s="374" t="str">
        <f t="shared" si="143"/>
        <v>(1.87)</v>
      </c>
      <c r="HN27" s="375">
        <v>2</v>
      </c>
      <c r="HO27" s="375">
        <f t="shared" si="144"/>
        <v>3.5</v>
      </c>
      <c r="HP27" s="375">
        <v>1</v>
      </c>
      <c r="HQ27" s="375">
        <f t="shared" si="145"/>
        <v>1.125</v>
      </c>
      <c r="HR27" s="375">
        <v>2</v>
      </c>
      <c r="HS27" s="375">
        <f t="shared" si="146"/>
        <v>2</v>
      </c>
      <c r="HT27" s="375">
        <f t="shared" si="147"/>
        <v>6.625</v>
      </c>
      <c r="HU27" s="376">
        <f t="shared" si="148"/>
        <v>101.375</v>
      </c>
      <c r="HV27" s="373">
        <f t="shared" si="149"/>
        <v>21.282619791666665</v>
      </c>
      <c r="HW27" s="374" t="str">
        <f t="shared" si="150"/>
        <v>(1.98)</v>
      </c>
      <c r="HX27" s="375">
        <v>2</v>
      </c>
      <c r="HY27" s="375">
        <f t="shared" si="151"/>
        <v>3.5</v>
      </c>
      <c r="HZ27" s="375">
        <v>1</v>
      </c>
      <c r="IA27" s="375">
        <f t="shared" si="152"/>
        <v>1.125</v>
      </c>
      <c r="IB27" s="375">
        <v>2</v>
      </c>
      <c r="IC27" s="375">
        <f t="shared" si="153"/>
        <v>2</v>
      </c>
      <c r="ID27" s="375">
        <f t="shared" si="154"/>
        <v>6.625</v>
      </c>
      <c r="IE27" s="376">
        <f t="shared" si="155"/>
        <v>107.375</v>
      </c>
      <c r="IF27" s="373">
        <f t="shared" si="156"/>
        <v>22.471869791666663</v>
      </c>
      <c r="IG27" s="374" t="str">
        <f t="shared" si="157"/>
        <v>(2.09)</v>
      </c>
      <c r="IH27" s="22">
        <v>2</v>
      </c>
      <c r="II27" s="22">
        <f t="shared" si="158"/>
        <v>3.5</v>
      </c>
      <c r="IJ27" s="22">
        <v>1</v>
      </c>
      <c r="IK27" s="22">
        <f t="shared" si="159"/>
        <v>1.125</v>
      </c>
      <c r="IL27" s="22">
        <v>2</v>
      </c>
      <c r="IM27" s="22">
        <f t="shared" si="160"/>
        <v>2</v>
      </c>
      <c r="IN27" s="22">
        <f t="shared" si="161"/>
        <v>6.625</v>
      </c>
      <c r="IO27" s="23">
        <f t="shared" si="162"/>
        <v>113.375</v>
      </c>
      <c r="IP27" s="24"/>
      <c r="IQ27" s="467">
        <v>10</v>
      </c>
      <c r="IR27" s="468">
        <v>2.645</v>
      </c>
      <c r="IS27" s="468">
        <v>2.645</v>
      </c>
      <c r="IT27" s="468">
        <v>2.0920000000000001</v>
      </c>
      <c r="IU27" s="468">
        <v>1.75</v>
      </c>
      <c r="IV27" s="468">
        <v>1</v>
      </c>
      <c r="IW27" s="468">
        <v>1.125</v>
      </c>
      <c r="IX27" s="8"/>
    </row>
    <row r="28" spans="2:258" ht="15.75" thickBot="1" x14ac:dyDescent="0.3">
      <c r="B28" s="103">
        <f t="shared" si="21"/>
        <v>72</v>
      </c>
      <c r="C28" s="226">
        <v>13</v>
      </c>
      <c r="D28" s="98">
        <f t="shared" si="1"/>
        <v>0.37695370370370368</v>
      </c>
      <c r="E28" s="96">
        <f t="shared" si="2"/>
        <v>0.43692361111111117</v>
      </c>
      <c r="F28" s="96">
        <f t="shared" si="3"/>
        <v>0.49689351851851843</v>
      </c>
      <c r="G28" s="96">
        <f t="shared" si="4"/>
        <v>0.52687847222222228</v>
      </c>
      <c r="H28" s="96">
        <f t="shared" si="5"/>
        <v>0.54486944444444441</v>
      </c>
      <c r="I28" s="96">
        <f t="shared" si="6"/>
        <v>0.55686342592592597</v>
      </c>
      <c r="J28" s="96">
        <f t="shared" si="7"/>
        <v>0.56543055555555544</v>
      </c>
      <c r="K28" s="96">
        <f t="shared" si="8"/>
        <v>0.57185590277777776</v>
      </c>
      <c r="L28" s="96">
        <f t="shared" si="9"/>
        <v>0.56543055555555544</v>
      </c>
      <c r="M28" s="96">
        <f t="shared" si="10"/>
        <v>0.57057083333333336</v>
      </c>
      <c r="N28" s="96">
        <f t="shared" si="11"/>
        <v>0.57477651515151507</v>
      </c>
      <c r="O28" s="96">
        <f t="shared" si="12"/>
        <v>0.57721035879629623</v>
      </c>
      <c r="P28" s="96">
        <f t="shared" si="13"/>
        <v>0.58025827991452994</v>
      </c>
      <c r="Q28" s="96">
        <f t="shared" si="14"/>
        <v>0.58287078373015877</v>
      </c>
      <c r="R28" s="96">
        <f t="shared" si="15"/>
        <v>0.58513495370370372</v>
      </c>
      <c r="S28" s="96">
        <f t="shared" si="16"/>
        <v>0.58711610243055556</v>
      </c>
      <c r="T28" s="96">
        <f t="shared" si="17"/>
        <v>0.58886417483660125</v>
      </c>
      <c r="U28" s="96">
        <f t="shared" si="18"/>
        <v>0.57899517746913576</v>
      </c>
      <c r="V28" s="96">
        <f t="shared" si="19"/>
        <v>0.58098665935672511</v>
      </c>
      <c r="W28" s="96">
        <f t="shared" si="20"/>
        <v>0.58277899305555558</v>
      </c>
      <c r="X28" s="96"/>
      <c r="Y28" s="65"/>
      <c r="AA28" s="83"/>
      <c r="AT28" s="4"/>
      <c r="AU28" s="14">
        <f t="shared" si="163"/>
        <v>54</v>
      </c>
      <c r="AV28" s="12" t="str">
        <f t="shared" si="22"/>
        <v>(1350)</v>
      </c>
      <c r="AW28" s="19"/>
      <c r="AX28" s="20">
        <f t="shared" si="23"/>
        <v>1.1449548611111111</v>
      </c>
      <c r="AY28" s="21" t="str">
        <f t="shared" si="24"/>
        <v>(0.11)</v>
      </c>
      <c r="AZ28" s="22">
        <v>2</v>
      </c>
      <c r="BA28" s="22">
        <f t="shared" si="25"/>
        <v>3.5</v>
      </c>
      <c r="BB28" s="22">
        <v>0</v>
      </c>
      <c r="BC28" s="22">
        <f t="shared" si="26"/>
        <v>0</v>
      </c>
      <c r="BD28" s="22">
        <v>0</v>
      </c>
      <c r="BE28" s="22">
        <f t="shared" si="27"/>
        <v>0</v>
      </c>
      <c r="BF28" s="22">
        <f t="shared" si="28"/>
        <v>3.5</v>
      </c>
      <c r="BG28" s="23">
        <f t="shared" si="29"/>
        <v>5.5</v>
      </c>
      <c r="BH28" s="373">
        <f t="shared" si="30"/>
        <v>1.7694756944444443</v>
      </c>
      <c r="BI28" s="374" t="str">
        <f t="shared" si="31"/>
        <v>(0.16)</v>
      </c>
      <c r="BJ28" s="375">
        <v>2</v>
      </c>
      <c r="BK28" s="375">
        <f t="shared" si="32"/>
        <v>3.5</v>
      </c>
      <c r="BL28" s="375">
        <v>0</v>
      </c>
      <c r="BM28" s="375">
        <f t="shared" si="33"/>
        <v>0</v>
      </c>
      <c r="BN28" s="375">
        <v>0</v>
      </c>
      <c r="BO28" s="375">
        <f t="shared" si="34"/>
        <v>0</v>
      </c>
      <c r="BP28" s="375">
        <f t="shared" si="35"/>
        <v>3.5</v>
      </c>
      <c r="BQ28" s="376">
        <f t="shared" si="36"/>
        <v>8.5</v>
      </c>
      <c r="BR28" s="373">
        <f t="shared" si="37"/>
        <v>3.0185173611111109</v>
      </c>
      <c r="BS28" s="374" t="str">
        <f t="shared" si="38"/>
        <v>(0.28)</v>
      </c>
      <c r="BT28" s="375">
        <v>2</v>
      </c>
      <c r="BU28" s="375">
        <f t="shared" si="39"/>
        <v>3.5</v>
      </c>
      <c r="BV28" s="375">
        <v>0</v>
      </c>
      <c r="BW28" s="375">
        <f t="shared" si="40"/>
        <v>0</v>
      </c>
      <c r="BX28" s="375">
        <v>0</v>
      </c>
      <c r="BY28" s="375">
        <f t="shared" si="41"/>
        <v>0</v>
      </c>
      <c r="BZ28" s="375">
        <f t="shared" si="42"/>
        <v>3.5</v>
      </c>
      <c r="CA28" s="376">
        <f t="shared" si="43"/>
        <v>14.5</v>
      </c>
      <c r="CB28" s="373">
        <f t="shared" si="44"/>
        <v>4.2675590277777777</v>
      </c>
      <c r="CC28" s="374" t="str">
        <f t="shared" si="45"/>
        <v>(0.4)</v>
      </c>
      <c r="CD28" s="375">
        <v>2</v>
      </c>
      <c r="CE28" s="375">
        <f t="shared" si="46"/>
        <v>3.5</v>
      </c>
      <c r="CF28" s="375">
        <v>0</v>
      </c>
      <c r="CG28" s="375">
        <f t="shared" si="47"/>
        <v>0</v>
      </c>
      <c r="CH28" s="375">
        <v>0</v>
      </c>
      <c r="CI28" s="375">
        <f t="shared" si="48"/>
        <v>0</v>
      </c>
      <c r="CJ28" s="375">
        <f t="shared" si="49"/>
        <v>3.5</v>
      </c>
      <c r="CK28" s="376">
        <f t="shared" si="50"/>
        <v>20.5</v>
      </c>
      <c r="CL28" s="373">
        <f t="shared" si="51"/>
        <v>5.5166006944444446</v>
      </c>
      <c r="CM28" s="374" t="str">
        <f t="shared" si="52"/>
        <v>(0.51)</v>
      </c>
      <c r="CN28" s="375">
        <v>2</v>
      </c>
      <c r="CO28" s="375">
        <f t="shared" si="53"/>
        <v>3.5</v>
      </c>
      <c r="CP28" s="375">
        <v>0</v>
      </c>
      <c r="CQ28" s="375">
        <f t="shared" si="54"/>
        <v>0</v>
      </c>
      <c r="CR28" s="375">
        <v>0</v>
      </c>
      <c r="CS28" s="375">
        <f t="shared" si="55"/>
        <v>0</v>
      </c>
      <c r="CT28" s="375">
        <f t="shared" si="56"/>
        <v>3.5</v>
      </c>
      <c r="CU28" s="376">
        <f t="shared" si="57"/>
        <v>26.5</v>
      </c>
      <c r="CV28" s="373">
        <f t="shared" si="58"/>
        <v>6.7656423611111114</v>
      </c>
      <c r="CW28" s="374" t="str">
        <f t="shared" si="59"/>
        <v>(0.63)</v>
      </c>
      <c r="CX28" s="375">
        <v>2</v>
      </c>
      <c r="CY28" s="375">
        <f t="shared" si="60"/>
        <v>3.5</v>
      </c>
      <c r="CZ28" s="375">
        <v>0</v>
      </c>
      <c r="DA28" s="375">
        <f t="shared" si="61"/>
        <v>0</v>
      </c>
      <c r="DB28" s="375">
        <v>0</v>
      </c>
      <c r="DC28" s="375">
        <f t="shared" si="62"/>
        <v>0</v>
      </c>
      <c r="DD28" s="375">
        <f t="shared" si="63"/>
        <v>3.5</v>
      </c>
      <c r="DE28" s="376">
        <f t="shared" si="64"/>
        <v>32.5</v>
      </c>
      <c r="DF28" s="373">
        <f t="shared" si="65"/>
        <v>8.0146840277777773</v>
      </c>
      <c r="DG28" s="374" t="str">
        <f t="shared" si="66"/>
        <v>(0.74)</v>
      </c>
      <c r="DH28" s="375">
        <v>2</v>
      </c>
      <c r="DI28" s="375">
        <f t="shared" si="67"/>
        <v>3.5</v>
      </c>
      <c r="DJ28" s="375">
        <v>0</v>
      </c>
      <c r="DK28" s="375">
        <f t="shared" si="68"/>
        <v>0</v>
      </c>
      <c r="DL28" s="375">
        <v>0</v>
      </c>
      <c r="DM28" s="375">
        <f t="shared" si="69"/>
        <v>0</v>
      </c>
      <c r="DN28" s="375">
        <f t="shared" si="70"/>
        <v>3.5</v>
      </c>
      <c r="DO28" s="376">
        <f t="shared" si="71"/>
        <v>38.5</v>
      </c>
      <c r="DP28" s="373">
        <f t="shared" si="72"/>
        <v>9.2637256944444442</v>
      </c>
      <c r="DQ28" s="374" t="str">
        <f t="shared" si="73"/>
        <v>(0.86)</v>
      </c>
      <c r="DR28" s="375">
        <v>2</v>
      </c>
      <c r="DS28" s="375">
        <f t="shared" si="74"/>
        <v>3.5</v>
      </c>
      <c r="DT28" s="375">
        <v>0</v>
      </c>
      <c r="DU28" s="375">
        <f t="shared" si="75"/>
        <v>0</v>
      </c>
      <c r="DV28" s="375">
        <v>0</v>
      </c>
      <c r="DW28" s="375">
        <f t="shared" si="76"/>
        <v>0</v>
      </c>
      <c r="DX28" s="375">
        <f t="shared" si="77"/>
        <v>3.5</v>
      </c>
      <c r="DY28" s="376">
        <f t="shared" si="78"/>
        <v>44.5</v>
      </c>
      <c r="DZ28" s="373">
        <f t="shared" si="79"/>
        <v>10.30459375</v>
      </c>
      <c r="EA28" s="374" t="str">
        <f t="shared" si="80"/>
        <v>(0.96)</v>
      </c>
      <c r="EB28" s="375">
        <v>2</v>
      </c>
      <c r="EC28" s="375">
        <f t="shared" si="81"/>
        <v>3.5</v>
      </c>
      <c r="ED28" s="375">
        <v>0</v>
      </c>
      <c r="EE28" s="375">
        <f t="shared" si="82"/>
        <v>0</v>
      </c>
      <c r="EF28" s="375">
        <v>1</v>
      </c>
      <c r="EG28" s="375">
        <f t="shared" si="83"/>
        <v>1</v>
      </c>
      <c r="EH28" s="375">
        <f t="shared" si="84"/>
        <v>4.5</v>
      </c>
      <c r="EI28" s="376">
        <f t="shared" si="85"/>
        <v>49.5</v>
      </c>
      <c r="EJ28" s="373">
        <f t="shared" si="86"/>
        <v>11.553635416666667</v>
      </c>
      <c r="EK28" s="374" t="str">
        <f t="shared" si="87"/>
        <v>(1.07)</v>
      </c>
      <c r="EL28" s="375">
        <v>2</v>
      </c>
      <c r="EM28" s="375">
        <f t="shared" si="88"/>
        <v>3.5</v>
      </c>
      <c r="EN28" s="375">
        <v>0</v>
      </c>
      <c r="EO28" s="375">
        <f t="shared" si="89"/>
        <v>0</v>
      </c>
      <c r="EP28" s="375">
        <v>1</v>
      </c>
      <c r="EQ28" s="375">
        <f t="shared" si="90"/>
        <v>1</v>
      </c>
      <c r="ER28" s="375">
        <f t="shared" si="91"/>
        <v>4.5</v>
      </c>
      <c r="ES28" s="376">
        <f t="shared" si="92"/>
        <v>55.5</v>
      </c>
      <c r="ET28" s="373">
        <f t="shared" si="93"/>
        <v>12.802677083333332</v>
      </c>
      <c r="EU28" s="374" t="str">
        <f t="shared" si="94"/>
        <v>(1.19)</v>
      </c>
      <c r="EV28" s="375">
        <v>2</v>
      </c>
      <c r="EW28" s="375">
        <f t="shared" si="95"/>
        <v>3.5</v>
      </c>
      <c r="EX28" s="375">
        <v>0</v>
      </c>
      <c r="EY28" s="375">
        <f t="shared" si="96"/>
        <v>0</v>
      </c>
      <c r="EZ28" s="375">
        <v>1</v>
      </c>
      <c r="FA28" s="375">
        <f t="shared" si="97"/>
        <v>1</v>
      </c>
      <c r="FB28" s="375">
        <f t="shared" si="98"/>
        <v>4.5</v>
      </c>
      <c r="FC28" s="376">
        <f t="shared" si="99"/>
        <v>61.5</v>
      </c>
      <c r="FD28" s="373">
        <f t="shared" si="100"/>
        <v>14.025697048611113</v>
      </c>
      <c r="FE28" s="374" t="str">
        <f t="shared" si="101"/>
        <v>(1.30)</v>
      </c>
      <c r="FF28" s="375">
        <v>2</v>
      </c>
      <c r="FG28" s="375">
        <f t="shared" si="102"/>
        <v>3.5</v>
      </c>
      <c r="FH28" s="375">
        <v>1</v>
      </c>
      <c r="FI28" s="375">
        <f t="shared" si="103"/>
        <v>1.125</v>
      </c>
      <c r="FJ28" s="375">
        <v>0</v>
      </c>
      <c r="FK28" s="375">
        <f t="shared" si="104"/>
        <v>0</v>
      </c>
      <c r="FL28" s="375">
        <f t="shared" si="105"/>
        <v>4.625</v>
      </c>
      <c r="FM28" s="376">
        <f t="shared" si="106"/>
        <v>67.375</v>
      </c>
      <c r="FN28" s="373">
        <f t="shared" si="107"/>
        <v>15.274738715277778</v>
      </c>
      <c r="FO28" s="374" t="str">
        <f t="shared" si="108"/>
        <v>(1.42)</v>
      </c>
      <c r="FP28" s="375">
        <v>2</v>
      </c>
      <c r="FQ28" s="375">
        <f t="shared" si="109"/>
        <v>3.5</v>
      </c>
      <c r="FR28" s="375">
        <v>1</v>
      </c>
      <c r="FS28" s="375">
        <f t="shared" si="110"/>
        <v>1.125</v>
      </c>
      <c r="FT28" s="375">
        <v>0</v>
      </c>
      <c r="FU28" s="375">
        <f t="shared" si="111"/>
        <v>0</v>
      </c>
      <c r="FV28" s="375">
        <f t="shared" si="112"/>
        <v>4.625</v>
      </c>
      <c r="FW28" s="376">
        <f t="shared" si="113"/>
        <v>73.375</v>
      </c>
      <c r="FX28" s="373">
        <f t="shared" si="114"/>
        <v>16.523780381944444</v>
      </c>
      <c r="FY28" s="374" t="str">
        <f t="shared" si="115"/>
        <v>(1.54)</v>
      </c>
      <c r="FZ28" s="375">
        <v>2</v>
      </c>
      <c r="GA28" s="375">
        <f t="shared" si="116"/>
        <v>3.5</v>
      </c>
      <c r="GB28" s="375">
        <v>1</v>
      </c>
      <c r="GC28" s="375">
        <f t="shared" si="117"/>
        <v>1.125</v>
      </c>
      <c r="GD28" s="375">
        <v>0</v>
      </c>
      <c r="GE28" s="375">
        <f t="shared" si="118"/>
        <v>0</v>
      </c>
      <c r="GF28" s="375">
        <f t="shared" si="119"/>
        <v>4.625</v>
      </c>
      <c r="GG28" s="376">
        <f t="shared" si="120"/>
        <v>79.375</v>
      </c>
      <c r="GH28" s="373">
        <f t="shared" si="121"/>
        <v>17.772822048611111</v>
      </c>
      <c r="GI28" s="374" t="str">
        <f t="shared" si="122"/>
        <v>(1.65)</v>
      </c>
      <c r="GJ28" s="375">
        <v>2</v>
      </c>
      <c r="GK28" s="375">
        <f t="shared" si="123"/>
        <v>3.5</v>
      </c>
      <c r="GL28" s="375">
        <v>1</v>
      </c>
      <c r="GM28" s="375">
        <f t="shared" si="124"/>
        <v>1.125</v>
      </c>
      <c r="GN28" s="375">
        <v>0</v>
      </c>
      <c r="GO28" s="375">
        <f t="shared" si="125"/>
        <v>0</v>
      </c>
      <c r="GP28" s="375">
        <f t="shared" si="126"/>
        <v>4.625</v>
      </c>
      <c r="GQ28" s="376">
        <f t="shared" si="127"/>
        <v>85.375</v>
      </c>
      <c r="GR28" s="373">
        <f t="shared" si="128"/>
        <v>19.021863715277778</v>
      </c>
      <c r="GS28" s="374" t="str">
        <f t="shared" si="129"/>
        <v>(1.77)</v>
      </c>
      <c r="GT28" s="375">
        <v>2</v>
      </c>
      <c r="GU28" s="375">
        <f t="shared" si="130"/>
        <v>3.5</v>
      </c>
      <c r="GV28" s="375">
        <v>1</v>
      </c>
      <c r="GW28" s="375">
        <f t="shared" si="131"/>
        <v>1.125</v>
      </c>
      <c r="GX28" s="375">
        <v>0</v>
      </c>
      <c r="GY28" s="375">
        <f t="shared" si="132"/>
        <v>0</v>
      </c>
      <c r="GZ28" s="375">
        <f t="shared" si="133"/>
        <v>4.625</v>
      </c>
      <c r="HA28" s="376">
        <f t="shared" si="134"/>
        <v>91.375</v>
      </c>
      <c r="HB28" s="373">
        <f t="shared" si="135"/>
        <v>20.270905381944445</v>
      </c>
      <c r="HC28" s="374" t="str">
        <f t="shared" si="136"/>
        <v>(1.88)</v>
      </c>
      <c r="HD28" s="375">
        <v>2</v>
      </c>
      <c r="HE28" s="375">
        <f t="shared" si="137"/>
        <v>3.5</v>
      </c>
      <c r="HF28" s="375">
        <v>1</v>
      </c>
      <c r="HG28" s="375">
        <f t="shared" si="138"/>
        <v>1.125</v>
      </c>
      <c r="HH28" s="375">
        <v>0</v>
      </c>
      <c r="HI28" s="375">
        <f t="shared" si="139"/>
        <v>0</v>
      </c>
      <c r="HJ28" s="375">
        <f t="shared" si="140"/>
        <v>4.625</v>
      </c>
      <c r="HK28" s="376">
        <f t="shared" si="141"/>
        <v>97.375</v>
      </c>
      <c r="HL28" s="373">
        <f t="shared" si="142"/>
        <v>21.103599826388891</v>
      </c>
      <c r="HM28" s="374" t="str">
        <f t="shared" si="143"/>
        <v>(1.96)</v>
      </c>
      <c r="HN28" s="375">
        <v>2</v>
      </c>
      <c r="HO28" s="375">
        <f t="shared" si="144"/>
        <v>3.5</v>
      </c>
      <c r="HP28" s="375">
        <v>1</v>
      </c>
      <c r="HQ28" s="375">
        <f t="shared" si="145"/>
        <v>1.125</v>
      </c>
      <c r="HR28" s="375">
        <v>2</v>
      </c>
      <c r="HS28" s="375">
        <f t="shared" si="146"/>
        <v>2</v>
      </c>
      <c r="HT28" s="375">
        <f t="shared" si="147"/>
        <v>6.625</v>
      </c>
      <c r="HU28" s="376">
        <f t="shared" si="148"/>
        <v>101.375</v>
      </c>
      <c r="HV28" s="373">
        <f t="shared" si="149"/>
        <v>22.352641493055554</v>
      </c>
      <c r="HW28" s="374" t="str">
        <f t="shared" si="150"/>
        <v>(2.08)</v>
      </c>
      <c r="HX28" s="375">
        <v>2</v>
      </c>
      <c r="HY28" s="375">
        <f t="shared" si="151"/>
        <v>3.5</v>
      </c>
      <c r="HZ28" s="375">
        <v>1</v>
      </c>
      <c r="IA28" s="375">
        <f t="shared" si="152"/>
        <v>1.125</v>
      </c>
      <c r="IB28" s="375">
        <v>2</v>
      </c>
      <c r="IC28" s="375">
        <f t="shared" si="153"/>
        <v>2</v>
      </c>
      <c r="ID28" s="375">
        <f t="shared" si="154"/>
        <v>6.625</v>
      </c>
      <c r="IE28" s="376">
        <f t="shared" si="155"/>
        <v>107.375</v>
      </c>
      <c r="IF28" s="373">
        <f t="shared" si="156"/>
        <v>23.601683159722221</v>
      </c>
      <c r="IG28" s="374" t="str">
        <f t="shared" si="157"/>
        <v>(2.19)</v>
      </c>
      <c r="IH28" s="22">
        <v>2</v>
      </c>
      <c r="II28" s="22">
        <f t="shared" si="158"/>
        <v>3.5</v>
      </c>
      <c r="IJ28" s="22">
        <v>1</v>
      </c>
      <c r="IK28" s="22">
        <f t="shared" si="159"/>
        <v>1.125</v>
      </c>
      <c r="IL28" s="22">
        <v>2</v>
      </c>
      <c r="IM28" s="22">
        <f t="shared" si="160"/>
        <v>2</v>
      </c>
      <c r="IN28" s="22">
        <f t="shared" si="161"/>
        <v>6.625</v>
      </c>
      <c r="IO28" s="23">
        <f t="shared" si="162"/>
        <v>113.375</v>
      </c>
      <c r="IP28" s="24"/>
      <c r="IQ28" s="467">
        <v>11</v>
      </c>
      <c r="IR28" s="468">
        <v>2.645</v>
      </c>
      <c r="IS28" s="468">
        <v>2.645</v>
      </c>
      <c r="IT28" s="468">
        <v>0.88200000000000001</v>
      </c>
      <c r="IU28" s="468">
        <v>1.75</v>
      </c>
      <c r="IV28" s="468">
        <v>1</v>
      </c>
      <c r="IW28" s="468">
        <v>1.125</v>
      </c>
      <c r="IX28" s="8"/>
    </row>
    <row r="29" spans="2:258" ht="15.75" thickBot="1" x14ac:dyDescent="0.3">
      <c r="B29" s="103">
        <f t="shared" si="21"/>
        <v>78</v>
      </c>
      <c r="C29" s="221">
        <v>14</v>
      </c>
      <c r="D29" s="98">
        <f t="shared" si="1"/>
        <v>0.37992307692307692</v>
      </c>
      <c r="E29" s="96">
        <f t="shared" si="2"/>
        <v>0.44036538461538466</v>
      </c>
      <c r="F29" s="96">
        <f t="shared" si="3"/>
        <v>0.50080769230769229</v>
      </c>
      <c r="G29" s="96">
        <f t="shared" si="4"/>
        <v>0.53102884615384616</v>
      </c>
      <c r="H29" s="96">
        <f t="shared" si="5"/>
        <v>0.54916153846153848</v>
      </c>
      <c r="I29" s="96">
        <f t="shared" si="6"/>
        <v>0.56125000000000003</v>
      </c>
      <c r="J29" s="96">
        <f t="shared" si="7"/>
        <v>0.56988461538461543</v>
      </c>
      <c r="K29" s="96">
        <f t="shared" si="8"/>
        <v>0.57636057692307696</v>
      </c>
      <c r="L29" s="96">
        <f t="shared" si="9"/>
        <v>0.56988461538461543</v>
      </c>
      <c r="M29" s="96">
        <f t="shared" si="10"/>
        <v>0.57506538461538459</v>
      </c>
      <c r="N29" s="96">
        <f t="shared" si="11"/>
        <v>0.5793041958041959</v>
      </c>
      <c r="O29" s="96">
        <f t="shared" si="12"/>
        <v>0.5817572115384616</v>
      </c>
      <c r="P29" s="96"/>
      <c r="Q29" s="96"/>
      <c r="R29" s="96"/>
      <c r="S29" s="96"/>
      <c r="T29" s="96"/>
      <c r="U29" s="96"/>
      <c r="V29" s="96"/>
      <c r="W29" s="96"/>
      <c r="X29" s="96"/>
      <c r="Y29" s="65"/>
      <c r="AT29" s="4"/>
      <c r="AU29" s="27">
        <f t="shared" si="163"/>
        <v>60</v>
      </c>
      <c r="AV29" s="28" t="str">
        <f t="shared" si="22"/>
        <v>(1500)</v>
      </c>
      <c r="AW29" s="19"/>
      <c r="AX29" s="20">
        <f t="shared" si="23"/>
        <v>1.3932187500000002</v>
      </c>
      <c r="AY29" s="29" t="str">
        <f t="shared" si="24"/>
        <v>(0.13)</v>
      </c>
      <c r="AZ29" s="22">
        <v>2</v>
      </c>
      <c r="BA29" s="22">
        <f t="shared" si="25"/>
        <v>3.5</v>
      </c>
      <c r="BB29" s="30">
        <v>0</v>
      </c>
      <c r="BC29" s="22">
        <f t="shared" si="26"/>
        <v>0</v>
      </c>
      <c r="BD29" s="30">
        <v>0</v>
      </c>
      <c r="BE29" s="22">
        <f t="shared" si="27"/>
        <v>0</v>
      </c>
      <c r="BF29" s="22">
        <f t="shared" si="28"/>
        <v>3.5</v>
      </c>
      <c r="BG29" s="23">
        <f t="shared" si="29"/>
        <v>5.5</v>
      </c>
      <c r="BH29" s="373">
        <f t="shared" si="30"/>
        <v>2.1531562500000003</v>
      </c>
      <c r="BI29" s="374" t="str">
        <f t="shared" si="31"/>
        <v>(0.20)</v>
      </c>
      <c r="BJ29" s="375">
        <v>2</v>
      </c>
      <c r="BK29" s="375">
        <f t="shared" si="32"/>
        <v>3.5</v>
      </c>
      <c r="BL29" s="375">
        <v>0</v>
      </c>
      <c r="BM29" s="375">
        <f t="shared" si="33"/>
        <v>0</v>
      </c>
      <c r="BN29" s="375">
        <v>0</v>
      </c>
      <c r="BO29" s="375">
        <f t="shared" si="34"/>
        <v>0</v>
      </c>
      <c r="BP29" s="375">
        <f t="shared" si="35"/>
        <v>3.5</v>
      </c>
      <c r="BQ29" s="376">
        <f t="shared" si="36"/>
        <v>8.5</v>
      </c>
      <c r="BR29" s="373">
        <f t="shared" si="37"/>
        <v>3.6730312500000002</v>
      </c>
      <c r="BS29" s="374" t="str">
        <f t="shared" si="38"/>
        <v>(0.34)</v>
      </c>
      <c r="BT29" s="375">
        <v>2</v>
      </c>
      <c r="BU29" s="375">
        <f t="shared" si="39"/>
        <v>3.5</v>
      </c>
      <c r="BV29" s="375">
        <v>0</v>
      </c>
      <c r="BW29" s="375">
        <f t="shared" si="40"/>
        <v>0</v>
      </c>
      <c r="BX29" s="375">
        <v>0</v>
      </c>
      <c r="BY29" s="375">
        <f t="shared" si="41"/>
        <v>0</v>
      </c>
      <c r="BZ29" s="375">
        <f t="shared" si="42"/>
        <v>3.5</v>
      </c>
      <c r="CA29" s="376">
        <f t="shared" si="43"/>
        <v>14.5</v>
      </c>
      <c r="CB29" s="373">
        <f t="shared" si="44"/>
        <v>5.1929062500000009</v>
      </c>
      <c r="CC29" s="374" t="str">
        <f t="shared" si="45"/>
        <v>(0.48)</v>
      </c>
      <c r="CD29" s="375">
        <v>2</v>
      </c>
      <c r="CE29" s="375">
        <f t="shared" si="46"/>
        <v>3.5</v>
      </c>
      <c r="CF29" s="375">
        <v>0</v>
      </c>
      <c r="CG29" s="375">
        <f t="shared" si="47"/>
        <v>0</v>
      </c>
      <c r="CH29" s="375">
        <v>0</v>
      </c>
      <c r="CI29" s="375">
        <f t="shared" si="48"/>
        <v>0</v>
      </c>
      <c r="CJ29" s="375">
        <f t="shared" si="49"/>
        <v>3.5</v>
      </c>
      <c r="CK29" s="376">
        <f t="shared" si="50"/>
        <v>20.5</v>
      </c>
      <c r="CL29" s="373">
        <f t="shared" si="51"/>
        <v>6.7127812500000008</v>
      </c>
      <c r="CM29" s="374" t="str">
        <f t="shared" si="52"/>
        <v>(0.62)</v>
      </c>
      <c r="CN29" s="375">
        <v>2</v>
      </c>
      <c r="CO29" s="375">
        <f t="shared" si="53"/>
        <v>3.5</v>
      </c>
      <c r="CP29" s="375">
        <v>0</v>
      </c>
      <c r="CQ29" s="375">
        <f t="shared" si="54"/>
        <v>0</v>
      </c>
      <c r="CR29" s="375">
        <v>0</v>
      </c>
      <c r="CS29" s="375">
        <f t="shared" si="55"/>
        <v>0</v>
      </c>
      <c r="CT29" s="375">
        <f t="shared" si="56"/>
        <v>3.5</v>
      </c>
      <c r="CU29" s="376">
        <f t="shared" si="57"/>
        <v>26.5</v>
      </c>
      <c r="CV29" s="373">
        <f t="shared" si="58"/>
        <v>8.2326562499999998</v>
      </c>
      <c r="CW29" s="374" t="str">
        <f t="shared" si="59"/>
        <v>(0.76)</v>
      </c>
      <c r="CX29" s="375">
        <v>2</v>
      </c>
      <c r="CY29" s="375">
        <f t="shared" si="60"/>
        <v>3.5</v>
      </c>
      <c r="CZ29" s="375">
        <v>0</v>
      </c>
      <c r="DA29" s="375">
        <f t="shared" si="61"/>
        <v>0</v>
      </c>
      <c r="DB29" s="375">
        <v>0</v>
      </c>
      <c r="DC29" s="375">
        <f t="shared" si="62"/>
        <v>0</v>
      </c>
      <c r="DD29" s="375">
        <f t="shared" si="63"/>
        <v>3.5</v>
      </c>
      <c r="DE29" s="376">
        <f t="shared" si="64"/>
        <v>32.5</v>
      </c>
      <c r="DF29" s="373">
        <f t="shared" si="65"/>
        <v>9.7525312500000005</v>
      </c>
      <c r="DG29" s="374" t="str">
        <f t="shared" si="66"/>
        <v>(0.91)</v>
      </c>
      <c r="DH29" s="375">
        <v>2</v>
      </c>
      <c r="DI29" s="375">
        <f t="shared" si="67"/>
        <v>3.5</v>
      </c>
      <c r="DJ29" s="375">
        <v>0</v>
      </c>
      <c r="DK29" s="375">
        <f t="shared" si="68"/>
        <v>0</v>
      </c>
      <c r="DL29" s="375">
        <v>0</v>
      </c>
      <c r="DM29" s="375">
        <f t="shared" si="69"/>
        <v>0</v>
      </c>
      <c r="DN29" s="375">
        <f t="shared" si="70"/>
        <v>3.5</v>
      </c>
      <c r="DO29" s="376">
        <f t="shared" si="71"/>
        <v>38.5</v>
      </c>
      <c r="DP29" s="373">
        <f t="shared" si="72"/>
        <v>11.272406250000001</v>
      </c>
      <c r="DQ29" s="374" t="str">
        <f t="shared" si="73"/>
        <v>(1.05)</v>
      </c>
      <c r="DR29" s="375">
        <v>2</v>
      </c>
      <c r="DS29" s="375">
        <f t="shared" si="74"/>
        <v>3.5</v>
      </c>
      <c r="DT29" s="375">
        <v>0</v>
      </c>
      <c r="DU29" s="375">
        <f t="shared" si="75"/>
        <v>0</v>
      </c>
      <c r="DV29" s="375">
        <v>0</v>
      </c>
      <c r="DW29" s="375">
        <f t="shared" si="76"/>
        <v>0</v>
      </c>
      <c r="DX29" s="375">
        <f t="shared" si="77"/>
        <v>3.5</v>
      </c>
      <c r="DY29" s="376">
        <f t="shared" si="78"/>
        <v>44.5</v>
      </c>
      <c r="DZ29" s="373">
        <f t="shared" si="79"/>
        <v>12.538968750000002</v>
      </c>
      <c r="EA29" s="374" t="str">
        <f t="shared" si="80"/>
        <v>(1.16)</v>
      </c>
      <c r="EB29" s="375">
        <v>2</v>
      </c>
      <c r="EC29" s="375">
        <f t="shared" si="81"/>
        <v>3.5</v>
      </c>
      <c r="ED29" s="375">
        <v>0</v>
      </c>
      <c r="EE29" s="375">
        <f t="shared" si="82"/>
        <v>0</v>
      </c>
      <c r="EF29" s="375">
        <v>1</v>
      </c>
      <c r="EG29" s="375">
        <f t="shared" si="83"/>
        <v>1</v>
      </c>
      <c r="EH29" s="375">
        <f t="shared" si="84"/>
        <v>4.5</v>
      </c>
      <c r="EI29" s="376">
        <f t="shared" si="85"/>
        <v>49.5</v>
      </c>
      <c r="EJ29" s="373">
        <f t="shared" si="86"/>
        <v>14.058843750000001</v>
      </c>
      <c r="EK29" s="374" t="str">
        <f t="shared" si="87"/>
        <v>(1.31)</v>
      </c>
      <c r="EL29" s="375">
        <v>2</v>
      </c>
      <c r="EM29" s="375">
        <f t="shared" si="88"/>
        <v>3.5</v>
      </c>
      <c r="EN29" s="375">
        <v>0</v>
      </c>
      <c r="EO29" s="375">
        <f t="shared" si="89"/>
        <v>0</v>
      </c>
      <c r="EP29" s="375">
        <v>1</v>
      </c>
      <c r="EQ29" s="375">
        <f t="shared" si="90"/>
        <v>1</v>
      </c>
      <c r="ER29" s="375">
        <f t="shared" si="91"/>
        <v>4.5</v>
      </c>
      <c r="ES29" s="376">
        <f t="shared" si="92"/>
        <v>55.5</v>
      </c>
      <c r="ET29" s="373">
        <f t="shared" si="93"/>
        <v>15.57871875</v>
      </c>
      <c r="EU29" s="374" t="str">
        <f t="shared" si="94"/>
        <v>(1.45)</v>
      </c>
      <c r="EV29" s="375">
        <v>2</v>
      </c>
      <c r="EW29" s="375">
        <f t="shared" si="95"/>
        <v>3.5</v>
      </c>
      <c r="EX29" s="375">
        <v>0</v>
      </c>
      <c r="EY29" s="375">
        <f t="shared" si="96"/>
        <v>0</v>
      </c>
      <c r="EZ29" s="375">
        <v>1</v>
      </c>
      <c r="FA29" s="375">
        <f t="shared" si="97"/>
        <v>1</v>
      </c>
      <c r="FB29" s="375">
        <f t="shared" si="98"/>
        <v>4.5</v>
      </c>
      <c r="FC29" s="376">
        <f t="shared" si="99"/>
        <v>61.5</v>
      </c>
      <c r="FD29" s="373">
        <f t="shared" si="100"/>
        <v>17.066929687500004</v>
      </c>
      <c r="FE29" s="374" t="str">
        <f t="shared" si="101"/>
        <v>(1.59)</v>
      </c>
      <c r="FF29" s="375">
        <v>2</v>
      </c>
      <c r="FG29" s="375">
        <f t="shared" si="102"/>
        <v>3.5</v>
      </c>
      <c r="FH29" s="375">
        <v>1</v>
      </c>
      <c r="FI29" s="375">
        <f t="shared" si="103"/>
        <v>1.125</v>
      </c>
      <c r="FJ29" s="375">
        <v>0</v>
      </c>
      <c r="FK29" s="375">
        <f t="shared" si="104"/>
        <v>0</v>
      </c>
      <c r="FL29" s="375">
        <f t="shared" si="105"/>
        <v>4.625</v>
      </c>
      <c r="FM29" s="376">
        <f t="shared" si="106"/>
        <v>67.375</v>
      </c>
      <c r="FN29" s="373">
        <f t="shared" si="107"/>
        <v>18.586804687500003</v>
      </c>
      <c r="FO29" s="374" t="str">
        <f t="shared" si="108"/>
        <v>(1.73)</v>
      </c>
      <c r="FP29" s="375">
        <v>2</v>
      </c>
      <c r="FQ29" s="375">
        <f t="shared" si="109"/>
        <v>3.5</v>
      </c>
      <c r="FR29" s="375">
        <v>1</v>
      </c>
      <c r="FS29" s="375">
        <f t="shared" si="110"/>
        <v>1.125</v>
      </c>
      <c r="FT29" s="375">
        <v>0</v>
      </c>
      <c r="FU29" s="375">
        <f t="shared" si="111"/>
        <v>0</v>
      </c>
      <c r="FV29" s="375">
        <f t="shared" si="112"/>
        <v>4.625</v>
      </c>
      <c r="FW29" s="376">
        <f t="shared" si="113"/>
        <v>73.375</v>
      </c>
      <c r="FX29" s="373">
        <f t="shared" si="114"/>
        <v>20.106679687500005</v>
      </c>
      <c r="FY29" s="374" t="str">
        <f t="shared" si="115"/>
        <v>(1.87)</v>
      </c>
      <c r="FZ29" s="375">
        <v>2</v>
      </c>
      <c r="GA29" s="375">
        <f t="shared" si="116"/>
        <v>3.5</v>
      </c>
      <c r="GB29" s="375">
        <v>1</v>
      </c>
      <c r="GC29" s="375">
        <f t="shared" si="117"/>
        <v>1.125</v>
      </c>
      <c r="GD29" s="375">
        <v>0</v>
      </c>
      <c r="GE29" s="375">
        <f t="shared" si="118"/>
        <v>0</v>
      </c>
      <c r="GF29" s="375">
        <f t="shared" si="119"/>
        <v>4.625</v>
      </c>
      <c r="GG29" s="376">
        <f t="shared" si="120"/>
        <v>79.375</v>
      </c>
      <c r="GH29" s="373">
        <f t="shared" si="121"/>
        <v>21.626554687500001</v>
      </c>
      <c r="GI29" s="374" t="str">
        <f t="shared" si="122"/>
        <v>(2.01)</v>
      </c>
      <c r="GJ29" s="375">
        <v>2</v>
      </c>
      <c r="GK29" s="375">
        <f t="shared" si="123"/>
        <v>3.5</v>
      </c>
      <c r="GL29" s="375">
        <v>1</v>
      </c>
      <c r="GM29" s="375">
        <f t="shared" si="124"/>
        <v>1.125</v>
      </c>
      <c r="GN29" s="375">
        <v>0</v>
      </c>
      <c r="GO29" s="375">
        <f t="shared" si="125"/>
        <v>0</v>
      </c>
      <c r="GP29" s="375">
        <f t="shared" si="126"/>
        <v>4.625</v>
      </c>
      <c r="GQ29" s="376">
        <f t="shared" si="127"/>
        <v>85.375</v>
      </c>
      <c r="GR29" s="373">
        <f t="shared" si="128"/>
        <v>23.146429687500003</v>
      </c>
      <c r="GS29" s="374" t="str">
        <f t="shared" si="129"/>
        <v>(2.15)</v>
      </c>
      <c r="GT29" s="375">
        <v>2</v>
      </c>
      <c r="GU29" s="375">
        <f t="shared" si="130"/>
        <v>3.5</v>
      </c>
      <c r="GV29" s="375">
        <v>1</v>
      </c>
      <c r="GW29" s="375">
        <f t="shared" si="131"/>
        <v>1.125</v>
      </c>
      <c r="GX29" s="375">
        <v>0</v>
      </c>
      <c r="GY29" s="375">
        <f t="shared" si="132"/>
        <v>0</v>
      </c>
      <c r="GZ29" s="375">
        <f t="shared" si="133"/>
        <v>4.625</v>
      </c>
      <c r="HA29" s="376">
        <f t="shared" si="134"/>
        <v>91.375</v>
      </c>
      <c r="HB29" s="373">
        <f t="shared" si="135"/>
        <v>24.666304687500002</v>
      </c>
      <c r="HC29" s="374" t="str">
        <f t="shared" si="136"/>
        <v>(2.29)</v>
      </c>
      <c r="HD29" s="375">
        <v>2</v>
      </c>
      <c r="HE29" s="375">
        <f t="shared" si="137"/>
        <v>3.5</v>
      </c>
      <c r="HF29" s="375">
        <v>1</v>
      </c>
      <c r="HG29" s="375">
        <f t="shared" si="138"/>
        <v>1.125</v>
      </c>
      <c r="HH29" s="375">
        <v>0</v>
      </c>
      <c r="HI29" s="375">
        <f t="shared" si="139"/>
        <v>0</v>
      </c>
      <c r="HJ29" s="375">
        <f t="shared" si="140"/>
        <v>4.625</v>
      </c>
      <c r="HK29" s="376">
        <f t="shared" si="141"/>
        <v>97.375</v>
      </c>
      <c r="HL29" s="373">
        <f t="shared" si="142"/>
        <v>25.679554687500001</v>
      </c>
      <c r="HM29" s="374" t="str">
        <f t="shared" si="143"/>
        <v>(2.39)</v>
      </c>
      <c r="HN29" s="375">
        <v>2</v>
      </c>
      <c r="HO29" s="375">
        <f t="shared" si="144"/>
        <v>3.5</v>
      </c>
      <c r="HP29" s="375">
        <v>1</v>
      </c>
      <c r="HQ29" s="375">
        <f t="shared" si="145"/>
        <v>1.125</v>
      </c>
      <c r="HR29" s="375">
        <v>2</v>
      </c>
      <c r="HS29" s="375">
        <f t="shared" si="146"/>
        <v>2</v>
      </c>
      <c r="HT29" s="375">
        <f t="shared" si="147"/>
        <v>6.625</v>
      </c>
      <c r="HU29" s="376">
        <f t="shared" si="148"/>
        <v>101.375</v>
      </c>
      <c r="HV29" s="373">
        <f t="shared" si="149"/>
        <v>27.1994296875</v>
      </c>
      <c r="HW29" s="374" t="str">
        <f t="shared" si="150"/>
        <v>(2.53)</v>
      </c>
      <c r="HX29" s="375">
        <v>2</v>
      </c>
      <c r="HY29" s="375">
        <f t="shared" si="151"/>
        <v>3.5</v>
      </c>
      <c r="HZ29" s="375">
        <v>1</v>
      </c>
      <c r="IA29" s="375">
        <f t="shared" si="152"/>
        <v>1.125</v>
      </c>
      <c r="IB29" s="375">
        <v>2</v>
      </c>
      <c r="IC29" s="375">
        <f t="shared" si="153"/>
        <v>2</v>
      </c>
      <c r="ID29" s="375">
        <f t="shared" si="154"/>
        <v>6.625</v>
      </c>
      <c r="IE29" s="376">
        <f t="shared" si="155"/>
        <v>107.375</v>
      </c>
      <c r="IF29" s="373">
        <f t="shared" si="156"/>
        <v>28.719304687500003</v>
      </c>
      <c r="IG29" s="374" t="str">
        <f t="shared" si="157"/>
        <v>(2.67)</v>
      </c>
      <c r="IH29" s="22">
        <v>2</v>
      </c>
      <c r="II29" s="22">
        <f t="shared" si="158"/>
        <v>3.5</v>
      </c>
      <c r="IJ29" s="30">
        <v>1</v>
      </c>
      <c r="IK29" s="22">
        <f t="shared" si="159"/>
        <v>1.125</v>
      </c>
      <c r="IL29" s="22">
        <v>2</v>
      </c>
      <c r="IM29" s="22">
        <f t="shared" si="160"/>
        <v>2</v>
      </c>
      <c r="IN29" s="22">
        <f t="shared" si="161"/>
        <v>6.625</v>
      </c>
      <c r="IO29" s="23">
        <f t="shared" si="162"/>
        <v>113.375</v>
      </c>
      <c r="IP29" s="24"/>
      <c r="IQ29" s="467">
        <v>13</v>
      </c>
      <c r="IR29" s="468">
        <v>2.645</v>
      </c>
      <c r="IS29" s="468">
        <v>2.645</v>
      </c>
      <c r="IT29" s="468">
        <v>2.0920000000000001</v>
      </c>
      <c r="IU29" s="468">
        <v>1.75</v>
      </c>
      <c r="IV29" s="468">
        <v>1</v>
      </c>
      <c r="IW29" s="468">
        <v>1.125</v>
      </c>
      <c r="IX29" s="8"/>
    </row>
    <row r="30" spans="2:258" ht="15.75" thickBot="1" x14ac:dyDescent="0.3">
      <c r="B30" s="103">
        <f t="shared" si="21"/>
        <v>84</v>
      </c>
      <c r="C30" s="226">
        <v>15</v>
      </c>
      <c r="D30" s="98">
        <f t="shared" si="1"/>
        <v>0.3808313492063492</v>
      </c>
      <c r="E30" s="96">
        <f t="shared" si="2"/>
        <v>0.44141815476190477</v>
      </c>
      <c r="F30" s="96">
        <f t="shared" si="3"/>
        <v>0.50200496031746034</v>
      </c>
      <c r="G30" s="96">
        <f t="shared" si="4"/>
        <v>0.53229836309523804</v>
      </c>
      <c r="H30" s="96">
        <f t="shared" si="5"/>
        <v>0.55047440476190479</v>
      </c>
      <c r="I30" s="96">
        <f t="shared" si="6"/>
        <v>0.56259176587301596</v>
      </c>
      <c r="J30" s="96">
        <f t="shared" si="7"/>
        <v>0.57124702380952375</v>
      </c>
      <c r="K30" s="96">
        <f t="shared" si="8"/>
        <v>0.5777384672619047</v>
      </c>
      <c r="L30" s="96">
        <f t="shared" si="9"/>
        <v>0.57124702380952386</v>
      </c>
      <c r="M30" s="96">
        <f t="shared" si="10"/>
        <v>0.57644017857142849</v>
      </c>
      <c r="N30" s="96">
        <f t="shared" si="11"/>
        <v>0.58068912337662348</v>
      </c>
      <c r="O30" s="96">
        <f t="shared" si="12"/>
        <v>0.58314800347222218</v>
      </c>
      <c r="P30" s="96"/>
      <c r="Q30" s="96"/>
      <c r="R30" s="96"/>
      <c r="S30" s="96"/>
      <c r="T30" s="96"/>
      <c r="U30" s="96"/>
      <c r="V30" s="96"/>
      <c r="W30" s="96"/>
      <c r="X30" s="96"/>
      <c r="Y30" s="65"/>
      <c r="AT30" s="4"/>
      <c r="AU30" s="14">
        <f t="shared" si="163"/>
        <v>66</v>
      </c>
      <c r="AV30" s="12" t="str">
        <f t="shared" si="22"/>
        <v>(1700)</v>
      </c>
      <c r="AW30" s="19"/>
      <c r="AX30" s="20">
        <f t="shared" si="23"/>
        <v>1.5490520833333334</v>
      </c>
      <c r="AY30" s="21" t="str">
        <f t="shared" si="24"/>
        <v>(0.14)</v>
      </c>
      <c r="AZ30" s="22">
        <v>2</v>
      </c>
      <c r="BA30" s="22">
        <f t="shared" si="25"/>
        <v>3.5</v>
      </c>
      <c r="BB30" s="22">
        <v>0</v>
      </c>
      <c r="BC30" s="22">
        <f t="shared" si="26"/>
        <v>0</v>
      </c>
      <c r="BD30" s="22">
        <v>0</v>
      </c>
      <c r="BE30" s="22">
        <f t="shared" si="27"/>
        <v>0</v>
      </c>
      <c r="BF30" s="22">
        <f t="shared" si="28"/>
        <v>3.5</v>
      </c>
      <c r="BG30" s="23">
        <f t="shared" si="29"/>
        <v>5.5</v>
      </c>
      <c r="BH30" s="373">
        <f t="shared" si="30"/>
        <v>2.3939895833333336</v>
      </c>
      <c r="BI30" s="374" t="str">
        <f t="shared" si="31"/>
        <v>(0.22)</v>
      </c>
      <c r="BJ30" s="375">
        <v>2</v>
      </c>
      <c r="BK30" s="375">
        <f t="shared" si="32"/>
        <v>3.5</v>
      </c>
      <c r="BL30" s="375">
        <v>0</v>
      </c>
      <c r="BM30" s="375">
        <f t="shared" si="33"/>
        <v>0</v>
      </c>
      <c r="BN30" s="375">
        <v>0</v>
      </c>
      <c r="BO30" s="375">
        <f t="shared" si="34"/>
        <v>0</v>
      </c>
      <c r="BP30" s="375">
        <f t="shared" si="35"/>
        <v>3.5</v>
      </c>
      <c r="BQ30" s="376">
        <f t="shared" si="36"/>
        <v>8.5</v>
      </c>
      <c r="BR30" s="373">
        <f t="shared" si="37"/>
        <v>4.0838645833333338</v>
      </c>
      <c r="BS30" s="374" t="str">
        <f t="shared" si="38"/>
        <v>(0.38)</v>
      </c>
      <c r="BT30" s="375">
        <v>2</v>
      </c>
      <c r="BU30" s="375">
        <f t="shared" si="39"/>
        <v>3.5</v>
      </c>
      <c r="BV30" s="375">
        <v>0</v>
      </c>
      <c r="BW30" s="375">
        <f t="shared" si="40"/>
        <v>0</v>
      </c>
      <c r="BX30" s="375">
        <v>0</v>
      </c>
      <c r="BY30" s="375">
        <f t="shared" si="41"/>
        <v>0</v>
      </c>
      <c r="BZ30" s="375">
        <f t="shared" si="42"/>
        <v>3.5</v>
      </c>
      <c r="CA30" s="376">
        <f t="shared" si="43"/>
        <v>14.5</v>
      </c>
      <c r="CB30" s="373">
        <f t="shared" si="44"/>
        <v>5.7737395833333336</v>
      </c>
      <c r="CC30" s="374" t="str">
        <f t="shared" si="45"/>
        <v>(0.54)</v>
      </c>
      <c r="CD30" s="375">
        <v>2</v>
      </c>
      <c r="CE30" s="375">
        <f t="shared" si="46"/>
        <v>3.5</v>
      </c>
      <c r="CF30" s="375">
        <v>0</v>
      </c>
      <c r="CG30" s="375">
        <f t="shared" si="47"/>
        <v>0</v>
      </c>
      <c r="CH30" s="375">
        <v>0</v>
      </c>
      <c r="CI30" s="375">
        <f t="shared" si="48"/>
        <v>0</v>
      </c>
      <c r="CJ30" s="375">
        <f t="shared" si="49"/>
        <v>3.5</v>
      </c>
      <c r="CK30" s="376">
        <f t="shared" si="50"/>
        <v>20.5</v>
      </c>
      <c r="CL30" s="373">
        <f t="shared" si="51"/>
        <v>7.4636145833333343</v>
      </c>
      <c r="CM30" s="374" t="str">
        <f t="shared" si="52"/>
        <v>(0.69)</v>
      </c>
      <c r="CN30" s="375">
        <v>2</v>
      </c>
      <c r="CO30" s="375">
        <f t="shared" si="53"/>
        <v>3.5</v>
      </c>
      <c r="CP30" s="375">
        <v>0</v>
      </c>
      <c r="CQ30" s="375">
        <f t="shared" si="54"/>
        <v>0</v>
      </c>
      <c r="CR30" s="375">
        <v>0</v>
      </c>
      <c r="CS30" s="375">
        <f t="shared" si="55"/>
        <v>0</v>
      </c>
      <c r="CT30" s="375">
        <f t="shared" si="56"/>
        <v>3.5</v>
      </c>
      <c r="CU30" s="376">
        <f t="shared" si="57"/>
        <v>26.5</v>
      </c>
      <c r="CV30" s="373">
        <f t="shared" si="58"/>
        <v>9.1534895833333323</v>
      </c>
      <c r="CW30" s="374" t="str">
        <f t="shared" si="59"/>
        <v>(0.85)</v>
      </c>
      <c r="CX30" s="375">
        <v>2</v>
      </c>
      <c r="CY30" s="375">
        <f t="shared" si="60"/>
        <v>3.5</v>
      </c>
      <c r="CZ30" s="375">
        <v>0</v>
      </c>
      <c r="DA30" s="375">
        <f t="shared" si="61"/>
        <v>0</v>
      </c>
      <c r="DB30" s="375">
        <v>0</v>
      </c>
      <c r="DC30" s="375">
        <f t="shared" si="62"/>
        <v>0</v>
      </c>
      <c r="DD30" s="375">
        <f t="shared" si="63"/>
        <v>3.5</v>
      </c>
      <c r="DE30" s="376">
        <f t="shared" si="64"/>
        <v>32.5</v>
      </c>
      <c r="DF30" s="373">
        <f t="shared" si="65"/>
        <v>10.843364583333333</v>
      </c>
      <c r="DG30" s="374" t="str">
        <f t="shared" si="66"/>
        <v>(1.01)</v>
      </c>
      <c r="DH30" s="375">
        <v>2</v>
      </c>
      <c r="DI30" s="375">
        <f t="shared" si="67"/>
        <v>3.5</v>
      </c>
      <c r="DJ30" s="375">
        <v>0</v>
      </c>
      <c r="DK30" s="375">
        <f t="shared" si="68"/>
        <v>0</v>
      </c>
      <c r="DL30" s="375">
        <v>0</v>
      </c>
      <c r="DM30" s="375">
        <f t="shared" si="69"/>
        <v>0</v>
      </c>
      <c r="DN30" s="375">
        <f t="shared" si="70"/>
        <v>3.5</v>
      </c>
      <c r="DO30" s="376">
        <f t="shared" si="71"/>
        <v>38.5</v>
      </c>
      <c r="DP30" s="373">
        <f t="shared" si="72"/>
        <v>12.533239583333334</v>
      </c>
      <c r="DQ30" s="374" t="str">
        <f t="shared" si="73"/>
        <v>(1.16)</v>
      </c>
      <c r="DR30" s="375">
        <v>2</v>
      </c>
      <c r="DS30" s="375">
        <f t="shared" si="74"/>
        <v>3.5</v>
      </c>
      <c r="DT30" s="375">
        <v>0</v>
      </c>
      <c r="DU30" s="375">
        <f t="shared" si="75"/>
        <v>0</v>
      </c>
      <c r="DV30" s="375">
        <v>0</v>
      </c>
      <c r="DW30" s="375">
        <f t="shared" si="76"/>
        <v>0</v>
      </c>
      <c r="DX30" s="375">
        <f t="shared" si="77"/>
        <v>3.5</v>
      </c>
      <c r="DY30" s="376">
        <f t="shared" si="78"/>
        <v>44.5</v>
      </c>
      <c r="DZ30" s="373">
        <f t="shared" si="79"/>
        <v>13.94146875</v>
      </c>
      <c r="EA30" s="374" t="str">
        <f t="shared" si="80"/>
        <v>(1.30)</v>
      </c>
      <c r="EB30" s="375">
        <v>2</v>
      </c>
      <c r="EC30" s="375">
        <f t="shared" si="81"/>
        <v>3.5</v>
      </c>
      <c r="ED30" s="375">
        <v>0</v>
      </c>
      <c r="EE30" s="375">
        <f t="shared" si="82"/>
        <v>0</v>
      </c>
      <c r="EF30" s="375">
        <v>1</v>
      </c>
      <c r="EG30" s="375">
        <f t="shared" si="83"/>
        <v>1</v>
      </c>
      <c r="EH30" s="375">
        <f t="shared" si="84"/>
        <v>4.5</v>
      </c>
      <c r="EI30" s="376">
        <f t="shared" si="85"/>
        <v>49.5</v>
      </c>
      <c r="EJ30" s="373">
        <f t="shared" si="86"/>
        <v>15.631343750000001</v>
      </c>
      <c r="EK30" s="374" t="str">
        <f t="shared" si="87"/>
        <v>(1.45)</v>
      </c>
      <c r="EL30" s="375">
        <v>2</v>
      </c>
      <c r="EM30" s="375">
        <f t="shared" si="88"/>
        <v>3.5</v>
      </c>
      <c r="EN30" s="375">
        <v>0</v>
      </c>
      <c r="EO30" s="375">
        <f t="shared" si="89"/>
        <v>0</v>
      </c>
      <c r="EP30" s="375">
        <v>1</v>
      </c>
      <c r="EQ30" s="375">
        <f t="shared" si="90"/>
        <v>1</v>
      </c>
      <c r="ER30" s="375">
        <f t="shared" si="91"/>
        <v>4.5</v>
      </c>
      <c r="ES30" s="376">
        <f t="shared" si="92"/>
        <v>55.5</v>
      </c>
      <c r="ET30" s="373">
        <f t="shared" si="93"/>
        <v>17.32121875</v>
      </c>
      <c r="EU30" s="374" t="str">
        <f t="shared" si="94"/>
        <v>(1.61)</v>
      </c>
      <c r="EV30" s="375">
        <v>2</v>
      </c>
      <c r="EW30" s="375">
        <f t="shared" si="95"/>
        <v>3.5</v>
      </c>
      <c r="EX30" s="375">
        <v>0</v>
      </c>
      <c r="EY30" s="375">
        <f t="shared" si="96"/>
        <v>0</v>
      </c>
      <c r="EZ30" s="375">
        <v>1</v>
      </c>
      <c r="FA30" s="375">
        <f t="shared" si="97"/>
        <v>1</v>
      </c>
      <c r="FB30" s="375">
        <f t="shared" si="98"/>
        <v>4.5</v>
      </c>
      <c r="FC30" s="376">
        <f t="shared" si="99"/>
        <v>61.5</v>
      </c>
      <c r="FD30" s="373">
        <f t="shared" si="100"/>
        <v>18.975888020833334</v>
      </c>
      <c r="FE30" s="374" t="str">
        <f t="shared" si="101"/>
        <v>(1.76)</v>
      </c>
      <c r="FF30" s="375">
        <v>2</v>
      </c>
      <c r="FG30" s="375">
        <f t="shared" si="102"/>
        <v>3.5</v>
      </c>
      <c r="FH30" s="375">
        <v>1</v>
      </c>
      <c r="FI30" s="375">
        <f t="shared" si="103"/>
        <v>1.125</v>
      </c>
      <c r="FJ30" s="375">
        <v>0</v>
      </c>
      <c r="FK30" s="375">
        <f t="shared" si="104"/>
        <v>0</v>
      </c>
      <c r="FL30" s="375">
        <f t="shared" si="105"/>
        <v>4.625</v>
      </c>
      <c r="FM30" s="376">
        <f t="shared" si="106"/>
        <v>67.375</v>
      </c>
      <c r="FN30" s="373">
        <f t="shared" si="107"/>
        <v>20.665763020833335</v>
      </c>
      <c r="FO30" s="374" t="str">
        <f t="shared" si="108"/>
        <v>(1.92)</v>
      </c>
      <c r="FP30" s="375">
        <v>2</v>
      </c>
      <c r="FQ30" s="375">
        <f t="shared" si="109"/>
        <v>3.5</v>
      </c>
      <c r="FR30" s="375">
        <v>1</v>
      </c>
      <c r="FS30" s="375">
        <f t="shared" si="110"/>
        <v>1.125</v>
      </c>
      <c r="FT30" s="375">
        <v>0</v>
      </c>
      <c r="FU30" s="375">
        <f t="shared" si="111"/>
        <v>0</v>
      </c>
      <c r="FV30" s="375">
        <f t="shared" si="112"/>
        <v>4.625</v>
      </c>
      <c r="FW30" s="376">
        <f t="shared" si="113"/>
        <v>73.375</v>
      </c>
      <c r="FX30" s="373">
        <f t="shared" si="114"/>
        <v>22.355638020833332</v>
      </c>
      <c r="FY30" s="374" t="str">
        <f t="shared" si="115"/>
        <v>(2.08)</v>
      </c>
      <c r="FZ30" s="375">
        <v>2</v>
      </c>
      <c r="GA30" s="375">
        <f t="shared" si="116"/>
        <v>3.5</v>
      </c>
      <c r="GB30" s="375">
        <v>1</v>
      </c>
      <c r="GC30" s="375">
        <f t="shared" si="117"/>
        <v>1.125</v>
      </c>
      <c r="GD30" s="375">
        <v>0</v>
      </c>
      <c r="GE30" s="375">
        <f t="shared" si="118"/>
        <v>0</v>
      </c>
      <c r="GF30" s="375">
        <f t="shared" si="119"/>
        <v>4.625</v>
      </c>
      <c r="GG30" s="376">
        <f t="shared" si="120"/>
        <v>79.375</v>
      </c>
      <c r="GH30" s="373">
        <f t="shared" si="121"/>
        <v>24.045513020833333</v>
      </c>
      <c r="GI30" s="374" t="str">
        <f t="shared" si="122"/>
        <v>(2.23)</v>
      </c>
      <c r="GJ30" s="375">
        <v>2</v>
      </c>
      <c r="GK30" s="375">
        <f t="shared" si="123"/>
        <v>3.5</v>
      </c>
      <c r="GL30" s="375">
        <v>1</v>
      </c>
      <c r="GM30" s="375">
        <f t="shared" si="124"/>
        <v>1.125</v>
      </c>
      <c r="GN30" s="375">
        <v>0</v>
      </c>
      <c r="GO30" s="375">
        <f t="shared" si="125"/>
        <v>0</v>
      </c>
      <c r="GP30" s="375">
        <f t="shared" si="126"/>
        <v>4.625</v>
      </c>
      <c r="GQ30" s="376">
        <f t="shared" si="127"/>
        <v>85.375</v>
      </c>
      <c r="GR30" s="373">
        <f t="shared" si="128"/>
        <v>25.735388020833334</v>
      </c>
      <c r="GS30" s="374" t="str">
        <f t="shared" si="129"/>
        <v>(2.39)</v>
      </c>
      <c r="GT30" s="375">
        <v>2</v>
      </c>
      <c r="GU30" s="375">
        <f t="shared" si="130"/>
        <v>3.5</v>
      </c>
      <c r="GV30" s="375">
        <v>1</v>
      </c>
      <c r="GW30" s="375">
        <f t="shared" si="131"/>
        <v>1.125</v>
      </c>
      <c r="GX30" s="375">
        <v>0</v>
      </c>
      <c r="GY30" s="375">
        <f t="shared" si="132"/>
        <v>0</v>
      </c>
      <c r="GZ30" s="375">
        <f t="shared" si="133"/>
        <v>4.625</v>
      </c>
      <c r="HA30" s="376">
        <f t="shared" si="134"/>
        <v>91.375</v>
      </c>
      <c r="HB30" s="373">
        <f t="shared" si="135"/>
        <v>27.425263020833334</v>
      </c>
      <c r="HC30" s="374" t="str">
        <f t="shared" si="136"/>
        <v>(2.55)</v>
      </c>
      <c r="HD30" s="375">
        <v>2</v>
      </c>
      <c r="HE30" s="375">
        <f t="shared" si="137"/>
        <v>3.5</v>
      </c>
      <c r="HF30" s="375">
        <v>1</v>
      </c>
      <c r="HG30" s="375">
        <f t="shared" si="138"/>
        <v>1.125</v>
      </c>
      <c r="HH30" s="375">
        <v>0</v>
      </c>
      <c r="HI30" s="375">
        <f t="shared" si="139"/>
        <v>0</v>
      </c>
      <c r="HJ30" s="375">
        <f t="shared" si="140"/>
        <v>4.625</v>
      </c>
      <c r="HK30" s="376">
        <f t="shared" si="141"/>
        <v>97.375</v>
      </c>
      <c r="HL30" s="373">
        <f t="shared" si="142"/>
        <v>28.551846354166667</v>
      </c>
      <c r="HM30" s="374" t="str">
        <f t="shared" si="143"/>
        <v>(2.65)</v>
      </c>
      <c r="HN30" s="375">
        <v>2</v>
      </c>
      <c r="HO30" s="375">
        <f t="shared" si="144"/>
        <v>3.5</v>
      </c>
      <c r="HP30" s="375">
        <v>1</v>
      </c>
      <c r="HQ30" s="375">
        <f t="shared" si="145"/>
        <v>1.125</v>
      </c>
      <c r="HR30" s="375">
        <v>2</v>
      </c>
      <c r="HS30" s="375">
        <f t="shared" si="146"/>
        <v>2</v>
      </c>
      <c r="HT30" s="375">
        <f t="shared" si="147"/>
        <v>6.625</v>
      </c>
      <c r="HU30" s="376">
        <f t="shared" si="148"/>
        <v>101.375</v>
      </c>
      <c r="HV30" s="373">
        <f t="shared" si="149"/>
        <v>30.241721354166671</v>
      </c>
      <c r="HW30" s="374" t="str">
        <f t="shared" si="150"/>
        <v>(2.81)</v>
      </c>
      <c r="HX30" s="375">
        <v>2</v>
      </c>
      <c r="HY30" s="375">
        <f t="shared" si="151"/>
        <v>3.5</v>
      </c>
      <c r="HZ30" s="375">
        <v>1</v>
      </c>
      <c r="IA30" s="375">
        <f t="shared" si="152"/>
        <v>1.125</v>
      </c>
      <c r="IB30" s="375">
        <v>2</v>
      </c>
      <c r="IC30" s="375">
        <f t="shared" si="153"/>
        <v>2</v>
      </c>
      <c r="ID30" s="375">
        <f t="shared" si="154"/>
        <v>6.625</v>
      </c>
      <c r="IE30" s="376">
        <f t="shared" si="155"/>
        <v>107.375</v>
      </c>
      <c r="IF30" s="373">
        <f t="shared" si="156"/>
        <v>31.931596354166668</v>
      </c>
      <c r="IG30" s="374" t="str">
        <f t="shared" si="157"/>
        <v>(2.97)</v>
      </c>
      <c r="IH30" s="22">
        <v>2</v>
      </c>
      <c r="II30" s="22">
        <f t="shared" si="158"/>
        <v>3.5</v>
      </c>
      <c r="IJ30" s="22">
        <v>1</v>
      </c>
      <c r="IK30" s="22">
        <f t="shared" si="159"/>
        <v>1.125</v>
      </c>
      <c r="IL30" s="22">
        <v>2</v>
      </c>
      <c r="IM30" s="22">
        <f t="shared" si="160"/>
        <v>2</v>
      </c>
      <c r="IN30" s="22">
        <f t="shared" si="161"/>
        <v>6.625</v>
      </c>
      <c r="IO30" s="23">
        <f t="shared" si="162"/>
        <v>113.375</v>
      </c>
      <c r="IP30" s="24"/>
      <c r="IQ30" s="467">
        <v>15</v>
      </c>
      <c r="IR30" s="468">
        <v>2.645</v>
      </c>
      <c r="IS30" s="468">
        <v>2.645</v>
      </c>
      <c r="IT30" s="468">
        <v>0.88200000000000001</v>
      </c>
      <c r="IU30" s="468">
        <v>1.75</v>
      </c>
      <c r="IV30" s="468">
        <v>1</v>
      </c>
      <c r="IW30" s="468">
        <v>1.125</v>
      </c>
      <c r="IX30" s="8"/>
    </row>
    <row r="31" spans="2:258" ht="15.75" thickBot="1" x14ac:dyDescent="0.3">
      <c r="B31" s="103">
        <f t="shared" si="21"/>
        <v>90</v>
      </c>
      <c r="C31" s="221">
        <v>16</v>
      </c>
      <c r="D31" s="98">
        <f t="shared" si="1"/>
        <v>0.38314629629629632</v>
      </c>
      <c r="E31" s="96">
        <f t="shared" si="2"/>
        <v>0.44410138888888889</v>
      </c>
      <c r="F31" s="96">
        <f t="shared" si="3"/>
        <v>0.50505648148148152</v>
      </c>
      <c r="G31" s="96">
        <f t="shared" si="4"/>
        <v>0.53553402777777781</v>
      </c>
      <c r="H31" s="96">
        <f t="shared" si="5"/>
        <v>0.55382055555555554</v>
      </c>
      <c r="I31" s="96">
        <f t="shared" si="6"/>
        <v>0.5660115740740741</v>
      </c>
      <c r="J31" s="96">
        <f t="shared" si="7"/>
        <v>0.57471944444444445</v>
      </c>
      <c r="K31" s="96">
        <f t="shared" si="8"/>
        <v>0.58125034722222213</v>
      </c>
      <c r="L31" s="96">
        <f t="shared" si="9"/>
        <v>0.57471944444444445</v>
      </c>
      <c r="M31" s="96">
        <f t="shared" si="10"/>
        <v>0.57994416666666671</v>
      </c>
      <c r="N31" s="96">
        <f t="shared" si="11"/>
        <v>0.58421893939393943</v>
      </c>
      <c r="O31" s="96">
        <f t="shared" si="12"/>
        <v>0.5866927662037037</v>
      </c>
      <c r="P31" s="96"/>
      <c r="Q31" s="96"/>
      <c r="R31" s="96"/>
      <c r="S31" s="96"/>
      <c r="T31" s="96"/>
      <c r="U31" s="96"/>
      <c r="V31" s="96"/>
      <c r="W31" s="96"/>
      <c r="X31" s="96"/>
      <c r="Y31" s="65"/>
      <c r="AT31" s="4"/>
      <c r="AU31" s="14">
        <f t="shared" si="163"/>
        <v>72</v>
      </c>
      <c r="AV31" s="12" t="str">
        <f t="shared" si="22"/>
        <v>(1850)</v>
      </c>
      <c r="AW31" s="19"/>
      <c r="AX31" s="20">
        <f t="shared" si="23"/>
        <v>1.6962916666666665</v>
      </c>
      <c r="AY31" s="21" t="str">
        <f t="shared" si="24"/>
        <v>(0.16)</v>
      </c>
      <c r="AZ31" s="22">
        <v>2</v>
      </c>
      <c r="BA31" s="22">
        <f t="shared" si="25"/>
        <v>3.5</v>
      </c>
      <c r="BB31" s="22">
        <v>0</v>
      </c>
      <c r="BC31" s="22">
        <f t="shared" si="26"/>
        <v>0</v>
      </c>
      <c r="BD31" s="22">
        <v>0</v>
      </c>
      <c r="BE31" s="22">
        <f t="shared" si="27"/>
        <v>0</v>
      </c>
      <c r="BF31" s="22">
        <f t="shared" si="28"/>
        <v>3.5</v>
      </c>
      <c r="BG31" s="23">
        <f t="shared" si="29"/>
        <v>5.5</v>
      </c>
      <c r="BH31" s="373">
        <f t="shared" si="30"/>
        <v>2.6215416666666669</v>
      </c>
      <c r="BI31" s="374" t="str">
        <f t="shared" si="31"/>
        <v>(0.24)</v>
      </c>
      <c r="BJ31" s="375">
        <v>2</v>
      </c>
      <c r="BK31" s="375">
        <f t="shared" si="32"/>
        <v>3.5</v>
      </c>
      <c r="BL31" s="375">
        <v>0</v>
      </c>
      <c r="BM31" s="375">
        <f t="shared" si="33"/>
        <v>0</v>
      </c>
      <c r="BN31" s="375">
        <v>0</v>
      </c>
      <c r="BO31" s="375">
        <f t="shared" si="34"/>
        <v>0</v>
      </c>
      <c r="BP31" s="375">
        <f t="shared" si="35"/>
        <v>3.5</v>
      </c>
      <c r="BQ31" s="376">
        <f t="shared" si="36"/>
        <v>8.5</v>
      </c>
      <c r="BR31" s="373">
        <f t="shared" si="37"/>
        <v>4.4720416666666658</v>
      </c>
      <c r="BS31" s="374" t="str">
        <f t="shared" si="38"/>
        <v>(0.42)</v>
      </c>
      <c r="BT31" s="375">
        <v>2</v>
      </c>
      <c r="BU31" s="375">
        <f t="shared" si="39"/>
        <v>3.5</v>
      </c>
      <c r="BV31" s="375">
        <v>0</v>
      </c>
      <c r="BW31" s="375">
        <f t="shared" si="40"/>
        <v>0</v>
      </c>
      <c r="BX31" s="375">
        <v>0</v>
      </c>
      <c r="BY31" s="375">
        <f t="shared" si="41"/>
        <v>0</v>
      </c>
      <c r="BZ31" s="375">
        <f t="shared" si="42"/>
        <v>3.5</v>
      </c>
      <c r="CA31" s="376">
        <f t="shared" si="43"/>
        <v>14.5</v>
      </c>
      <c r="CB31" s="373">
        <f t="shared" si="44"/>
        <v>6.3225416666666669</v>
      </c>
      <c r="CC31" s="374" t="str">
        <f t="shared" si="45"/>
        <v>(0.59)</v>
      </c>
      <c r="CD31" s="375">
        <v>2</v>
      </c>
      <c r="CE31" s="375">
        <f t="shared" si="46"/>
        <v>3.5</v>
      </c>
      <c r="CF31" s="375">
        <v>0</v>
      </c>
      <c r="CG31" s="375">
        <f t="shared" si="47"/>
        <v>0</v>
      </c>
      <c r="CH31" s="375">
        <v>0</v>
      </c>
      <c r="CI31" s="375">
        <f t="shared" si="48"/>
        <v>0</v>
      </c>
      <c r="CJ31" s="375">
        <f t="shared" si="49"/>
        <v>3.5</v>
      </c>
      <c r="CK31" s="376">
        <f t="shared" si="50"/>
        <v>20.5</v>
      </c>
      <c r="CL31" s="373">
        <f t="shared" si="51"/>
        <v>8.1730416666666663</v>
      </c>
      <c r="CM31" s="374" t="str">
        <f t="shared" si="52"/>
        <v>(0.76)</v>
      </c>
      <c r="CN31" s="375">
        <v>2</v>
      </c>
      <c r="CO31" s="375">
        <f t="shared" si="53"/>
        <v>3.5</v>
      </c>
      <c r="CP31" s="375">
        <v>0</v>
      </c>
      <c r="CQ31" s="375">
        <f t="shared" si="54"/>
        <v>0</v>
      </c>
      <c r="CR31" s="375">
        <v>0</v>
      </c>
      <c r="CS31" s="375">
        <f t="shared" si="55"/>
        <v>0</v>
      </c>
      <c r="CT31" s="375">
        <f t="shared" si="56"/>
        <v>3.5</v>
      </c>
      <c r="CU31" s="376">
        <f t="shared" si="57"/>
        <v>26.5</v>
      </c>
      <c r="CV31" s="373">
        <f t="shared" si="58"/>
        <v>10.023541666666667</v>
      </c>
      <c r="CW31" s="374" t="str">
        <f t="shared" si="59"/>
        <v>(0.93)</v>
      </c>
      <c r="CX31" s="375">
        <v>2</v>
      </c>
      <c r="CY31" s="375">
        <f t="shared" si="60"/>
        <v>3.5</v>
      </c>
      <c r="CZ31" s="375">
        <v>0</v>
      </c>
      <c r="DA31" s="375">
        <f t="shared" si="61"/>
        <v>0</v>
      </c>
      <c r="DB31" s="375">
        <v>0</v>
      </c>
      <c r="DC31" s="375">
        <f t="shared" si="62"/>
        <v>0</v>
      </c>
      <c r="DD31" s="375">
        <f t="shared" si="63"/>
        <v>3.5</v>
      </c>
      <c r="DE31" s="376">
        <f t="shared" si="64"/>
        <v>32.5</v>
      </c>
      <c r="DF31" s="373">
        <f t="shared" si="65"/>
        <v>11.874041666666665</v>
      </c>
      <c r="DG31" s="374" t="str">
        <f t="shared" si="66"/>
        <v>(1.1)</v>
      </c>
      <c r="DH31" s="375">
        <v>2</v>
      </c>
      <c r="DI31" s="375">
        <f t="shared" si="67"/>
        <v>3.5</v>
      </c>
      <c r="DJ31" s="375">
        <v>0</v>
      </c>
      <c r="DK31" s="375">
        <f t="shared" si="68"/>
        <v>0</v>
      </c>
      <c r="DL31" s="375">
        <v>0</v>
      </c>
      <c r="DM31" s="375">
        <f t="shared" si="69"/>
        <v>0</v>
      </c>
      <c r="DN31" s="375">
        <f t="shared" si="70"/>
        <v>3.5</v>
      </c>
      <c r="DO31" s="376">
        <f t="shared" si="71"/>
        <v>38.5</v>
      </c>
      <c r="DP31" s="373">
        <f t="shared" si="72"/>
        <v>13.724541666666667</v>
      </c>
      <c r="DQ31" s="374" t="str">
        <f t="shared" si="73"/>
        <v>(1.28)</v>
      </c>
      <c r="DR31" s="375">
        <v>2</v>
      </c>
      <c r="DS31" s="375">
        <f t="shared" si="74"/>
        <v>3.5</v>
      </c>
      <c r="DT31" s="375">
        <v>0</v>
      </c>
      <c r="DU31" s="375">
        <f t="shared" si="75"/>
        <v>0</v>
      </c>
      <c r="DV31" s="375">
        <v>0</v>
      </c>
      <c r="DW31" s="375">
        <f t="shared" si="76"/>
        <v>0</v>
      </c>
      <c r="DX31" s="375">
        <f t="shared" si="77"/>
        <v>3.5</v>
      </c>
      <c r="DY31" s="376">
        <f t="shared" si="78"/>
        <v>44.5</v>
      </c>
      <c r="DZ31" s="373">
        <f t="shared" si="79"/>
        <v>15.266624999999998</v>
      </c>
      <c r="EA31" s="374" t="str">
        <f t="shared" si="80"/>
        <v>(1.42)</v>
      </c>
      <c r="EB31" s="375">
        <v>2</v>
      </c>
      <c r="EC31" s="375">
        <f t="shared" si="81"/>
        <v>3.5</v>
      </c>
      <c r="ED31" s="375">
        <v>0</v>
      </c>
      <c r="EE31" s="375">
        <f t="shared" si="82"/>
        <v>0</v>
      </c>
      <c r="EF31" s="375">
        <v>1</v>
      </c>
      <c r="EG31" s="375">
        <f t="shared" si="83"/>
        <v>1</v>
      </c>
      <c r="EH31" s="375">
        <f t="shared" si="84"/>
        <v>4.5</v>
      </c>
      <c r="EI31" s="376">
        <f t="shared" si="85"/>
        <v>49.5</v>
      </c>
      <c r="EJ31" s="373">
        <f t="shared" si="86"/>
        <v>17.117125000000001</v>
      </c>
      <c r="EK31" s="374" t="str">
        <f t="shared" si="87"/>
        <v>(1.59)</v>
      </c>
      <c r="EL31" s="375">
        <v>2</v>
      </c>
      <c r="EM31" s="375">
        <f t="shared" si="88"/>
        <v>3.5</v>
      </c>
      <c r="EN31" s="375">
        <v>0</v>
      </c>
      <c r="EO31" s="375">
        <f t="shared" si="89"/>
        <v>0</v>
      </c>
      <c r="EP31" s="375">
        <v>1</v>
      </c>
      <c r="EQ31" s="375">
        <f t="shared" si="90"/>
        <v>1</v>
      </c>
      <c r="ER31" s="375">
        <f t="shared" si="91"/>
        <v>4.5</v>
      </c>
      <c r="ES31" s="376">
        <f t="shared" si="92"/>
        <v>55.5</v>
      </c>
      <c r="ET31" s="373">
        <f t="shared" si="93"/>
        <v>18.967624999999998</v>
      </c>
      <c r="EU31" s="374" t="str">
        <f t="shared" si="94"/>
        <v>(1.76)</v>
      </c>
      <c r="EV31" s="375">
        <v>2</v>
      </c>
      <c r="EW31" s="375">
        <f t="shared" si="95"/>
        <v>3.5</v>
      </c>
      <c r="EX31" s="375">
        <v>0</v>
      </c>
      <c r="EY31" s="375">
        <f t="shared" si="96"/>
        <v>0</v>
      </c>
      <c r="EZ31" s="375">
        <v>1</v>
      </c>
      <c r="FA31" s="375">
        <f t="shared" si="97"/>
        <v>1</v>
      </c>
      <c r="FB31" s="375">
        <f t="shared" si="98"/>
        <v>4.5</v>
      </c>
      <c r="FC31" s="376">
        <f t="shared" si="99"/>
        <v>61.5</v>
      </c>
      <c r="FD31" s="373">
        <f t="shared" si="100"/>
        <v>20.779572916666666</v>
      </c>
      <c r="FE31" s="374" t="str">
        <f t="shared" si="101"/>
        <v>(1.93)</v>
      </c>
      <c r="FF31" s="375">
        <v>2</v>
      </c>
      <c r="FG31" s="375">
        <f t="shared" si="102"/>
        <v>3.5</v>
      </c>
      <c r="FH31" s="375">
        <v>1</v>
      </c>
      <c r="FI31" s="375">
        <f t="shared" si="103"/>
        <v>1.125</v>
      </c>
      <c r="FJ31" s="375">
        <v>0</v>
      </c>
      <c r="FK31" s="375">
        <f t="shared" si="104"/>
        <v>0</v>
      </c>
      <c r="FL31" s="375">
        <f t="shared" si="105"/>
        <v>4.625</v>
      </c>
      <c r="FM31" s="376">
        <f t="shared" si="106"/>
        <v>67.375</v>
      </c>
      <c r="FN31" s="373">
        <f t="shared" si="107"/>
        <v>22.630072916666666</v>
      </c>
      <c r="FO31" s="374" t="str">
        <f t="shared" si="108"/>
        <v>(2.10)</v>
      </c>
      <c r="FP31" s="375">
        <v>2</v>
      </c>
      <c r="FQ31" s="375">
        <f t="shared" si="109"/>
        <v>3.5</v>
      </c>
      <c r="FR31" s="375">
        <v>1</v>
      </c>
      <c r="FS31" s="375">
        <f t="shared" si="110"/>
        <v>1.125</v>
      </c>
      <c r="FT31" s="375">
        <v>0</v>
      </c>
      <c r="FU31" s="375">
        <f t="shared" si="111"/>
        <v>0</v>
      </c>
      <c r="FV31" s="375">
        <f t="shared" si="112"/>
        <v>4.625</v>
      </c>
      <c r="FW31" s="376">
        <f t="shared" si="113"/>
        <v>73.375</v>
      </c>
      <c r="FX31" s="373">
        <f t="shared" si="114"/>
        <v>24.480572916666667</v>
      </c>
      <c r="FY31" s="374" t="str">
        <f t="shared" si="115"/>
        <v>(2.27)</v>
      </c>
      <c r="FZ31" s="375">
        <v>2</v>
      </c>
      <c r="GA31" s="375">
        <f t="shared" si="116"/>
        <v>3.5</v>
      </c>
      <c r="GB31" s="375">
        <v>1</v>
      </c>
      <c r="GC31" s="375">
        <f t="shared" si="117"/>
        <v>1.125</v>
      </c>
      <c r="GD31" s="375">
        <v>0</v>
      </c>
      <c r="GE31" s="375">
        <f t="shared" si="118"/>
        <v>0</v>
      </c>
      <c r="GF31" s="375">
        <f t="shared" si="119"/>
        <v>4.625</v>
      </c>
      <c r="GG31" s="376">
        <f t="shared" si="120"/>
        <v>79.375</v>
      </c>
      <c r="GH31" s="373">
        <f t="shared" si="121"/>
        <v>26.331072916666667</v>
      </c>
      <c r="GI31" s="374" t="str">
        <f t="shared" si="122"/>
        <v>(2.45)</v>
      </c>
      <c r="GJ31" s="375">
        <v>2</v>
      </c>
      <c r="GK31" s="375">
        <f t="shared" si="123"/>
        <v>3.5</v>
      </c>
      <c r="GL31" s="375">
        <v>1</v>
      </c>
      <c r="GM31" s="375">
        <f t="shared" si="124"/>
        <v>1.125</v>
      </c>
      <c r="GN31" s="375">
        <v>0</v>
      </c>
      <c r="GO31" s="375">
        <f t="shared" si="125"/>
        <v>0</v>
      </c>
      <c r="GP31" s="375">
        <f t="shared" si="126"/>
        <v>4.625</v>
      </c>
      <c r="GQ31" s="376">
        <f t="shared" si="127"/>
        <v>85.375</v>
      </c>
      <c r="GR31" s="373">
        <f t="shared" si="128"/>
        <v>28.181572916666667</v>
      </c>
      <c r="GS31" s="374" t="str">
        <f t="shared" si="129"/>
        <v>(2.62)</v>
      </c>
      <c r="GT31" s="375">
        <v>2</v>
      </c>
      <c r="GU31" s="375">
        <f t="shared" si="130"/>
        <v>3.5</v>
      </c>
      <c r="GV31" s="375">
        <v>1</v>
      </c>
      <c r="GW31" s="375">
        <f t="shared" si="131"/>
        <v>1.125</v>
      </c>
      <c r="GX31" s="375">
        <v>0</v>
      </c>
      <c r="GY31" s="375">
        <f t="shared" si="132"/>
        <v>0</v>
      </c>
      <c r="GZ31" s="375">
        <f t="shared" si="133"/>
        <v>4.625</v>
      </c>
      <c r="HA31" s="376">
        <f t="shared" si="134"/>
        <v>91.375</v>
      </c>
      <c r="HB31" s="373">
        <f t="shared" si="135"/>
        <v>30.032072916666664</v>
      </c>
      <c r="HC31" s="374" t="str">
        <f t="shared" si="136"/>
        <v>(2.79)</v>
      </c>
      <c r="HD31" s="375">
        <v>2</v>
      </c>
      <c r="HE31" s="375">
        <f t="shared" si="137"/>
        <v>3.5</v>
      </c>
      <c r="HF31" s="375">
        <v>1</v>
      </c>
      <c r="HG31" s="375">
        <f t="shared" si="138"/>
        <v>1.125</v>
      </c>
      <c r="HH31" s="375">
        <v>0</v>
      </c>
      <c r="HI31" s="375">
        <f t="shared" si="139"/>
        <v>0</v>
      </c>
      <c r="HJ31" s="375">
        <f t="shared" si="140"/>
        <v>4.625</v>
      </c>
      <c r="HK31" s="376">
        <f t="shared" si="141"/>
        <v>97.375</v>
      </c>
      <c r="HL31" s="373">
        <f t="shared" si="142"/>
        <v>31.265739583333332</v>
      </c>
      <c r="HM31" s="374" t="str">
        <f t="shared" si="143"/>
        <v>(2.90)</v>
      </c>
      <c r="HN31" s="375">
        <v>2</v>
      </c>
      <c r="HO31" s="375">
        <f t="shared" si="144"/>
        <v>3.5</v>
      </c>
      <c r="HP31" s="375">
        <v>1</v>
      </c>
      <c r="HQ31" s="375">
        <f t="shared" si="145"/>
        <v>1.125</v>
      </c>
      <c r="HR31" s="375">
        <v>2</v>
      </c>
      <c r="HS31" s="375">
        <f t="shared" si="146"/>
        <v>2</v>
      </c>
      <c r="HT31" s="375">
        <f t="shared" si="147"/>
        <v>6.625</v>
      </c>
      <c r="HU31" s="376">
        <f t="shared" si="148"/>
        <v>101.375</v>
      </c>
      <c r="HV31" s="373">
        <f t="shared" si="149"/>
        <v>33.116239583333332</v>
      </c>
      <c r="HW31" s="374" t="str">
        <f t="shared" si="150"/>
        <v>(3.08)</v>
      </c>
      <c r="HX31" s="375">
        <v>2</v>
      </c>
      <c r="HY31" s="375">
        <f t="shared" si="151"/>
        <v>3.5</v>
      </c>
      <c r="HZ31" s="375">
        <v>1</v>
      </c>
      <c r="IA31" s="375">
        <f t="shared" si="152"/>
        <v>1.125</v>
      </c>
      <c r="IB31" s="375">
        <v>2</v>
      </c>
      <c r="IC31" s="375">
        <f t="shared" si="153"/>
        <v>2</v>
      </c>
      <c r="ID31" s="375">
        <f t="shared" si="154"/>
        <v>6.625</v>
      </c>
      <c r="IE31" s="376">
        <f t="shared" si="155"/>
        <v>107.375</v>
      </c>
      <c r="IF31" s="373">
        <f t="shared" si="156"/>
        <v>34.966739583333336</v>
      </c>
      <c r="IG31" s="374" t="str">
        <f t="shared" si="157"/>
        <v>(3.25)</v>
      </c>
      <c r="IH31" s="22">
        <v>2</v>
      </c>
      <c r="II31" s="22">
        <f t="shared" si="158"/>
        <v>3.5</v>
      </c>
      <c r="IJ31" s="22">
        <v>1</v>
      </c>
      <c r="IK31" s="22">
        <f t="shared" si="159"/>
        <v>1.125</v>
      </c>
      <c r="IL31" s="22">
        <v>2</v>
      </c>
      <c r="IM31" s="22">
        <f t="shared" si="160"/>
        <v>2</v>
      </c>
      <c r="IN31" s="22">
        <f t="shared" si="161"/>
        <v>6.625</v>
      </c>
      <c r="IO31" s="23">
        <f t="shared" si="162"/>
        <v>113.375</v>
      </c>
      <c r="IP31" s="24"/>
      <c r="IQ31" s="467">
        <v>16</v>
      </c>
      <c r="IR31" s="468">
        <v>2.645</v>
      </c>
      <c r="IS31" s="468">
        <v>2.645</v>
      </c>
      <c r="IT31" s="468">
        <v>2.0920000000000001</v>
      </c>
      <c r="IU31" s="468">
        <v>1.75</v>
      </c>
      <c r="IV31" s="468">
        <v>1</v>
      </c>
      <c r="IW31" s="468">
        <v>1.125</v>
      </c>
      <c r="IX31" s="8"/>
    </row>
    <row r="32" spans="2:258" ht="15.75" thickBot="1" x14ac:dyDescent="0.3">
      <c r="B32" s="103">
        <f t="shared" si="21"/>
        <v>96</v>
      </c>
      <c r="C32" s="226">
        <v>17</v>
      </c>
      <c r="D32" s="98">
        <f t="shared" si="1"/>
        <v>0.38373958333333341</v>
      </c>
      <c r="E32" s="96">
        <f t="shared" si="2"/>
        <v>0.44478906250000005</v>
      </c>
      <c r="F32" s="96">
        <f t="shared" si="3"/>
        <v>0.50583854166666675</v>
      </c>
      <c r="G32" s="96">
        <f t="shared" si="4"/>
        <v>0.5363632812500001</v>
      </c>
      <c r="H32" s="96">
        <f t="shared" si="5"/>
        <v>0.55467812500000002</v>
      </c>
      <c r="I32" s="96">
        <f t="shared" si="6"/>
        <v>0.56688802083333345</v>
      </c>
      <c r="J32" s="96">
        <f t="shared" si="7"/>
        <v>0.57560937499999998</v>
      </c>
      <c r="K32" s="96">
        <f t="shared" si="8"/>
        <v>0.58215039062499996</v>
      </c>
      <c r="L32" s="96">
        <f t="shared" si="9"/>
        <v>0.57560937500000009</v>
      </c>
      <c r="M32" s="96">
        <f t="shared" si="10"/>
        <v>0.58084218750000005</v>
      </c>
      <c r="N32" s="96">
        <f t="shared" si="11"/>
        <v>0.58512357954545458</v>
      </c>
      <c r="O32" s="96">
        <f>FD35/((O$15*$B32)/144)</f>
        <v>0.58760123697916666</v>
      </c>
      <c r="P32" s="96"/>
      <c r="Q32" s="96"/>
      <c r="R32" s="96"/>
      <c r="S32" s="96"/>
      <c r="T32" s="96"/>
      <c r="U32" s="96"/>
      <c r="V32" s="96"/>
      <c r="W32" s="96"/>
      <c r="X32" s="96"/>
      <c r="Y32" s="65"/>
      <c r="AT32" s="4"/>
      <c r="AU32" s="14">
        <f t="shared" si="163"/>
        <v>78</v>
      </c>
      <c r="AV32" s="12" t="str">
        <f t="shared" si="22"/>
        <v>(2000)</v>
      </c>
      <c r="AW32" s="19"/>
      <c r="AX32" s="20">
        <f t="shared" si="23"/>
        <v>1.852125</v>
      </c>
      <c r="AY32" s="21" t="str">
        <f t="shared" si="24"/>
        <v>(0.17)</v>
      </c>
      <c r="AZ32" s="22">
        <v>2</v>
      </c>
      <c r="BA32" s="22">
        <f t="shared" si="25"/>
        <v>3.5</v>
      </c>
      <c r="BB32" s="22">
        <v>0</v>
      </c>
      <c r="BC32" s="22">
        <f t="shared" si="26"/>
        <v>0</v>
      </c>
      <c r="BD32" s="22">
        <v>0</v>
      </c>
      <c r="BE32" s="22">
        <f t="shared" si="27"/>
        <v>0</v>
      </c>
      <c r="BF32" s="22">
        <f t="shared" si="28"/>
        <v>3.5</v>
      </c>
      <c r="BG32" s="23">
        <f t="shared" si="29"/>
        <v>5.5</v>
      </c>
      <c r="BH32" s="373">
        <f t="shared" si="30"/>
        <v>2.8623750000000001</v>
      </c>
      <c r="BI32" s="374" t="str">
        <f t="shared" si="31"/>
        <v>(0.27)</v>
      </c>
      <c r="BJ32" s="375">
        <v>2</v>
      </c>
      <c r="BK32" s="375">
        <f t="shared" si="32"/>
        <v>3.5</v>
      </c>
      <c r="BL32" s="375">
        <v>0</v>
      </c>
      <c r="BM32" s="375">
        <f t="shared" si="33"/>
        <v>0</v>
      </c>
      <c r="BN32" s="375">
        <v>0</v>
      </c>
      <c r="BO32" s="375">
        <f t="shared" si="34"/>
        <v>0</v>
      </c>
      <c r="BP32" s="375">
        <f t="shared" si="35"/>
        <v>3.5</v>
      </c>
      <c r="BQ32" s="376">
        <f t="shared" si="36"/>
        <v>8.5</v>
      </c>
      <c r="BR32" s="373">
        <f t="shared" si="37"/>
        <v>4.8828750000000003</v>
      </c>
      <c r="BS32" s="374" t="str">
        <f t="shared" si="38"/>
        <v>(0.45)</v>
      </c>
      <c r="BT32" s="375">
        <v>2</v>
      </c>
      <c r="BU32" s="375">
        <f t="shared" si="39"/>
        <v>3.5</v>
      </c>
      <c r="BV32" s="375">
        <v>0</v>
      </c>
      <c r="BW32" s="375">
        <f t="shared" si="40"/>
        <v>0</v>
      </c>
      <c r="BX32" s="375">
        <v>0</v>
      </c>
      <c r="BY32" s="375">
        <f t="shared" si="41"/>
        <v>0</v>
      </c>
      <c r="BZ32" s="375">
        <f t="shared" si="42"/>
        <v>3.5</v>
      </c>
      <c r="CA32" s="376">
        <f t="shared" si="43"/>
        <v>14.5</v>
      </c>
      <c r="CB32" s="373">
        <f t="shared" si="44"/>
        <v>6.9033750000000005</v>
      </c>
      <c r="CC32" s="374" t="str">
        <f t="shared" si="45"/>
        <v>(0.64)</v>
      </c>
      <c r="CD32" s="375">
        <v>2</v>
      </c>
      <c r="CE32" s="375">
        <f t="shared" si="46"/>
        <v>3.5</v>
      </c>
      <c r="CF32" s="375">
        <v>0</v>
      </c>
      <c r="CG32" s="375">
        <f t="shared" si="47"/>
        <v>0</v>
      </c>
      <c r="CH32" s="375">
        <v>0</v>
      </c>
      <c r="CI32" s="375">
        <f t="shared" si="48"/>
        <v>0</v>
      </c>
      <c r="CJ32" s="375">
        <f t="shared" si="49"/>
        <v>3.5</v>
      </c>
      <c r="CK32" s="376">
        <f t="shared" si="50"/>
        <v>20.5</v>
      </c>
      <c r="CL32" s="373">
        <f t="shared" si="51"/>
        <v>8.9238750000000007</v>
      </c>
      <c r="CM32" s="374" t="str">
        <f t="shared" si="52"/>
        <v>(0.83)</v>
      </c>
      <c r="CN32" s="375">
        <v>2</v>
      </c>
      <c r="CO32" s="375">
        <f t="shared" si="53"/>
        <v>3.5</v>
      </c>
      <c r="CP32" s="375">
        <v>0</v>
      </c>
      <c r="CQ32" s="375">
        <f t="shared" si="54"/>
        <v>0</v>
      </c>
      <c r="CR32" s="375">
        <v>0</v>
      </c>
      <c r="CS32" s="375">
        <f t="shared" si="55"/>
        <v>0</v>
      </c>
      <c r="CT32" s="375">
        <f t="shared" si="56"/>
        <v>3.5</v>
      </c>
      <c r="CU32" s="376">
        <f t="shared" si="57"/>
        <v>26.5</v>
      </c>
      <c r="CV32" s="373">
        <f t="shared" si="58"/>
        <v>10.944375000000001</v>
      </c>
      <c r="CW32" s="374" t="str">
        <f t="shared" si="59"/>
        <v>(1.02)</v>
      </c>
      <c r="CX32" s="375">
        <v>2</v>
      </c>
      <c r="CY32" s="375">
        <f t="shared" si="60"/>
        <v>3.5</v>
      </c>
      <c r="CZ32" s="375">
        <v>0</v>
      </c>
      <c r="DA32" s="375">
        <f t="shared" si="61"/>
        <v>0</v>
      </c>
      <c r="DB32" s="375">
        <v>0</v>
      </c>
      <c r="DC32" s="375">
        <f t="shared" si="62"/>
        <v>0</v>
      </c>
      <c r="DD32" s="375">
        <f t="shared" si="63"/>
        <v>3.5</v>
      </c>
      <c r="DE32" s="376">
        <f t="shared" si="64"/>
        <v>32.5</v>
      </c>
      <c r="DF32" s="373">
        <f t="shared" si="65"/>
        <v>12.964875000000001</v>
      </c>
      <c r="DG32" s="374" t="str">
        <f t="shared" si="66"/>
        <v>(1.2)</v>
      </c>
      <c r="DH32" s="375">
        <v>2</v>
      </c>
      <c r="DI32" s="375">
        <f t="shared" si="67"/>
        <v>3.5</v>
      </c>
      <c r="DJ32" s="375">
        <v>0</v>
      </c>
      <c r="DK32" s="375">
        <f t="shared" si="68"/>
        <v>0</v>
      </c>
      <c r="DL32" s="375">
        <v>0</v>
      </c>
      <c r="DM32" s="375">
        <f t="shared" si="69"/>
        <v>0</v>
      </c>
      <c r="DN32" s="375">
        <f t="shared" si="70"/>
        <v>3.5</v>
      </c>
      <c r="DO32" s="376">
        <f t="shared" si="71"/>
        <v>38.5</v>
      </c>
      <c r="DP32" s="373">
        <f t="shared" si="72"/>
        <v>14.985375000000001</v>
      </c>
      <c r="DQ32" s="374" t="str">
        <f t="shared" si="73"/>
        <v>(1.39)</v>
      </c>
      <c r="DR32" s="375">
        <v>2</v>
      </c>
      <c r="DS32" s="375">
        <f t="shared" si="74"/>
        <v>3.5</v>
      </c>
      <c r="DT32" s="375">
        <v>0</v>
      </c>
      <c r="DU32" s="375">
        <f t="shared" si="75"/>
        <v>0</v>
      </c>
      <c r="DV32" s="375">
        <v>0</v>
      </c>
      <c r="DW32" s="375">
        <f t="shared" si="76"/>
        <v>0</v>
      </c>
      <c r="DX32" s="375">
        <f t="shared" si="77"/>
        <v>3.5</v>
      </c>
      <c r="DY32" s="376">
        <f t="shared" si="78"/>
        <v>44.5</v>
      </c>
      <c r="DZ32" s="373">
        <f t="shared" si="79"/>
        <v>16.669125000000001</v>
      </c>
      <c r="EA32" s="374" t="str">
        <f t="shared" si="80"/>
        <v>(1.55)</v>
      </c>
      <c r="EB32" s="375">
        <v>2</v>
      </c>
      <c r="EC32" s="375">
        <f t="shared" si="81"/>
        <v>3.5</v>
      </c>
      <c r="ED32" s="375">
        <v>0</v>
      </c>
      <c r="EE32" s="375">
        <f t="shared" si="82"/>
        <v>0</v>
      </c>
      <c r="EF32" s="375">
        <v>1</v>
      </c>
      <c r="EG32" s="375">
        <f t="shared" si="83"/>
        <v>1</v>
      </c>
      <c r="EH32" s="375">
        <f t="shared" si="84"/>
        <v>4.5</v>
      </c>
      <c r="EI32" s="376">
        <f t="shared" si="85"/>
        <v>49.5</v>
      </c>
      <c r="EJ32" s="373">
        <f t="shared" si="86"/>
        <v>18.689624999999999</v>
      </c>
      <c r="EK32" s="374" t="str">
        <f t="shared" si="87"/>
        <v>(1.74)</v>
      </c>
      <c r="EL32" s="375">
        <v>2</v>
      </c>
      <c r="EM32" s="375">
        <f t="shared" si="88"/>
        <v>3.5</v>
      </c>
      <c r="EN32" s="375">
        <v>0</v>
      </c>
      <c r="EO32" s="375">
        <f t="shared" si="89"/>
        <v>0</v>
      </c>
      <c r="EP32" s="375">
        <v>1</v>
      </c>
      <c r="EQ32" s="375">
        <f t="shared" si="90"/>
        <v>1</v>
      </c>
      <c r="ER32" s="375">
        <f t="shared" si="91"/>
        <v>4.5</v>
      </c>
      <c r="ES32" s="376">
        <f t="shared" si="92"/>
        <v>55.5</v>
      </c>
      <c r="ET32" s="373">
        <f t="shared" si="93"/>
        <v>20.710125000000001</v>
      </c>
      <c r="EU32" s="374" t="str">
        <f t="shared" si="94"/>
        <v>(1.92)</v>
      </c>
      <c r="EV32" s="375">
        <v>2</v>
      </c>
      <c r="EW32" s="375">
        <f t="shared" si="95"/>
        <v>3.5</v>
      </c>
      <c r="EX32" s="375">
        <v>0</v>
      </c>
      <c r="EY32" s="375">
        <f t="shared" si="96"/>
        <v>0</v>
      </c>
      <c r="EZ32" s="375">
        <v>1</v>
      </c>
      <c r="FA32" s="375">
        <f t="shared" si="97"/>
        <v>1</v>
      </c>
      <c r="FB32" s="375">
        <f t="shared" si="98"/>
        <v>4.5</v>
      </c>
      <c r="FC32" s="376">
        <f t="shared" si="99"/>
        <v>61.5</v>
      </c>
      <c r="FD32" s="373">
        <f t="shared" si="100"/>
        <v>22.68853125</v>
      </c>
      <c r="FE32" s="374" t="str">
        <f t="shared" si="101"/>
        <v>(2.11)</v>
      </c>
      <c r="FF32" s="375">
        <v>2</v>
      </c>
      <c r="FG32" s="375">
        <f t="shared" si="102"/>
        <v>3.5</v>
      </c>
      <c r="FH32" s="375">
        <v>1</v>
      </c>
      <c r="FI32" s="375">
        <f t="shared" si="103"/>
        <v>1.125</v>
      </c>
      <c r="FJ32" s="375">
        <v>0</v>
      </c>
      <c r="FK32" s="375">
        <f t="shared" si="104"/>
        <v>0</v>
      </c>
      <c r="FL32" s="375">
        <f t="shared" si="105"/>
        <v>4.625</v>
      </c>
      <c r="FM32" s="376">
        <f t="shared" si="106"/>
        <v>67.375</v>
      </c>
      <c r="FN32" s="31"/>
      <c r="FO32" s="31"/>
      <c r="FP32" s="32"/>
      <c r="FQ32" s="32"/>
      <c r="FR32" s="32"/>
      <c r="FS32" s="32"/>
      <c r="FT32" s="32"/>
      <c r="FU32" s="32"/>
      <c r="FV32" s="32"/>
      <c r="FW32" s="32"/>
      <c r="FX32" s="31"/>
      <c r="FY32" s="31"/>
      <c r="FZ32" s="32"/>
      <c r="GA32" s="32"/>
      <c r="GB32" s="32"/>
      <c r="GC32" s="32"/>
      <c r="GD32" s="32"/>
      <c r="GE32" s="32"/>
      <c r="GF32" s="32"/>
      <c r="GG32" s="32"/>
      <c r="GH32" s="31"/>
      <c r="GI32" s="31"/>
      <c r="GJ32" s="32"/>
      <c r="GK32" s="32"/>
      <c r="GL32" s="32"/>
      <c r="GM32" s="32"/>
      <c r="GN32" s="32"/>
      <c r="GO32" s="32"/>
      <c r="GP32" s="32"/>
      <c r="GQ32" s="32"/>
      <c r="GR32" s="31"/>
      <c r="GS32" s="31"/>
      <c r="GT32" s="32"/>
      <c r="GU32" s="32"/>
      <c r="GV32" s="32"/>
      <c r="GW32" s="32"/>
      <c r="GX32" s="32"/>
      <c r="GY32" s="32"/>
      <c r="GZ32" s="32"/>
      <c r="HA32" s="32"/>
      <c r="HB32" s="31"/>
      <c r="HC32" s="31"/>
      <c r="HD32" s="32"/>
      <c r="HE32" s="32"/>
      <c r="HF32" s="32"/>
      <c r="HG32" s="32"/>
      <c r="HH32" s="32"/>
      <c r="HI32" s="32"/>
      <c r="HJ32" s="32"/>
      <c r="HK32" s="32"/>
      <c r="HL32" s="31"/>
      <c r="HM32" s="31"/>
      <c r="HN32" s="32"/>
      <c r="HO32" s="32"/>
      <c r="HP32" s="32"/>
      <c r="HQ32" s="32"/>
      <c r="HR32" s="32"/>
      <c r="HS32" s="32"/>
      <c r="HT32" s="32"/>
      <c r="HU32" s="32"/>
      <c r="HV32" s="31"/>
      <c r="HW32" s="31"/>
      <c r="HX32" s="32"/>
      <c r="HY32" s="32"/>
      <c r="HZ32" s="32"/>
      <c r="IA32" s="32"/>
      <c r="IB32" s="32"/>
      <c r="IC32" s="32"/>
      <c r="ID32" s="32"/>
      <c r="IE32" s="32"/>
      <c r="IF32" s="31"/>
      <c r="IG32" s="31"/>
      <c r="IH32" s="32"/>
      <c r="II32" s="32"/>
      <c r="IJ32" s="32"/>
      <c r="IK32" s="32"/>
      <c r="IL32" s="32"/>
      <c r="IM32" s="32"/>
      <c r="IN32" s="33"/>
      <c r="IO32" s="33"/>
      <c r="IP32" s="33"/>
      <c r="IQ32" s="467">
        <v>18</v>
      </c>
      <c r="IR32" s="468">
        <v>2.645</v>
      </c>
      <c r="IS32" s="468">
        <v>2.645</v>
      </c>
      <c r="IT32" s="468">
        <v>0.88200000000000001</v>
      </c>
      <c r="IU32" s="468">
        <v>1.75</v>
      </c>
      <c r="IV32" s="468">
        <v>1</v>
      </c>
      <c r="IW32" s="468">
        <v>1.125</v>
      </c>
      <c r="IX32" s="8"/>
    </row>
    <row r="33" spans="2:258" ht="15.75" thickBot="1" x14ac:dyDescent="0.3">
      <c r="B33" s="103">
        <f t="shared" si="21"/>
        <v>102</v>
      </c>
      <c r="C33" s="221">
        <v>18</v>
      </c>
      <c r="D33" s="98">
        <f t="shared" si="1"/>
        <v>0.38561111111111118</v>
      </c>
      <c r="E33" s="96">
        <f t="shared" si="2"/>
        <v>0.4469583333333334</v>
      </c>
      <c r="F33" s="96">
        <f t="shared" si="3"/>
        <v>0.50830555555555568</v>
      </c>
      <c r="G33" s="96">
        <f t="shared" si="4"/>
        <v>0.53897916666666679</v>
      </c>
      <c r="H33" s="96">
        <f t="shared" si="5"/>
        <v>0.55738333333333345</v>
      </c>
      <c r="I33" s="96">
        <f t="shared" si="6"/>
        <v>0.5696527777777779</v>
      </c>
      <c r="J33" s="96">
        <f t="shared" si="7"/>
        <v>0.57841666666666669</v>
      </c>
      <c r="K33" s="96">
        <f t="shared" si="8"/>
        <v>0.5849895833333334</v>
      </c>
      <c r="L33" s="96">
        <f t="shared" si="9"/>
        <v>0.57841666666666669</v>
      </c>
      <c r="M33" s="96">
        <f t="shared" si="10"/>
        <v>0.58367500000000005</v>
      </c>
      <c r="N33" s="96">
        <f t="shared" si="11"/>
        <v>0.58797727272727274</v>
      </c>
      <c r="O33" s="96">
        <f t="shared" si="12"/>
        <v>0.59046701388888889</v>
      </c>
      <c r="P33" s="96"/>
      <c r="Q33" s="96"/>
      <c r="R33" s="96"/>
      <c r="S33" s="96"/>
      <c r="T33" s="96"/>
      <c r="U33" s="96"/>
      <c r="V33" s="96"/>
      <c r="W33" s="96"/>
      <c r="X33" s="96"/>
      <c r="Y33" s="65"/>
      <c r="AT33" s="4"/>
      <c r="AU33" s="14">
        <f t="shared" si="163"/>
        <v>84</v>
      </c>
      <c r="AV33" s="12" t="str">
        <f t="shared" si="22"/>
        <v>(2150)</v>
      </c>
      <c r="AW33" s="19"/>
      <c r="AX33" s="20">
        <f t="shared" si="23"/>
        <v>1.9993645833333333</v>
      </c>
      <c r="AY33" s="21" t="str">
        <f t="shared" si="24"/>
        <v>(0.19)</v>
      </c>
      <c r="AZ33" s="22">
        <v>2</v>
      </c>
      <c r="BA33" s="22">
        <f t="shared" si="25"/>
        <v>3.5</v>
      </c>
      <c r="BB33" s="22">
        <v>0</v>
      </c>
      <c r="BC33" s="22">
        <f t="shared" si="26"/>
        <v>0</v>
      </c>
      <c r="BD33" s="22">
        <v>0</v>
      </c>
      <c r="BE33" s="22">
        <f t="shared" si="27"/>
        <v>0</v>
      </c>
      <c r="BF33" s="22">
        <f t="shared" si="28"/>
        <v>3.5</v>
      </c>
      <c r="BG33" s="23">
        <f t="shared" si="29"/>
        <v>5.5</v>
      </c>
      <c r="BH33" s="373">
        <f t="shared" si="30"/>
        <v>3.0899270833333334</v>
      </c>
      <c r="BI33" s="374" t="str">
        <f t="shared" si="31"/>
        <v>(0.29)</v>
      </c>
      <c r="BJ33" s="375">
        <v>2</v>
      </c>
      <c r="BK33" s="375">
        <f t="shared" si="32"/>
        <v>3.5</v>
      </c>
      <c r="BL33" s="375">
        <v>0</v>
      </c>
      <c r="BM33" s="375">
        <f t="shared" si="33"/>
        <v>0</v>
      </c>
      <c r="BN33" s="375">
        <v>0</v>
      </c>
      <c r="BO33" s="375">
        <f t="shared" si="34"/>
        <v>0</v>
      </c>
      <c r="BP33" s="375">
        <f t="shared" si="35"/>
        <v>3.5</v>
      </c>
      <c r="BQ33" s="376">
        <f t="shared" si="36"/>
        <v>8.5</v>
      </c>
      <c r="BR33" s="373">
        <f t="shared" si="37"/>
        <v>5.2710520833333341</v>
      </c>
      <c r="BS33" s="374" t="str">
        <f t="shared" si="38"/>
        <v>(0.49)</v>
      </c>
      <c r="BT33" s="375">
        <v>2</v>
      </c>
      <c r="BU33" s="375">
        <f t="shared" si="39"/>
        <v>3.5</v>
      </c>
      <c r="BV33" s="375">
        <v>0</v>
      </c>
      <c r="BW33" s="375">
        <f t="shared" si="40"/>
        <v>0</v>
      </c>
      <c r="BX33" s="375">
        <v>0</v>
      </c>
      <c r="BY33" s="375">
        <f t="shared" si="41"/>
        <v>0</v>
      </c>
      <c r="BZ33" s="375">
        <f t="shared" si="42"/>
        <v>3.5</v>
      </c>
      <c r="CA33" s="376">
        <f t="shared" si="43"/>
        <v>14.5</v>
      </c>
      <c r="CB33" s="373">
        <f t="shared" si="44"/>
        <v>7.452177083333333</v>
      </c>
      <c r="CC33" s="374" t="str">
        <f t="shared" si="45"/>
        <v>(0.69)</v>
      </c>
      <c r="CD33" s="375">
        <v>2</v>
      </c>
      <c r="CE33" s="375">
        <f t="shared" si="46"/>
        <v>3.5</v>
      </c>
      <c r="CF33" s="375">
        <v>0</v>
      </c>
      <c r="CG33" s="375">
        <f t="shared" si="47"/>
        <v>0</v>
      </c>
      <c r="CH33" s="375">
        <v>0</v>
      </c>
      <c r="CI33" s="375">
        <f t="shared" si="48"/>
        <v>0</v>
      </c>
      <c r="CJ33" s="375">
        <f t="shared" si="49"/>
        <v>3.5</v>
      </c>
      <c r="CK33" s="376">
        <f t="shared" si="50"/>
        <v>20.5</v>
      </c>
      <c r="CL33" s="373">
        <f t="shared" si="51"/>
        <v>9.6333020833333336</v>
      </c>
      <c r="CM33" s="374" t="str">
        <f t="shared" si="52"/>
        <v>(0.89)</v>
      </c>
      <c r="CN33" s="375">
        <v>2</v>
      </c>
      <c r="CO33" s="375">
        <f t="shared" si="53"/>
        <v>3.5</v>
      </c>
      <c r="CP33" s="375">
        <v>0</v>
      </c>
      <c r="CQ33" s="375">
        <f t="shared" si="54"/>
        <v>0</v>
      </c>
      <c r="CR33" s="375">
        <v>0</v>
      </c>
      <c r="CS33" s="375">
        <f t="shared" si="55"/>
        <v>0</v>
      </c>
      <c r="CT33" s="375">
        <f t="shared" si="56"/>
        <v>3.5</v>
      </c>
      <c r="CU33" s="376">
        <f t="shared" si="57"/>
        <v>26.5</v>
      </c>
      <c r="CV33" s="373">
        <f t="shared" si="58"/>
        <v>11.814427083333335</v>
      </c>
      <c r="CW33" s="374" t="str">
        <f t="shared" si="59"/>
        <v>(1.1)</v>
      </c>
      <c r="CX33" s="375">
        <v>2</v>
      </c>
      <c r="CY33" s="375">
        <f t="shared" si="60"/>
        <v>3.5</v>
      </c>
      <c r="CZ33" s="375">
        <v>0</v>
      </c>
      <c r="DA33" s="375">
        <f t="shared" si="61"/>
        <v>0</v>
      </c>
      <c r="DB33" s="375">
        <v>0</v>
      </c>
      <c r="DC33" s="375">
        <f t="shared" si="62"/>
        <v>0</v>
      </c>
      <c r="DD33" s="375">
        <f t="shared" si="63"/>
        <v>3.5</v>
      </c>
      <c r="DE33" s="376">
        <f t="shared" si="64"/>
        <v>32.5</v>
      </c>
      <c r="DF33" s="373">
        <f t="shared" si="65"/>
        <v>13.995552083333333</v>
      </c>
      <c r="DG33" s="374" t="str">
        <f t="shared" si="66"/>
        <v>(1.3)</v>
      </c>
      <c r="DH33" s="375">
        <v>2</v>
      </c>
      <c r="DI33" s="375">
        <f t="shared" si="67"/>
        <v>3.5</v>
      </c>
      <c r="DJ33" s="375">
        <v>0</v>
      </c>
      <c r="DK33" s="375">
        <f t="shared" si="68"/>
        <v>0</v>
      </c>
      <c r="DL33" s="375">
        <v>0</v>
      </c>
      <c r="DM33" s="375">
        <f t="shared" si="69"/>
        <v>0</v>
      </c>
      <c r="DN33" s="375">
        <f t="shared" si="70"/>
        <v>3.5</v>
      </c>
      <c r="DO33" s="376">
        <f t="shared" si="71"/>
        <v>38.5</v>
      </c>
      <c r="DP33" s="373">
        <f t="shared" si="72"/>
        <v>16.176677083333331</v>
      </c>
      <c r="DQ33" s="374" t="str">
        <f t="shared" si="73"/>
        <v>(1.5)</v>
      </c>
      <c r="DR33" s="375">
        <v>2</v>
      </c>
      <c r="DS33" s="375">
        <f t="shared" si="74"/>
        <v>3.5</v>
      </c>
      <c r="DT33" s="375">
        <v>0</v>
      </c>
      <c r="DU33" s="375">
        <f t="shared" si="75"/>
        <v>0</v>
      </c>
      <c r="DV33" s="375">
        <v>0</v>
      </c>
      <c r="DW33" s="375">
        <f t="shared" si="76"/>
        <v>0</v>
      </c>
      <c r="DX33" s="375">
        <f t="shared" si="77"/>
        <v>3.5</v>
      </c>
      <c r="DY33" s="376">
        <f t="shared" si="78"/>
        <v>44.5</v>
      </c>
      <c r="DZ33" s="373">
        <f t="shared" si="79"/>
        <v>17.99428125</v>
      </c>
      <c r="EA33" s="374" t="str">
        <f t="shared" si="80"/>
        <v>(1.67)</v>
      </c>
      <c r="EB33" s="375">
        <v>2</v>
      </c>
      <c r="EC33" s="375">
        <f t="shared" si="81"/>
        <v>3.5</v>
      </c>
      <c r="ED33" s="375">
        <v>0</v>
      </c>
      <c r="EE33" s="375">
        <f t="shared" si="82"/>
        <v>0</v>
      </c>
      <c r="EF33" s="375">
        <v>1</v>
      </c>
      <c r="EG33" s="375">
        <f t="shared" si="83"/>
        <v>1</v>
      </c>
      <c r="EH33" s="375">
        <f t="shared" si="84"/>
        <v>4.5</v>
      </c>
      <c r="EI33" s="376">
        <f t="shared" si="85"/>
        <v>49.5</v>
      </c>
      <c r="EJ33" s="373">
        <f t="shared" si="86"/>
        <v>20.175406249999998</v>
      </c>
      <c r="EK33" s="374" t="str">
        <f t="shared" si="87"/>
        <v>(1.87)</v>
      </c>
      <c r="EL33" s="375">
        <v>2</v>
      </c>
      <c r="EM33" s="375">
        <f t="shared" si="88"/>
        <v>3.5</v>
      </c>
      <c r="EN33" s="375">
        <v>0</v>
      </c>
      <c r="EO33" s="375">
        <f t="shared" si="89"/>
        <v>0</v>
      </c>
      <c r="EP33" s="375">
        <v>1</v>
      </c>
      <c r="EQ33" s="375">
        <f t="shared" si="90"/>
        <v>1</v>
      </c>
      <c r="ER33" s="375">
        <f t="shared" si="91"/>
        <v>4.5</v>
      </c>
      <c r="ES33" s="376">
        <f t="shared" si="92"/>
        <v>55.5</v>
      </c>
      <c r="ET33" s="373">
        <f t="shared" si="93"/>
        <v>22.356531250000003</v>
      </c>
      <c r="EU33" s="374" t="str">
        <f t="shared" si="94"/>
        <v>(2.08)</v>
      </c>
      <c r="EV33" s="375">
        <v>2</v>
      </c>
      <c r="EW33" s="375">
        <f t="shared" si="95"/>
        <v>3.5</v>
      </c>
      <c r="EX33" s="375">
        <v>0</v>
      </c>
      <c r="EY33" s="375">
        <f t="shared" si="96"/>
        <v>0</v>
      </c>
      <c r="EZ33" s="375">
        <v>1</v>
      </c>
      <c r="FA33" s="375">
        <f t="shared" si="97"/>
        <v>1</v>
      </c>
      <c r="FB33" s="375">
        <f t="shared" si="98"/>
        <v>4.5</v>
      </c>
      <c r="FC33" s="376">
        <f t="shared" si="99"/>
        <v>61.5</v>
      </c>
      <c r="FD33" s="373">
        <f t="shared" si="100"/>
        <v>24.492216145833332</v>
      </c>
      <c r="FE33" s="374" t="str">
        <f t="shared" si="101"/>
        <v>(2.28)</v>
      </c>
      <c r="FF33" s="375">
        <v>2</v>
      </c>
      <c r="FG33" s="375">
        <f t="shared" si="102"/>
        <v>3.5</v>
      </c>
      <c r="FH33" s="375">
        <v>1</v>
      </c>
      <c r="FI33" s="375">
        <f t="shared" si="103"/>
        <v>1.125</v>
      </c>
      <c r="FJ33" s="375">
        <v>0</v>
      </c>
      <c r="FK33" s="375">
        <f t="shared" si="104"/>
        <v>0</v>
      </c>
      <c r="FL33" s="375">
        <f t="shared" si="105"/>
        <v>4.625</v>
      </c>
      <c r="FM33" s="376">
        <f t="shared" si="106"/>
        <v>67.375</v>
      </c>
      <c r="FN33" s="31"/>
      <c r="FO33" s="31"/>
      <c r="FP33" s="32"/>
      <c r="FQ33" s="32"/>
      <c r="FR33" s="32"/>
      <c r="FS33" s="32"/>
      <c r="FT33" s="32"/>
      <c r="FU33" s="32"/>
      <c r="FV33" s="32"/>
      <c r="FW33" s="32"/>
      <c r="FX33" s="31"/>
      <c r="FY33" s="31"/>
      <c r="FZ33" s="32"/>
      <c r="GA33" s="32"/>
      <c r="GB33" s="32"/>
      <c r="GC33" s="32"/>
      <c r="GD33" s="32"/>
      <c r="GE33" s="32"/>
      <c r="GF33" s="32"/>
      <c r="GG33" s="32"/>
      <c r="GH33" s="31"/>
      <c r="GI33" s="31"/>
      <c r="GJ33" s="32"/>
      <c r="GK33" s="32"/>
      <c r="GL33" s="32"/>
      <c r="GM33" s="32"/>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2"/>
      <c r="HO33" s="32"/>
      <c r="HP33" s="32"/>
      <c r="HQ33" s="32"/>
      <c r="HR33" s="32"/>
      <c r="HS33" s="32"/>
      <c r="HT33" s="32"/>
      <c r="HU33" s="32"/>
      <c r="HV33" s="32"/>
      <c r="HW33" s="32"/>
      <c r="HX33" s="32"/>
      <c r="HY33" s="32"/>
      <c r="HZ33" s="32"/>
      <c r="IA33" s="32"/>
      <c r="IB33" s="32"/>
      <c r="IC33" s="32"/>
      <c r="ID33" s="32"/>
      <c r="IE33" s="32"/>
      <c r="IF33" s="31"/>
      <c r="IG33" s="31"/>
      <c r="IH33" s="32"/>
      <c r="II33" s="32"/>
      <c r="IJ33" s="32"/>
      <c r="IK33" s="32"/>
      <c r="IL33" s="32"/>
      <c r="IM33" s="32"/>
      <c r="IN33" s="33"/>
      <c r="IO33" s="33"/>
      <c r="IP33" s="33"/>
      <c r="IQ33" s="467">
        <v>19</v>
      </c>
      <c r="IR33" s="468">
        <v>2.645</v>
      </c>
      <c r="IS33" s="468">
        <v>2.645</v>
      </c>
      <c r="IT33" s="468">
        <v>2.0920000000000001</v>
      </c>
      <c r="IU33" s="468">
        <v>1.75</v>
      </c>
      <c r="IV33" s="468">
        <v>1</v>
      </c>
      <c r="IW33" s="468">
        <v>1.125</v>
      </c>
      <c r="IX33" s="8"/>
    </row>
    <row r="34" spans="2:258" ht="15.75" thickBot="1" x14ac:dyDescent="0.3">
      <c r="B34" s="103">
        <f t="shared" si="21"/>
        <v>108</v>
      </c>
      <c r="C34" s="226">
        <v>19</v>
      </c>
      <c r="D34" s="98">
        <f t="shared" si="1"/>
        <v>0.38600154320987651</v>
      </c>
      <c r="E34" s="96">
        <f t="shared" si="2"/>
        <v>0.44741087962962961</v>
      </c>
      <c r="F34" s="96">
        <f t="shared" si="3"/>
        <v>0.50882021604938266</v>
      </c>
      <c r="G34" s="96">
        <f t="shared" si="4"/>
        <v>0.53952488425925926</v>
      </c>
      <c r="H34" s="96">
        <f t="shared" si="5"/>
        <v>0.55794768518518523</v>
      </c>
      <c r="I34" s="96">
        <f t="shared" si="6"/>
        <v>0.57022955246913576</v>
      </c>
      <c r="J34" s="96">
        <f t="shared" si="7"/>
        <v>0.57900231481481479</v>
      </c>
      <c r="K34" s="96">
        <f t="shared" si="8"/>
        <v>0.58558188657407406</v>
      </c>
      <c r="L34" s="96">
        <f t="shared" si="9"/>
        <v>0.5790023148148149</v>
      </c>
      <c r="M34" s="96">
        <f t="shared" si="10"/>
        <v>0.58426597222222221</v>
      </c>
      <c r="N34" s="96">
        <f t="shared" si="11"/>
        <v>0.58857260101010112</v>
      </c>
      <c r="O34" s="96">
        <f t="shared" si="12"/>
        <v>0.5910648630401234</v>
      </c>
      <c r="P34" s="96"/>
      <c r="Q34" s="96"/>
      <c r="R34" s="96"/>
      <c r="S34" s="96"/>
      <c r="T34" s="96"/>
      <c r="U34" s="96"/>
      <c r="V34" s="96"/>
      <c r="W34" s="96"/>
      <c r="X34" s="96"/>
      <c r="Y34" s="65"/>
      <c r="AT34" s="4"/>
      <c r="AU34" s="27">
        <f t="shared" si="163"/>
        <v>90</v>
      </c>
      <c r="AV34" s="28" t="str">
        <f t="shared" si="22"/>
        <v>(2300)</v>
      </c>
      <c r="AW34" s="19"/>
      <c r="AX34" s="20">
        <f t="shared" si="23"/>
        <v>2.1551979166666668</v>
      </c>
      <c r="AY34" s="29" t="str">
        <f t="shared" si="24"/>
        <v>(0.20)</v>
      </c>
      <c r="AZ34" s="22">
        <v>2</v>
      </c>
      <c r="BA34" s="22">
        <f t="shared" si="25"/>
        <v>3.5</v>
      </c>
      <c r="BB34" s="30">
        <v>0</v>
      </c>
      <c r="BC34" s="22">
        <f t="shared" si="26"/>
        <v>0</v>
      </c>
      <c r="BD34" s="30">
        <v>0</v>
      </c>
      <c r="BE34" s="22">
        <f t="shared" si="27"/>
        <v>0</v>
      </c>
      <c r="BF34" s="22">
        <f t="shared" si="28"/>
        <v>3.5</v>
      </c>
      <c r="BG34" s="23">
        <f t="shared" si="29"/>
        <v>5.5</v>
      </c>
      <c r="BH34" s="373">
        <f t="shared" si="30"/>
        <v>3.3307604166666667</v>
      </c>
      <c r="BI34" s="374" t="str">
        <f t="shared" si="31"/>
        <v>(0.31)</v>
      </c>
      <c r="BJ34" s="375">
        <v>2</v>
      </c>
      <c r="BK34" s="375">
        <f t="shared" si="32"/>
        <v>3.5</v>
      </c>
      <c r="BL34" s="375">
        <v>0</v>
      </c>
      <c r="BM34" s="375">
        <f t="shared" si="33"/>
        <v>0</v>
      </c>
      <c r="BN34" s="375">
        <v>0</v>
      </c>
      <c r="BO34" s="375">
        <f t="shared" si="34"/>
        <v>0</v>
      </c>
      <c r="BP34" s="375">
        <f t="shared" si="35"/>
        <v>3.5</v>
      </c>
      <c r="BQ34" s="376">
        <f t="shared" si="36"/>
        <v>8.5</v>
      </c>
      <c r="BR34" s="373">
        <f t="shared" si="37"/>
        <v>5.6818854166666668</v>
      </c>
      <c r="BS34" s="374" t="str">
        <f t="shared" si="38"/>
        <v>(0.53)</v>
      </c>
      <c r="BT34" s="375">
        <v>2</v>
      </c>
      <c r="BU34" s="375">
        <f t="shared" si="39"/>
        <v>3.5</v>
      </c>
      <c r="BV34" s="375">
        <v>0</v>
      </c>
      <c r="BW34" s="375">
        <f t="shared" si="40"/>
        <v>0</v>
      </c>
      <c r="BX34" s="375">
        <v>0</v>
      </c>
      <c r="BY34" s="375">
        <f t="shared" si="41"/>
        <v>0</v>
      </c>
      <c r="BZ34" s="375">
        <f t="shared" si="42"/>
        <v>3.5</v>
      </c>
      <c r="CA34" s="376">
        <f t="shared" si="43"/>
        <v>14.5</v>
      </c>
      <c r="CB34" s="373">
        <f t="shared" si="44"/>
        <v>8.0330104166666665</v>
      </c>
      <c r="CC34" s="374" t="str">
        <f t="shared" si="45"/>
        <v>(0.75)</v>
      </c>
      <c r="CD34" s="375">
        <v>2</v>
      </c>
      <c r="CE34" s="375">
        <f t="shared" si="46"/>
        <v>3.5</v>
      </c>
      <c r="CF34" s="375">
        <v>0</v>
      </c>
      <c r="CG34" s="375">
        <f t="shared" si="47"/>
        <v>0</v>
      </c>
      <c r="CH34" s="375">
        <v>0</v>
      </c>
      <c r="CI34" s="375">
        <f t="shared" si="48"/>
        <v>0</v>
      </c>
      <c r="CJ34" s="375">
        <f t="shared" si="49"/>
        <v>3.5</v>
      </c>
      <c r="CK34" s="376">
        <f t="shared" si="50"/>
        <v>20.5</v>
      </c>
      <c r="CL34" s="373">
        <f t="shared" si="51"/>
        <v>10.384135416666666</v>
      </c>
      <c r="CM34" s="374" t="str">
        <f t="shared" si="52"/>
        <v>(0.96)</v>
      </c>
      <c r="CN34" s="375">
        <v>2</v>
      </c>
      <c r="CO34" s="375">
        <f t="shared" si="53"/>
        <v>3.5</v>
      </c>
      <c r="CP34" s="375">
        <v>0</v>
      </c>
      <c r="CQ34" s="375">
        <f t="shared" si="54"/>
        <v>0</v>
      </c>
      <c r="CR34" s="375">
        <v>0</v>
      </c>
      <c r="CS34" s="375">
        <f t="shared" si="55"/>
        <v>0</v>
      </c>
      <c r="CT34" s="375">
        <f t="shared" si="56"/>
        <v>3.5</v>
      </c>
      <c r="CU34" s="376">
        <f t="shared" si="57"/>
        <v>26.5</v>
      </c>
      <c r="CV34" s="373">
        <f t="shared" si="58"/>
        <v>12.735260416666668</v>
      </c>
      <c r="CW34" s="374" t="str">
        <f t="shared" si="59"/>
        <v>(1.18)</v>
      </c>
      <c r="CX34" s="375">
        <v>2</v>
      </c>
      <c r="CY34" s="375">
        <f t="shared" si="60"/>
        <v>3.5</v>
      </c>
      <c r="CZ34" s="375">
        <v>0</v>
      </c>
      <c r="DA34" s="375">
        <f t="shared" si="61"/>
        <v>0</v>
      </c>
      <c r="DB34" s="375">
        <v>0</v>
      </c>
      <c r="DC34" s="375">
        <f t="shared" si="62"/>
        <v>0</v>
      </c>
      <c r="DD34" s="375">
        <f t="shared" si="63"/>
        <v>3.5</v>
      </c>
      <c r="DE34" s="376">
        <f t="shared" si="64"/>
        <v>32.5</v>
      </c>
      <c r="DF34" s="373">
        <f t="shared" si="65"/>
        <v>15.086385416666666</v>
      </c>
      <c r="DG34" s="374" t="str">
        <f t="shared" si="66"/>
        <v>(1.4)</v>
      </c>
      <c r="DH34" s="375">
        <v>2</v>
      </c>
      <c r="DI34" s="375">
        <f t="shared" si="67"/>
        <v>3.5</v>
      </c>
      <c r="DJ34" s="375">
        <v>0</v>
      </c>
      <c r="DK34" s="375">
        <f t="shared" si="68"/>
        <v>0</v>
      </c>
      <c r="DL34" s="375">
        <v>0</v>
      </c>
      <c r="DM34" s="375">
        <f t="shared" si="69"/>
        <v>0</v>
      </c>
      <c r="DN34" s="375">
        <f t="shared" si="70"/>
        <v>3.5</v>
      </c>
      <c r="DO34" s="376">
        <f t="shared" si="71"/>
        <v>38.5</v>
      </c>
      <c r="DP34" s="373">
        <f t="shared" si="72"/>
        <v>17.437510416666665</v>
      </c>
      <c r="DQ34" s="374" t="str">
        <f t="shared" si="73"/>
        <v>(1.62)</v>
      </c>
      <c r="DR34" s="375">
        <v>2</v>
      </c>
      <c r="DS34" s="375">
        <f t="shared" si="74"/>
        <v>3.5</v>
      </c>
      <c r="DT34" s="375">
        <v>0</v>
      </c>
      <c r="DU34" s="375">
        <f t="shared" si="75"/>
        <v>0</v>
      </c>
      <c r="DV34" s="375">
        <v>0</v>
      </c>
      <c r="DW34" s="375">
        <f t="shared" si="76"/>
        <v>0</v>
      </c>
      <c r="DX34" s="375">
        <f t="shared" si="77"/>
        <v>3.5</v>
      </c>
      <c r="DY34" s="376">
        <f t="shared" si="78"/>
        <v>44.5</v>
      </c>
      <c r="DZ34" s="373">
        <f t="shared" si="79"/>
        <v>19.39678125</v>
      </c>
      <c r="EA34" s="374" t="str">
        <f t="shared" si="80"/>
        <v>(1.80)</v>
      </c>
      <c r="EB34" s="375">
        <v>2</v>
      </c>
      <c r="EC34" s="375">
        <f t="shared" si="81"/>
        <v>3.5</v>
      </c>
      <c r="ED34" s="375">
        <v>0</v>
      </c>
      <c r="EE34" s="375">
        <f t="shared" si="82"/>
        <v>0</v>
      </c>
      <c r="EF34" s="375">
        <v>1</v>
      </c>
      <c r="EG34" s="375">
        <f t="shared" si="83"/>
        <v>1</v>
      </c>
      <c r="EH34" s="375">
        <f t="shared" si="84"/>
        <v>4.5</v>
      </c>
      <c r="EI34" s="376">
        <f t="shared" si="85"/>
        <v>49.5</v>
      </c>
      <c r="EJ34" s="373">
        <f t="shared" si="86"/>
        <v>21.74790625</v>
      </c>
      <c r="EK34" s="374" t="str">
        <f t="shared" si="87"/>
        <v>(2.02)</v>
      </c>
      <c r="EL34" s="375">
        <v>2</v>
      </c>
      <c r="EM34" s="375">
        <f t="shared" si="88"/>
        <v>3.5</v>
      </c>
      <c r="EN34" s="375">
        <v>0</v>
      </c>
      <c r="EO34" s="375">
        <f t="shared" si="89"/>
        <v>0</v>
      </c>
      <c r="EP34" s="375">
        <v>1</v>
      </c>
      <c r="EQ34" s="375">
        <f t="shared" si="90"/>
        <v>1</v>
      </c>
      <c r="ER34" s="375">
        <f t="shared" si="91"/>
        <v>4.5</v>
      </c>
      <c r="ES34" s="376">
        <f t="shared" si="92"/>
        <v>55.5</v>
      </c>
      <c r="ET34" s="373">
        <f t="shared" si="93"/>
        <v>24.099031249999999</v>
      </c>
      <c r="EU34" s="374" t="str">
        <f t="shared" si="94"/>
        <v>(2.24)</v>
      </c>
      <c r="EV34" s="375">
        <v>2</v>
      </c>
      <c r="EW34" s="375">
        <f t="shared" si="95"/>
        <v>3.5</v>
      </c>
      <c r="EX34" s="375">
        <v>0</v>
      </c>
      <c r="EY34" s="375">
        <f t="shared" si="96"/>
        <v>0</v>
      </c>
      <c r="EZ34" s="375">
        <v>1</v>
      </c>
      <c r="FA34" s="375">
        <f t="shared" si="97"/>
        <v>1</v>
      </c>
      <c r="FB34" s="375">
        <f t="shared" si="98"/>
        <v>4.5</v>
      </c>
      <c r="FC34" s="376">
        <f t="shared" si="99"/>
        <v>61.5</v>
      </c>
      <c r="FD34" s="373">
        <f t="shared" si="100"/>
        <v>26.401174479166666</v>
      </c>
      <c r="FE34" s="374" t="str">
        <f t="shared" si="101"/>
        <v>(2.45)</v>
      </c>
      <c r="FF34" s="375">
        <v>2</v>
      </c>
      <c r="FG34" s="375">
        <f t="shared" si="102"/>
        <v>3.5</v>
      </c>
      <c r="FH34" s="375">
        <v>1</v>
      </c>
      <c r="FI34" s="375">
        <f t="shared" si="103"/>
        <v>1.125</v>
      </c>
      <c r="FJ34" s="375">
        <v>0</v>
      </c>
      <c r="FK34" s="375">
        <f t="shared" si="104"/>
        <v>0</v>
      </c>
      <c r="FL34" s="375">
        <f t="shared" si="105"/>
        <v>4.625</v>
      </c>
      <c r="FM34" s="376">
        <f t="shared" si="106"/>
        <v>67.375</v>
      </c>
      <c r="FN34" s="31"/>
      <c r="FO34" s="31"/>
      <c r="FP34" s="32"/>
      <c r="FQ34" s="32"/>
      <c r="FR34" s="32"/>
      <c r="FS34" s="32"/>
      <c r="FT34" s="32"/>
      <c r="FU34" s="32"/>
      <c r="FV34" s="31"/>
      <c r="FW34" s="31"/>
      <c r="FX34" s="31"/>
      <c r="FY34" s="31"/>
      <c r="FZ34" s="31"/>
      <c r="GA34" s="31"/>
      <c r="GB34" s="31"/>
      <c r="GC34" s="31"/>
      <c r="GD34" s="31"/>
      <c r="GE34" s="31"/>
      <c r="GF34" s="31"/>
      <c r="GG34" s="31"/>
      <c r="GH34" s="31"/>
      <c r="GI34" s="31"/>
      <c r="GJ34" s="32"/>
      <c r="GK34" s="32"/>
      <c r="GL34" s="32"/>
      <c r="GM34" s="32"/>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2"/>
      <c r="HO34" s="32"/>
      <c r="HP34" s="32"/>
      <c r="HQ34" s="32"/>
      <c r="HR34" s="32"/>
      <c r="HS34" s="32"/>
      <c r="HT34" s="32"/>
      <c r="HU34" s="32"/>
      <c r="HV34" s="32"/>
      <c r="HW34" s="32"/>
      <c r="HX34" s="32"/>
      <c r="HY34" s="32"/>
      <c r="HZ34" s="32"/>
      <c r="IA34" s="32"/>
      <c r="IB34" s="32"/>
      <c r="IC34" s="32"/>
      <c r="ID34" s="32"/>
      <c r="IE34" s="32"/>
      <c r="IF34" s="31"/>
      <c r="IG34" s="31"/>
      <c r="IH34" s="32"/>
      <c r="II34" s="32"/>
      <c r="IJ34" s="34"/>
      <c r="IK34" s="32"/>
      <c r="IL34" s="32"/>
      <c r="IM34" s="32"/>
      <c r="IN34" s="33"/>
      <c r="IO34" s="33"/>
      <c r="IP34" s="33"/>
      <c r="IQ34" s="467">
        <v>21</v>
      </c>
      <c r="IR34" s="468">
        <v>2.645</v>
      </c>
      <c r="IS34" s="468">
        <v>2.645</v>
      </c>
      <c r="IT34" s="468">
        <v>0.88200000000000001</v>
      </c>
      <c r="IU34" s="468">
        <v>1.75</v>
      </c>
      <c r="IV34" s="468">
        <v>1</v>
      </c>
      <c r="IW34" s="468">
        <v>1.125</v>
      </c>
      <c r="IX34" s="8"/>
    </row>
    <row r="35" spans="2:258" ht="15.75" thickBot="1" x14ac:dyDescent="0.3">
      <c r="B35" s="103">
        <f>B34+6</f>
        <v>114</v>
      </c>
      <c r="C35" s="221">
        <v>20</v>
      </c>
      <c r="D35" s="98">
        <f t="shared" si="1"/>
        <v>0.38755701754385963</v>
      </c>
      <c r="E35" s="96">
        <f t="shared" si="2"/>
        <v>0.44921381578947372</v>
      </c>
      <c r="F35" s="96">
        <f t="shared" si="3"/>
        <v>0.51087061403508771</v>
      </c>
      <c r="G35" s="96">
        <f t="shared" si="4"/>
        <v>0.5416990131578947</v>
      </c>
      <c r="H35" s="96">
        <f t="shared" si="5"/>
        <v>0.56019605263157901</v>
      </c>
      <c r="I35" s="96">
        <f t="shared" si="6"/>
        <v>0.5725274122807017</v>
      </c>
      <c r="J35" s="96">
        <f t="shared" si="7"/>
        <v>0.58133552631578944</v>
      </c>
      <c r="K35" s="96">
        <f t="shared" si="8"/>
        <v>0.58794161184210525</v>
      </c>
      <c r="L35" s="96">
        <f t="shared" si="9"/>
        <v>0.58133552631578944</v>
      </c>
      <c r="M35" s="96">
        <f t="shared" si="10"/>
        <v>0.58662039473684213</v>
      </c>
      <c r="N35" s="96">
        <f t="shared" si="11"/>
        <v>0.59094437799043054</v>
      </c>
      <c r="O35" s="96">
        <f t="shared" si="12"/>
        <v>0.59344668311403515</v>
      </c>
      <c r="P35" s="96"/>
      <c r="Q35" s="96"/>
      <c r="R35" s="96"/>
      <c r="S35" s="96"/>
      <c r="T35" s="96"/>
      <c r="U35" s="96"/>
      <c r="V35" s="96"/>
      <c r="W35" s="96"/>
      <c r="X35" s="96"/>
      <c r="Y35" s="65"/>
      <c r="AT35" s="4"/>
      <c r="AU35" s="27">
        <f t="shared" si="163"/>
        <v>96</v>
      </c>
      <c r="AV35" s="28" t="str">
        <f t="shared" si="22"/>
        <v>(2450)</v>
      </c>
      <c r="AW35" s="19"/>
      <c r="AX35" s="20">
        <f t="shared" si="23"/>
        <v>2.3024375000000004</v>
      </c>
      <c r="AY35" s="21" t="str">
        <f t="shared" si="24"/>
        <v>(0.21)</v>
      </c>
      <c r="AZ35" s="22">
        <v>2</v>
      </c>
      <c r="BA35" s="22">
        <f t="shared" si="25"/>
        <v>3.5</v>
      </c>
      <c r="BB35" s="22">
        <v>0</v>
      </c>
      <c r="BC35" s="22">
        <f t="shared" si="26"/>
        <v>0</v>
      </c>
      <c r="BD35" s="22">
        <v>0</v>
      </c>
      <c r="BE35" s="22">
        <f t="shared" si="27"/>
        <v>0</v>
      </c>
      <c r="BF35" s="22">
        <f t="shared" si="28"/>
        <v>3.5</v>
      </c>
      <c r="BG35" s="23">
        <f t="shared" si="29"/>
        <v>5.5</v>
      </c>
      <c r="BH35" s="373">
        <f t="shared" si="30"/>
        <v>3.5583125000000004</v>
      </c>
      <c r="BI35" s="374" t="str">
        <f t="shared" si="31"/>
        <v>(0.33)</v>
      </c>
      <c r="BJ35" s="375">
        <v>2</v>
      </c>
      <c r="BK35" s="375">
        <f t="shared" si="32"/>
        <v>3.5</v>
      </c>
      <c r="BL35" s="375">
        <v>0</v>
      </c>
      <c r="BM35" s="375">
        <f t="shared" si="33"/>
        <v>0</v>
      </c>
      <c r="BN35" s="375">
        <v>0</v>
      </c>
      <c r="BO35" s="375">
        <f t="shared" si="34"/>
        <v>0</v>
      </c>
      <c r="BP35" s="375">
        <f t="shared" si="35"/>
        <v>3.5</v>
      </c>
      <c r="BQ35" s="376">
        <f t="shared" si="36"/>
        <v>8.5</v>
      </c>
      <c r="BR35" s="373">
        <f t="shared" si="37"/>
        <v>6.0700625000000006</v>
      </c>
      <c r="BS35" s="374" t="str">
        <f t="shared" si="38"/>
        <v>(0.56)</v>
      </c>
      <c r="BT35" s="375">
        <v>2</v>
      </c>
      <c r="BU35" s="375">
        <f t="shared" si="39"/>
        <v>3.5</v>
      </c>
      <c r="BV35" s="375">
        <v>0</v>
      </c>
      <c r="BW35" s="375">
        <f t="shared" si="40"/>
        <v>0</v>
      </c>
      <c r="BX35" s="375">
        <v>0</v>
      </c>
      <c r="BY35" s="375">
        <f t="shared" si="41"/>
        <v>0</v>
      </c>
      <c r="BZ35" s="375">
        <f t="shared" si="42"/>
        <v>3.5</v>
      </c>
      <c r="CA35" s="376">
        <f t="shared" si="43"/>
        <v>14.5</v>
      </c>
      <c r="CB35" s="373">
        <f t="shared" si="44"/>
        <v>8.5818125000000016</v>
      </c>
      <c r="CC35" s="374" t="str">
        <f t="shared" si="45"/>
        <v>(0.8)</v>
      </c>
      <c r="CD35" s="375">
        <v>2</v>
      </c>
      <c r="CE35" s="375">
        <f t="shared" si="46"/>
        <v>3.5</v>
      </c>
      <c r="CF35" s="375">
        <v>0</v>
      </c>
      <c r="CG35" s="375">
        <f t="shared" si="47"/>
        <v>0</v>
      </c>
      <c r="CH35" s="375">
        <v>0</v>
      </c>
      <c r="CI35" s="375">
        <f t="shared" si="48"/>
        <v>0</v>
      </c>
      <c r="CJ35" s="375">
        <f t="shared" si="49"/>
        <v>3.5</v>
      </c>
      <c r="CK35" s="376">
        <f t="shared" si="50"/>
        <v>20.5</v>
      </c>
      <c r="CL35" s="373">
        <f t="shared" si="51"/>
        <v>11.093562500000001</v>
      </c>
      <c r="CM35" s="374" t="str">
        <f t="shared" si="52"/>
        <v>(1.03)</v>
      </c>
      <c r="CN35" s="375">
        <v>2</v>
      </c>
      <c r="CO35" s="375">
        <f t="shared" si="53"/>
        <v>3.5</v>
      </c>
      <c r="CP35" s="375">
        <v>0</v>
      </c>
      <c r="CQ35" s="375">
        <f t="shared" si="54"/>
        <v>0</v>
      </c>
      <c r="CR35" s="375">
        <v>0</v>
      </c>
      <c r="CS35" s="375">
        <f t="shared" si="55"/>
        <v>0</v>
      </c>
      <c r="CT35" s="375">
        <f t="shared" si="56"/>
        <v>3.5</v>
      </c>
      <c r="CU35" s="376">
        <f t="shared" si="57"/>
        <v>26.5</v>
      </c>
      <c r="CV35" s="373">
        <f t="shared" si="58"/>
        <v>13.605312500000002</v>
      </c>
      <c r="CW35" s="374" t="str">
        <f t="shared" si="59"/>
        <v>(1.26)</v>
      </c>
      <c r="CX35" s="375">
        <v>2</v>
      </c>
      <c r="CY35" s="375">
        <f t="shared" si="60"/>
        <v>3.5</v>
      </c>
      <c r="CZ35" s="375">
        <v>0</v>
      </c>
      <c r="DA35" s="375">
        <f t="shared" si="61"/>
        <v>0</v>
      </c>
      <c r="DB35" s="375">
        <v>0</v>
      </c>
      <c r="DC35" s="375">
        <f t="shared" si="62"/>
        <v>0</v>
      </c>
      <c r="DD35" s="375">
        <f t="shared" si="63"/>
        <v>3.5</v>
      </c>
      <c r="DE35" s="376">
        <f t="shared" si="64"/>
        <v>32.5</v>
      </c>
      <c r="DF35" s="373">
        <f t="shared" si="65"/>
        <v>16.117062499999999</v>
      </c>
      <c r="DG35" s="374" t="str">
        <f t="shared" si="66"/>
        <v>(1.5)</v>
      </c>
      <c r="DH35" s="375">
        <v>2</v>
      </c>
      <c r="DI35" s="375">
        <f t="shared" si="67"/>
        <v>3.5</v>
      </c>
      <c r="DJ35" s="375">
        <v>0</v>
      </c>
      <c r="DK35" s="375">
        <f t="shared" si="68"/>
        <v>0</v>
      </c>
      <c r="DL35" s="375">
        <v>0</v>
      </c>
      <c r="DM35" s="375">
        <f t="shared" si="69"/>
        <v>0</v>
      </c>
      <c r="DN35" s="375">
        <f t="shared" si="70"/>
        <v>3.5</v>
      </c>
      <c r="DO35" s="376">
        <f t="shared" si="71"/>
        <v>38.5</v>
      </c>
      <c r="DP35" s="373">
        <f t="shared" si="72"/>
        <v>18.628812499999999</v>
      </c>
      <c r="DQ35" s="374" t="str">
        <f t="shared" si="73"/>
        <v>(1.73)</v>
      </c>
      <c r="DR35" s="375">
        <v>2</v>
      </c>
      <c r="DS35" s="375">
        <f t="shared" si="74"/>
        <v>3.5</v>
      </c>
      <c r="DT35" s="375">
        <v>0</v>
      </c>
      <c r="DU35" s="375">
        <f t="shared" si="75"/>
        <v>0</v>
      </c>
      <c r="DV35" s="375">
        <v>0</v>
      </c>
      <c r="DW35" s="375">
        <f t="shared" si="76"/>
        <v>0</v>
      </c>
      <c r="DX35" s="375">
        <f t="shared" si="77"/>
        <v>3.5</v>
      </c>
      <c r="DY35" s="376">
        <f t="shared" si="78"/>
        <v>44.5</v>
      </c>
      <c r="DZ35" s="373">
        <f t="shared" si="79"/>
        <v>20.721937500000003</v>
      </c>
      <c r="EA35" s="374" t="str">
        <f t="shared" si="80"/>
        <v>(1.93)</v>
      </c>
      <c r="EB35" s="375">
        <v>2</v>
      </c>
      <c r="EC35" s="375">
        <f t="shared" si="81"/>
        <v>3.5</v>
      </c>
      <c r="ED35" s="375">
        <v>0</v>
      </c>
      <c r="EE35" s="375">
        <f t="shared" si="82"/>
        <v>0</v>
      </c>
      <c r="EF35" s="375">
        <v>1</v>
      </c>
      <c r="EG35" s="375">
        <f t="shared" si="83"/>
        <v>1</v>
      </c>
      <c r="EH35" s="375">
        <f t="shared" si="84"/>
        <v>4.5</v>
      </c>
      <c r="EI35" s="376">
        <f t="shared" si="85"/>
        <v>49.5</v>
      </c>
      <c r="EJ35" s="373">
        <f t="shared" si="86"/>
        <v>23.233687500000002</v>
      </c>
      <c r="EK35" s="374" t="str">
        <f t="shared" si="87"/>
        <v>(2.16)</v>
      </c>
      <c r="EL35" s="375">
        <v>2</v>
      </c>
      <c r="EM35" s="375">
        <f t="shared" si="88"/>
        <v>3.5</v>
      </c>
      <c r="EN35" s="375">
        <v>0</v>
      </c>
      <c r="EO35" s="375">
        <f t="shared" si="89"/>
        <v>0</v>
      </c>
      <c r="EP35" s="375">
        <v>1</v>
      </c>
      <c r="EQ35" s="375">
        <f t="shared" si="90"/>
        <v>1</v>
      </c>
      <c r="ER35" s="375">
        <f t="shared" si="91"/>
        <v>4.5</v>
      </c>
      <c r="ES35" s="376">
        <f t="shared" si="92"/>
        <v>55.5</v>
      </c>
      <c r="ET35" s="373">
        <f t="shared" si="93"/>
        <v>25.745437500000001</v>
      </c>
      <c r="EU35" s="374" t="str">
        <f t="shared" si="94"/>
        <v>(2.39)</v>
      </c>
      <c r="EV35" s="375">
        <v>2</v>
      </c>
      <c r="EW35" s="375">
        <f t="shared" si="95"/>
        <v>3.5</v>
      </c>
      <c r="EX35" s="375">
        <v>0</v>
      </c>
      <c r="EY35" s="375">
        <f t="shared" si="96"/>
        <v>0</v>
      </c>
      <c r="EZ35" s="375">
        <v>1</v>
      </c>
      <c r="FA35" s="375">
        <f t="shared" si="97"/>
        <v>1</v>
      </c>
      <c r="FB35" s="375">
        <f t="shared" si="98"/>
        <v>4.5</v>
      </c>
      <c r="FC35" s="376">
        <f t="shared" si="99"/>
        <v>61.5</v>
      </c>
      <c r="FD35" s="373">
        <f t="shared" si="100"/>
        <v>28.204859375000002</v>
      </c>
      <c r="FE35" s="374" t="str">
        <f t="shared" si="101"/>
        <v>(2.62)</v>
      </c>
      <c r="FF35" s="375">
        <v>2</v>
      </c>
      <c r="FG35" s="375">
        <f t="shared" si="102"/>
        <v>3.5</v>
      </c>
      <c r="FH35" s="375">
        <v>1</v>
      </c>
      <c r="FI35" s="375">
        <f t="shared" si="103"/>
        <v>1.125</v>
      </c>
      <c r="FJ35" s="375">
        <v>0</v>
      </c>
      <c r="FK35" s="375">
        <f t="shared" si="104"/>
        <v>0</v>
      </c>
      <c r="FL35" s="375">
        <f t="shared" si="105"/>
        <v>4.625</v>
      </c>
      <c r="FM35" s="376">
        <f t="shared" si="106"/>
        <v>67.375</v>
      </c>
      <c r="FN35" s="31"/>
      <c r="FO35" s="31"/>
      <c r="FP35" s="32"/>
      <c r="FQ35" s="32"/>
      <c r="FR35" s="32"/>
      <c r="FS35" s="32"/>
      <c r="FT35" s="32"/>
      <c r="FU35" s="32"/>
      <c r="FV35" s="31"/>
      <c r="FW35" s="31"/>
      <c r="FX35" s="31"/>
      <c r="FY35" s="31"/>
      <c r="FZ35" s="31"/>
      <c r="GA35" s="31"/>
      <c r="GB35" s="31"/>
      <c r="GC35" s="31"/>
      <c r="GD35" s="31"/>
      <c r="GE35" s="31"/>
      <c r="GF35" s="31"/>
      <c r="GG35" s="31"/>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467">
        <v>22</v>
      </c>
      <c r="IR35" s="468">
        <v>2.645</v>
      </c>
      <c r="IS35" s="468">
        <v>2.645</v>
      </c>
      <c r="IT35" s="468">
        <v>2.0920000000000001</v>
      </c>
      <c r="IU35" s="468">
        <v>1.75</v>
      </c>
      <c r="IV35" s="468">
        <v>1</v>
      </c>
      <c r="IW35" s="468">
        <v>1.125</v>
      </c>
      <c r="IX35" s="8"/>
    </row>
    <row r="36" spans="2:258" ht="15.75" thickBot="1" x14ac:dyDescent="0.3">
      <c r="B36" s="103">
        <f t="shared" si="21"/>
        <v>120</v>
      </c>
      <c r="C36" s="227">
        <v>21</v>
      </c>
      <c r="D36" s="98">
        <f t="shared" si="1"/>
        <v>0.38781111111111116</v>
      </c>
      <c r="E36" s="96">
        <f t="shared" si="2"/>
        <v>0.44950833333333334</v>
      </c>
      <c r="F36" s="96">
        <f t="shared" si="3"/>
        <v>0.51120555555555547</v>
      </c>
      <c r="G36" s="96">
        <f t="shared" si="4"/>
        <v>0.54205416666666673</v>
      </c>
      <c r="H36" s="96">
        <f t="shared" si="5"/>
        <v>0.5605633333333333</v>
      </c>
      <c r="I36" s="96">
        <f t="shared" si="6"/>
        <v>0.57290277777777776</v>
      </c>
      <c r="J36" s="96">
        <f t="shared" si="7"/>
        <v>0.58171666666666666</v>
      </c>
      <c r="K36" s="96">
        <f t="shared" si="8"/>
        <v>0.58832708333333339</v>
      </c>
      <c r="L36" s="96">
        <f t="shared" si="9"/>
        <v>0.58171666666666666</v>
      </c>
      <c r="M36" s="96">
        <f t="shared" si="10"/>
        <v>0.587005</v>
      </c>
      <c r="N36" s="96">
        <f t="shared" si="11"/>
        <v>0.59133181818181813</v>
      </c>
      <c r="O36" s="96">
        <f t="shared" si="12"/>
        <v>0.59383576388888881</v>
      </c>
      <c r="P36" s="96"/>
      <c r="Q36" s="96"/>
      <c r="R36" s="96"/>
      <c r="S36" s="96"/>
      <c r="T36" s="96"/>
      <c r="U36" s="96"/>
      <c r="V36" s="96"/>
      <c r="W36" s="96"/>
      <c r="X36" s="96"/>
      <c r="Y36" s="65"/>
      <c r="AT36" s="4"/>
      <c r="AU36" s="27">
        <f t="shared" si="163"/>
        <v>102</v>
      </c>
      <c r="AV36" s="28" t="str">
        <f t="shared" si="22"/>
        <v>(2600)</v>
      </c>
      <c r="AW36" s="19"/>
      <c r="AX36" s="20">
        <f t="shared" si="23"/>
        <v>2.4582708333333336</v>
      </c>
      <c r="AY36" s="21" t="str">
        <f t="shared" si="24"/>
        <v>(0.23)</v>
      </c>
      <c r="AZ36" s="22">
        <v>2</v>
      </c>
      <c r="BA36" s="22">
        <f t="shared" si="25"/>
        <v>3.5</v>
      </c>
      <c r="BB36" s="22">
        <v>0</v>
      </c>
      <c r="BC36" s="22">
        <f t="shared" si="26"/>
        <v>0</v>
      </c>
      <c r="BD36" s="22">
        <v>0</v>
      </c>
      <c r="BE36" s="22">
        <f t="shared" si="27"/>
        <v>0</v>
      </c>
      <c r="BF36" s="22">
        <f t="shared" si="28"/>
        <v>3.5</v>
      </c>
      <c r="BG36" s="23">
        <f t="shared" si="29"/>
        <v>5.5</v>
      </c>
      <c r="BH36" s="373">
        <f t="shared" si="30"/>
        <v>3.7991458333333341</v>
      </c>
      <c r="BI36" s="374" t="str">
        <f t="shared" si="31"/>
        <v>(0.35)</v>
      </c>
      <c r="BJ36" s="375">
        <v>2</v>
      </c>
      <c r="BK36" s="375">
        <f t="shared" si="32"/>
        <v>3.5</v>
      </c>
      <c r="BL36" s="375">
        <v>0</v>
      </c>
      <c r="BM36" s="375">
        <f t="shared" si="33"/>
        <v>0</v>
      </c>
      <c r="BN36" s="375">
        <v>0</v>
      </c>
      <c r="BO36" s="375">
        <f t="shared" si="34"/>
        <v>0</v>
      </c>
      <c r="BP36" s="375">
        <f t="shared" si="35"/>
        <v>3.5</v>
      </c>
      <c r="BQ36" s="376">
        <f t="shared" si="36"/>
        <v>8.5</v>
      </c>
      <c r="BR36" s="373">
        <f t="shared" si="37"/>
        <v>6.4808958333333342</v>
      </c>
      <c r="BS36" s="374" t="str">
        <f t="shared" si="38"/>
        <v>(0.6)</v>
      </c>
      <c r="BT36" s="375">
        <v>2</v>
      </c>
      <c r="BU36" s="375">
        <f t="shared" si="39"/>
        <v>3.5</v>
      </c>
      <c r="BV36" s="375">
        <v>0</v>
      </c>
      <c r="BW36" s="375">
        <f t="shared" si="40"/>
        <v>0</v>
      </c>
      <c r="BX36" s="375">
        <v>0</v>
      </c>
      <c r="BY36" s="375">
        <f t="shared" si="41"/>
        <v>0</v>
      </c>
      <c r="BZ36" s="375">
        <f t="shared" si="42"/>
        <v>3.5</v>
      </c>
      <c r="CA36" s="376">
        <f t="shared" si="43"/>
        <v>14.5</v>
      </c>
      <c r="CB36" s="373">
        <f t="shared" si="44"/>
        <v>9.162645833333336</v>
      </c>
      <c r="CC36" s="374" t="str">
        <f t="shared" si="45"/>
        <v>(0.85)</v>
      </c>
      <c r="CD36" s="375">
        <v>2</v>
      </c>
      <c r="CE36" s="375">
        <f t="shared" si="46"/>
        <v>3.5</v>
      </c>
      <c r="CF36" s="375">
        <v>0</v>
      </c>
      <c r="CG36" s="375">
        <f t="shared" si="47"/>
        <v>0</v>
      </c>
      <c r="CH36" s="375">
        <v>0</v>
      </c>
      <c r="CI36" s="375">
        <f t="shared" si="48"/>
        <v>0</v>
      </c>
      <c r="CJ36" s="375">
        <f t="shared" si="49"/>
        <v>3.5</v>
      </c>
      <c r="CK36" s="376">
        <f t="shared" si="50"/>
        <v>20.5</v>
      </c>
      <c r="CL36" s="373">
        <f t="shared" si="51"/>
        <v>11.844395833333335</v>
      </c>
      <c r="CM36" s="374" t="str">
        <f t="shared" si="52"/>
        <v>(1.1)</v>
      </c>
      <c r="CN36" s="375">
        <v>2</v>
      </c>
      <c r="CO36" s="375">
        <f t="shared" si="53"/>
        <v>3.5</v>
      </c>
      <c r="CP36" s="375">
        <v>0</v>
      </c>
      <c r="CQ36" s="375">
        <f t="shared" si="54"/>
        <v>0</v>
      </c>
      <c r="CR36" s="375">
        <v>0</v>
      </c>
      <c r="CS36" s="375">
        <f t="shared" si="55"/>
        <v>0</v>
      </c>
      <c r="CT36" s="375">
        <f t="shared" si="56"/>
        <v>3.5</v>
      </c>
      <c r="CU36" s="376">
        <f t="shared" si="57"/>
        <v>26.5</v>
      </c>
      <c r="CV36" s="373">
        <f t="shared" si="58"/>
        <v>14.526145833333336</v>
      </c>
      <c r="CW36" s="374" t="str">
        <f t="shared" si="59"/>
        <v>(1.35)</v>
      </c>
      <c r="CX36" s="375">
        <v>2</v>
      </c>
      <c r="CY36" s="375">
        <f t="shared" si="60"/>
        <v>3.5</v>
      </c>
      <c r="CZ36" s="375">
        <v>0</v>
      </c>
      <c r="DA36" s="375">
        <f t="shared" si="61"/>
        <v>0</v>
      </c>
      <c r="DB36" s="375">
        <v>0</v>
      </c>
      <c r="DC36" s="375">
        <f t="shared" si="62"/>
        <v>0</v>
      </c>
      <c r="DD36" s="375">
        <f t="shared" si="63"/>
        <v>3.5</v>
      </c>
      <c r="DE36" s="376">
        <f t="shared" si="64"/>
        <v>32.5</v>
      </c>
      <c r="DF36" s="373">
        <f t="shared" si="65"/>
        <v>17.207895833333335</v>
      </c>
      <c r="DG36" s="374" t="str">
        <f t="shared" si="66"/>
        <v>(1.6)</v>
      </c>
      <c r="DH36" s="375">
        <v>2</v>
      </c>
      <c r="DI36" s="375">
        <f t="shared" si="67"/>
        <v>3.5</v>
      </c>
      <c r="DJ36" s="375">
        <v>0</v>
      </c>
      <c r="DK36" s="375">
        <f t="shared" si="68"/>
        <v>0</v>
      </c>
      <c r="DL36" s="375">
        <v>0</v>
      </c>
      <c r="DM36" s="375">
        <f t="shared" si="69"/>
        <v>0</v>
      </c>
      <c r="DN36" s="375">
        <f t="shared" si="70"/>
        <v>3.5</v>
      </c>
      <c r="DO36" s="376">
        <f t="shared" si="71"/>
        <v>38.5</v>
      </c>
      <c r="DP36" s="373">
        <f t="shared" si="72"/>
        <v>19.889645833333336</v>
      </c>
      <c r="DQ36" s="374" t="str">
        <f t="shared" si="73"/>
        <v>(1.85)</v>
      </c>
      <c r="DR36" s="375">
        <v>2</v>
      </c>
      <c r="DS36" s="375">
        <f t="shared" si="74"/>
        <v>3.5</v>
      </c>
      <c r="DT36" s="375">
        <v>0</v>
      </c>
      <c r="DU36" s="375">
        <f t="shared" si="75"/>
        <v>0</v>
      </c>
      <c r="DV36" s="375">
        <v>0</v>
      </c>
      <c r="DW36" s="375">
        <f t="shared" si="76"/>
        <v>0</v>
      </c>
      <c r="DX36" s="375">
        <f t="shared" si="77"/>
        <v>3.5</v>
      </c>
      <c r="DY36" s="376">
        <f t="shared" si="78"/>
        <v>44.5</v>
      </c>
      <c r="DZ36" s="373">
        <f t="shared" si="79"/>
        <v>22.124437500000003</v>
      </c>
      <c r="EA36" s="374" t="str">
        <f t="shared" si="80"/>
        <v>(2.06)</v>
      </c>
      <c r="EB36" s="375">
        <v>2</v>
      </c>
      <c r="EC36" s="375">
        <f t="shared" si="81"/>
        <v>3.5</v>
      </c>
      <c r="ED36" s="375">
        <v>0</v>
      </c>
      <c r="EE36" s="375">
        <f t="shared" si="82"/>
        <v>0</v>
      </c>
      <c r="EF36" s="375">
        <v>1</v>
      </c>
      <c r="EG36" s="375">
        <f t="shared" si="83"/>
        <v>1</v>
      </c>
      <c r="EH36" s="375">
        <f t="shared" si="84"/>
        <v>4.5</v>
      </c>
      <c r="EI36" s="376">
        <f t="shared" si="85"/>
        <v>49.5</v>
      </c>
      <c r="EJ36" s="373">
        <f t="shared" si="86"/>
        <v>24.806187500000004</v>
      </c>
      <c r="EK36" s="374" t="str">
        <f t="shared" si="87"/>
        <v>(2.30)</v>
      </c>
      <c r="EL36" s="375">
        <v>2</v>
      </c>
      <c r="EM36" s="375">
        <f t="shared" si="88"/>
        <v>3.5</v>
      </c>
      <c r="EN36" s="375">
        <v>0</v>
      </c>
      <c r="EO36" s="375">
        <f t="shared" si="89"/>
        <v>0</v>
      </c>
      <c r="EP36" s="375">
        <v>1</v>
      </c>
      <c r="EQ36" s="375">
        <f t="shared" si="90"/>
        <v>1</v>
      </c>
      <c r="ER36" s="375">
        <f t="shared" si="91"/>
        <v>4.5</v>
      </c>
      <c r="ES36" s="376">
        <f t="shared" si="92"/>
        <v>55.5</v>
      </c>
      <c r="ET36" s="373">
        <f t="shared" si="93"/>
        <v>27.487937500000001</v>
      </c>
      <c r="EU36" s="374" t="str">
        <f t="shared" si="94"/>
        <v>(2.55)</v>
      </c>
      <c r="EV36" s="375">
        <v>2</v>
      </c>
      <c r="EW36" s="375">
        <f t="shared" si="95"/>
        <v>3.5</v>
      </c>
      <c r="EX36" s="375">
        <v>0</v>
      </c>
      <c r="EY36" s="375">
        <f t="shared" si="96"/>
        <v>0</v>
      </c>
      <c r="EZ36" s="375">
        <v>1</v>
      </c>
      <c r="FA36" s="375">
        <f t="shared" si="97"/>
        <v>1</v>
      </c>
      <c r="FB36" s="375">
        <f t="shared" si="98"/>
        <v>4.5</v>
      </c>
      <c r="FC36" s="376">
        <f t="shared" si="99"/>
        <v>61.5</v>
      </c>
      <c r="FD36" s="373">
        <f t="shared" si="100"/>
        <v>30.113817708333336</v>
      </c>
      <c r="FE36" s="374" t="str">
        <f t="shared" si="101"/>
        <v>(2.80)</v>
      </c>
      <c r="FF36" s="375">
        <v>2</v>
      </c>
      <c r="FG36" s="375">
        <f t="shared" si="102"/>
        <v>3.5</v>
      </c>
      <c r="FH36" s="375">
        <v>1</v>
      </c>
      <c r="FI36" s="375">
        <f t="shared" si="103"/>
        <v>1.125</v>
      </c>
      <c r="FJ36" s="375">
        <v>0</v>
      </c>
      <c r="FK36" s="375">
        <f t="shared" si="104"/>
        <v>0</v>
      </c>
      <c r="FL36" s="375">
        <f t="shared" si="105"/>
        <v>4.625</v>
      </c>
      <c r="FM36" s="376">
        <f t="shared" si="106"/>
        <v>67.375</v>
      </c>
      <c r="FN36" s="31"/>
      <c r="FO36" s="31"/>
      <c r="FP36" s="32"/>
      <c r="FQ36" s="32"/>
      <c r="FR36" s="32"/>
      <c r="FS36" s="32"/>
      <c r="FT36" s="32"/>
      <c r="FU36" s="32"/>
      <c r="FV36" s="31"/>
      <c r="FW36" s="31"/>
      <c r="FX36" s="31"/>
      <c r="FY36" s="31"/>
      <c r="FZ36" s="31"/>
      <c r="GA36" s="31"/>
      <c r="GB36" s="31"/>
      <c r="GC36" s="31"/>
      <c r="GD36" s="31"/>
      <c r="GE36" s="31"/>
      <c r="GF36" s="31"/>
      <c r="GG36" s="31"/>
      <c r="GH36" s="31"/>
      <c r="GI36" s="31"/>
      <c r="GJ36" s="32"/>
      <c r="GK36" s="32"/>
      <c r="GL36" s="32"/>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2"/>
      <c r="HQ36" s="32"/>
      <c r="HR36" s="32"/>
      <c r="HS36" s="32"/>
      <c r="HT36" s="32"/>
      <c r="HU36" s="32"/>
      <c r="HV36" s="32"/>
      <c r="HW36" s="32"/>
      <c r="HX36" s="32"/>
      <c r="HY36" s="32"/>
      <c r="HZ36" s="32"/>
      <c r="IA36" s="32"/>
      <c r="IB36" s="32"/>
      <c r="IC36" s="32"/>
      <c r="ID36" s="32"/>
      <c r="IE36" s="32"/>
      <c r="IF36" s="31"/>
      <c r="IG36" s="31"/>
      <c r="IH36" s="32"/>
      <c r="II36" s="32"/>
      <c r="IJ36" s="32"/>
      <c r="IK36" s="32"/>
      <c r="IL36" s="32"/>
      <c r="IM36" s="32"/>
      <c r="IN36" s="33"/>
      <c r="IO36" s="33"/>
      <c r="IP36" s="33"/>
      <c r="IQ36" s="467">
        <v>24</v>
      </c>
      <c r="IR36" s="468">
        <v>2.645</v>
      </c>
      <c r="IS36" s="468">
        <v>2.645</v>
      </c>
      <c r="IT36" s="468">
        <v>0.88200000000000001</v>
      </c>
      <c r="IU36" s="468">
        <v>1.75</v>
      </c>
      <c r="IV36" s="468">
        <v>1</v>
      </c>
      <c r="IW36" s="468">
        <v>1.125</v>
      </c>
      <c r="IX36" s="8"/>
    </row>
    <row r="37" spans="2:258" ht="15.75" thickBot="1" x14ac:dyDescent="0.3">
      <c r="B37" s="66"/>
      <c r="C37" s="96"/>
      <c r="D37" s="96"/>
      <c r="E37" s="96"/>
      <c r="F37" s="96"/>
      <c r="G37" s="96"/>
      <c r="H37" s="96"/>
      <c r="I37" s="96"/>
      <c r="J37" s="96"/>
      <c r="K37" s="96"/>
      <c r="L37" s="96"/>
      <c r="M37" s="96"/>
      <c r="N37" s="96"/>
      <c r="O37" s="96"/>
      <c r="P37" s="96"/>
      <c r="Q37" s="96"/>
      <c r="R37" s="96"/>
      <c r="S37" s="96"/>
      <c r="T37" s="96"/>
      <c r="U37" s="96"/>
      <c r="V37" s="96"/>
      <c r="W37" s="96"/>
      <c r="X37" s="96"/>
      <c r="Y37" s="65"/>
      <c r="AT37" s="4"/>
      <c r="AU37" s="27">
        <f t="shared" si="163"/>
        <v>108</v>
      </c>
      <c r="AV37" s="28" t="str">
        <f t="shared" si="22"/>
        <v>(2750)</v>
      </c>
      <c r="AW37" s="19"/>
      <c r="AX37" s="20">
        <f t="shared" si="23"/>
        <v>2.6055104166666663</v>
      </c>
      <c r="AY37" s="21" t="str">
        <f t="shared" si="24"/>
        <v>(0.24)</v>
      </c>
      <c r="AZ37" s="22">
        <v>2</v>
      </c>
      <c r="BA37" s="22">
        <f t="shared" si="25"/>
        <v>3.5</v>
      </c>
      <c r="BB37" s="22">
        <v>0</v>
      </c>
      <c r="BC37" s="22">
        <f t="shared" si="26"/>
        <v>0</v>
      </c>
      <c r="BD37" s="22">
        <v>0</v>
      </c>
      <c r="BE37" s="22">
        <f t="shared" si="27"/>
        <v>0</v>
      </c>
      <c r="BF37" s="22">
        <f t="shared" si="28"/>
        <v>3.5</v>
      </c>
      <c r="BG37" s="23">
        <f t="shared" si="29"/>
        <v>5.5</v>
      </c>
      <c r="BH37" s="373">
        <f t="shared" si="30"/>
        <v>4.0266979166666665</v>
      </c>
      <c r="BI37" s="374" t="str">
        <f t="shared" si="31"/>
        <v>(0.37)</v>
      </c>
      <c r="BJ37" s="375">
        <v>2</v>
      </c>
      <c r="BK37" s="375">
        <f t="shared" si="32"/>
        <v>3.5</v>
      </c>
      <c r="BL37" s="375">
        <v>0</v>
      </c>
      <c r="BM37" s="375">
        <f t="shared" si="33"/>
        <v>0</v>
      </c>
      <c r="BN37" s="375">
        <v>0</v>
      </c>
      <c r="BO37" s="375">
        <f t="shared" si="34"/>
        <v>0</v>
      </c>
      <c r="BP37" s="375">
        <f t="shared" si="35"/>
        <v>3.5</v>
      </c>
      <c r="BQ37" s="376">
        <f t="shared" si="36"/>
        <v>8.5</v>
      </c>
      <c r="BR37" s="373">
        <f t="shared" si="37"/>
        <v>6.8690729166666662</v>
      </c>
      <c r="BS37" s="374" t="str">
        <f t="shared" si="38"/>
        <v>(0.64)</v>
      </c>
      <c r="BT37" s="375">
        <v>2</v>
      </c>
      <c r="BU37" s="375">
        <f t="shared" si="39"/>
        <v>3.5</v>
      </c>
      <c r="BV37" s="375">
        <v>0</v>
      </c>
      <c r="BW37" s="375">
        <f t="shared" si="40"/>
        <v>0</v>
      </c>
      <c r="BX37" s="375">
        <v>0</v>
      </c>
      <c r="BY37" s="375">
        <f t="shared" si="41"/>
        <v>0</v>
      </c>
      <c r="BZ37" s="375">
        <f t="shared" si="42"/>
        <v>3.5</v>
      </c>
      <c r="CA37" s="376">
        <f t="shared" si="43"/>
        <v>14.5</v>
      </c>
      <c r="CB37" s="373">
        <f t="shared" si="44"/>
        <v>9.7114479166666658</v>
      </c>
      <c r="CC37" s="374" t="str">
        <f t="shared" si="45"/>
        <v>(0.9)</v>
      </c>
      <c r="CD37" s="375">
        <v>2</v>
      </c>
      <c r="CE37" s="375">
        <f t="shared" si="46"/>
        <v>3.5</v>
      </c>
      <c r="CF37" s="375">
        <v>0</v>
      </c>
      <c r="CG37" s="375">
        <f t="shared" si="47"/>
        <v>0</v>
      </c>
      <c r="CH37" s="375">
        <v>0</v>
      </c>
      <c r="CI37" s="375">
        <f t="shared" si="48"/>
        <v>0</v>
      </c>
      <c r="CJ37" s="375">
        <f t="shared" si="49"/>
        <v>3.5</v>
      </c>
      <c r="CK37" s="376">
        <f t="shared" si="50"/>
        <v>20.5</v>
      </c>
      <c r="CL37" s="373">
        <f t="shared" si="51"/>
        <v>12.553822916666666</v>
      </c>
      <c r="CM37" s="374" t="str">
        <f t="shared" si="52"/>
        <v>(1.17)</v>
      </c>
      <c r="CN37" s="375">
        <v>2</v>
      </c>
      <c r="CO37" s="375">
        <f t="shared" si="53"/>
        <v>3.5</v>
      </c>
      <c r="CP37" s="375">
        <v>0</v>
      </c>
      <c r="CQ37" s="375">
        <f t="shared" si="54"/>
        <v>0</v>
      </c>
      <c r="CR37" s="375">
        <v>0</v>
      </c>
      <c r="CS37" s="375">
        <f t="shared" si="55"/>
        <v>0</v>
      </c>
      <c r="CT37" s="375">
        <f t="shared" si="56"/>
        <v>3.5</v>
      </c>
      <c r="CU37" s="376">
        <f t="shared" si="57"/>
        <v>26.5</v>
      </c>
      <c r="CV37" s="373">
        <f t="shared" si="58"/>
        <v>15.396197916666665</v>
      </c>
      <c r="CW37" s="374" t="str">
        <f t="shared" si="59"/>
        <v>(1.43)</v>
      </c>
      <c r="CX37" s="375">
        <v>2</v>
      </c>
      <c r="CY37" s="375">
        <f t="shared" si="60"/>
        <v>3.5</v>
      </c>
      <c r="CZ37" s="375">
        <v>0</v>
      </c>
      <c r="DA37" s="375">
        <f t="shared" si="61"/>
        <v>0</v>
      </c>
      <c r="DB37" s="375">
        <v>0</v>
      </c>
      <c r="DC37" s="375">
        <f t="shared" si="62"/>
        <v>0</v>
      </c>
      <c r="DD37" s="375">
        <f t="shared" si="63"/>
        <v>3.5</v>
      </c>
      <c r="DE37" s="376">
        <f t="shared" si="64"/>
        <v>32.5</v>
      </c>
      <c r="DF37" s="373">
        <f t="shared" si="65"/>
        <v>18.238572916666666</v>
      </c>
      <c r="DG37" s="374" t="str">
        <f t="shared" si="66"/>
        <v>(1.69)</v>
      </c>
      <c r="DH37" s="375">
        <v>2</v>
      </c>
      <c r="DI37" s="375">
        <f t="shared" si="67"/>
        <v>3.5</v>
      </c>
      <c r="DJ37" s="375">
        <v>0</v>
      </c>
      <c r="DK37" s="375">
        <f t="shared" si="68"/>
        <v>0</v>
      </c>
      <c r="DL37" s="375">
        <v>0</v>
      </c>
      <c r="DM37" s="375">
        <f t="shared" si="69"/>
        <v>0</v>
      </c>
      <c r="DN37" s="375">
        <f t="shared" si="70"/>
        <v>3.5</v>
      </c>
      <c r="DO37" s="376">
        <f t="shared" si="71"/>
        <v>38.5</v>
      </c>
      <c r="DP37" s="373">
        <f t="shared" si="72"/>
        <v>21.080947916666666</v>
      </c>
      <c r="DQ37" s="374" t="str">
        <f t="shared" si="73"/>
        <v>(1.96)</v>
      </c>
      <c r="DR37" s="375">
        <v>2</v>
      </c>
      <c r="DS37" s="375">
        <f t="shared" si="74"/>
        <v>3.5</v>
      </c>
      <c r="DT37" s="375">
        <v>0</v>
      </c>
      <c r="DU37" s="375">
        <f t="shared" si="75"/>
        <v>0</v>
      </c>
      <c r="DV37" s="375">
        <v>0</v>
      </c>
      <c r="DW37" s="375">
        <f t="shared" si="76"/>
        <v>0</v>
      </c>
      <c r="DX37" s="375">
        <f t="shared" si="77"/>
        <v>3.5</v>
      </c>
      <c r="DY37" s="376">
        <f t="shared" si="78"/>
        <v>44.5</v>
      </c>
      <c r="DZ37" s="373">
        <f t="shared" si="79"/>
        <v>23.449593750000002</v>
      </c>
      <c r="EA37" s="374" t="str">
        <f t="shared" si="80"/>
        <v>(2.18)</v>
      </c>
      <c r="EB37" s="375">
        <v>2</v>
      </c>
      <c r="EC37" s="375">
        <f t="shared" si="81"/>
        <v>3.5</v>
      </c>
      <c r="ED37" s="375">
        <v>0</v>
      </c>
      <c r="EE37" s="375">
        <f t="shared" si="82"/>
        <v>0</v>
      </c>
      <c r="EF37" s="375">
        <v>1</v>
      </c>
      <c r="EG37" s="375">
        <f t="shared" si="83"/>
        <v>1</v>
      </c>
      <c r="EH37" s="375">
        <f t="shared" si="84"/>
        <v>4.5</v>
      </c>
      <c r="EI37" s="376">
        <f t="shared" si="85"/>
        <v>49.5</v>
      </c>
      <c r="EJ37" s="373">
        <f t="shared" si="86"/>
        <v>26.291968749999999</v>
      </c>
      <c r="EK37" s="374" t="str">
        <f t="shared" si="87"/>
        <v>(2.44)</v>
      </c>
      <c r="EL37" s="375">
        <v>2</v>
      </c>
      <c r="EM37" s="375">
        <f t="shared" si="88"/>
        <v>3.5</v>
      </c>
      <c r="EN37" s="375">
        <v>0</v>
      </c>
      <c r="EO37" s="375">
        <f t="shared" si="89"/>
        <v>0</v>
      </c>
      <c r="EP37" s="375">
        <v>1</v>
      </c>
      <c r="EQ37" s="375">
        <f t="shared" si="90"/>
        <v>1</v>
      </c>
      <c r="ER37" s="375">
        <f t="shared" si="91"/>
        <v>4.5</v>
      </c>
      <c r="ES37" s="376">
        <f t="shared" si="92"/>
        <v>55.5</v>
      </c>
      <c r="ET37" s="373">
        <f t="shared" si="93"/>
        <v>29.134343750000003</v>
      </c>
      <c r="EU37" s="374" t="str">
        <f t="shared" si="94"/>
        <v>(2.71)</v>
      </c>
      <c r="EV37" s="375">
        <v>2</v>
      </c>
      <c r="EW37" s="375">
        <f t="shared" si="95"/>
        <v>3.5</v>
      </c>
      <c r="EX37" s="375">
        <v>0</v>
      </c>
      <c r="EY37" s="375">
        <f t="shared" si="96"/>
        <v>0</v>
      </c>
      <c r="EZ37" s="375">
        <v>1</v>
      </c>
      <c r="FA37" s="375">
        <f t="shared" si="97"/>
        <v>1</v>
      </c>
      <c r="FB37" s="375">
        <f t="shared" si="98"/>
        <v>4.5</v>
      </c>
      <c r="FC37" s="376">
        <f t="shared" si="99"/>
        <v>61.5</v>
      </c>
      <c r="FD37" s="373">
        <f t="shared" si="100"/>
        <v>31.917502604166664</v>
      </c>
      <c r="FE37" s="374" t="str">
        <f t="shared" si="101"/>
        <v>(2.97)</v>
      </c>
      <c r="FF37" s="375">
        <v>2</v>
      </c>
      <c r="FG37" s="375">
        <f t="shared" si="102"/>
        <v>3.5</v>
      </c>
      <c r="FH37" s="375">
        <v>1</v>
      </c>
      <c r="FI37" s="375">
        <f t="shared" si="103"/>
        <v>1.125</v>
      </c>
      <c r="FJ37" s="375">
        <v>0</v>
      </c>
      <c r="FK37" s="375">
        <f t="shared" si="104"/>
        <v>0</v>
      </c>
      <c r="FL37" s="375">
        <f t="shared" si="105"/>
        <v>4.625</v>
      </c>
      <c r="FM37" s="376">
        <f t="shared" si="106"/>
        <v>67.375</v>
      </c>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467">
        <v>25</v>
      </c>
      <c r="IR37" s="468">
        <v>2.645</v>
      </c>
      <c r="IS37" s="468">
        <v>2.645</v>
      </c>
      <c r="IT37" s="468">
        <v>2.0920000000000001</v>
      </c>
      <c r="IU37" s="468">
        <v>1.75</v>
      </c>
      <c r="IV37" s="468">
        <v>1</v>
      </c>
      <c r="IW37" s="468">
        <v>1.125</v>
      </c>
      <c r="IX37" s="8"/>
    </row>
    <row r="38" spans="2:258" ht="15.75" thickBot="1" x14ac:dyDescent="0.3">
      <c r="B38" s="66"/>
      <c r="C38" s="64"/>
      <c r="D38" s="64"/>
      <c r="E38" s="64"/>
      <c r="F38" s="64"/>
      <c r="G38" s="64"/>
      <c r="H38" s="64"/>
      <c r="I38" s="64"/>
      <c r="J38" s="64"/>
      <c r="K38" s="64"/>
      <c r="L38" s="64"/>
      <c r="M38" s="64"/>
      <c r="N38" s="64"/>
      <c r="O38" s="64"/>
      <c r="P38" s="64"/>
      <c r="Q38" s="64"/>
      <c r="R38" s="64"/>
      <c r="S38" s="64"/>
      <c r="T38" s="64"/>
      <c r="U38" s="64"/>
      <c r="V38" s="64"/>
      <c r="W38" s="64"/>
      <c r="X38" s="96"/>
      <c r="Y38" s="65"/>
      <c r="AT38" s="4"/>
      <c r="AU38" s="27">
        <f t="shared" si="163"/>
        <v>114</v>
      </c>
      <c r="AV38" s="28" t="str">
        <f t="shared" si="22"/>
        <v>(2900)</v>
      </c>
      <c r="AW38" s="19"/>
      <c r="AX38" s="20">
        <f t="shared" si="23"/>
        <v>2.76134375</v>
      </c>
      <c r="AY38" s="21" t="str">
        <f t="shared" si="24"/>
        <v>(0.26)</v>
      </c>
      <c r="AZ38" s="22">
        <v>2</v>
      </c>
      <c r="BA38" s="22">
        <f t="shared" si="25"/>
        <v>3.5</v>
      </c>
      <c r="BB38" s="22">
        <v>0</v>
      </c>
      <c r="BC38" s="22">
        <f t="shared" si="26"/>
        <v>0</v>
      </c>
      <c r="BD38" s="22">
        <v>0</v>
      </c>
      <c r="BE38" s="22">
        <f t="shared" si="27"/>
        <v>0</v>
      </c>
      <c r="BF38" s="22">
        <f t="shared" si="28"/>
        <v>3.5</v>
      </c>
      <c r="BG38" s="23">
        <f t="shared" si="29"/>
        <v>5.5</v>
      </c>
      <c r="BH38" s="373">
        <f t="shared" si="30"/>
        <v>4.2675312500000002</v>
      </c>
      <c r="BI38" s="374" t="str">
        <f t="shared" si="31"/>
        <v>(0.40)</v>
      </c>
      <c r="BJ38" s="375">
        <v>2</v>
      </c>
      <c r="BK38" s="375">
        <f t="shared" si="32"/>
        <v>3.5</v>
      </c>
      <c r="BL38" s="375">
        <v>0</v>
      </c>
      <c r="BM38" s="375">
        <f t="shared" si="33"/>
        <v>0</v>
      </c>
      <c r="BN38" s="375">
        <v>0</v>
      </c>
      <c r="BO38" s="375">
        <f t="shared" si="34"/>
        <v>0</v>
      </c>
      <c r="BP38" s="375">
        <f t="shared" si="35"/>
        <v>3.5</v>
      </c>
      <c r="BQ38" s="376">
        <f t="shared" si="36"/>
        <v>8.5</v>
      </c>
      <c r="BR38" s="373">
        <f t="shared" si="37"/>
        <v>7.2799062499999998</v>
      </c>
      <c r="BS38" s="374" t="str">
        <f t="shared" si="38"/>
        <v>(0.68)</v>
      </c>
      <c r="BT38" s="375">
        <v>2</v>
      </c>
      <c r="BU38" s="375">
        <f t="shared" si="39"/>
        <v>3.5</v>
      </c>
      <c r="BV38" s="375">
        <v>0</v>
      </c>
      <c r="BW38" s="375">
        <f t="shared" si="40"/>
        <v>0</v>
      </c>
      <c r="BX38" s="375">
        <v>0</v>
      </c>
      <c r="BY38" s="375">
        <f t="shared" si="41"/>
        <v>0</v>
      </c>
      <c r="BZ38" s="375">
        <f t="shared" si="42"/>
        <v>3.5</v>
      </c>
      <c r="CA38" s="376">
        <f t="shared" si="43"/>
        <v>14.5</v>
      </c>
      <c r="CB38" s="373">
        <f t="shared" si="44"/>
        <v>10.292281249999998</v>
      </c>
      <c r="CC38" s="374" t="str">
        <f t="shared" si="45"/>
        <v>(0.96)</v>
      </c>
      <c r="CD38" s="375">
        <v>2</v>
      </c>
      <c r="CE38" s="375">
        <f t="shared" si="46"/>
        <v>3.5</v>
      </c>
      <c r="CF38" s="375">
        <v>0</v>
      </c>
      <c r="CG38" s="375">
        <f t="shared" si="47"/>
        <v>0</v>
      </c>
      <c r="CH38" s="375">
        <v>0</v>
      </c>
      <c r="CI38" s="375">
        <f t="shared" si="48"/>
        <v>0</v>
      </c>
      <c r="CJ38" s="375">
        <f t="shared" si="49"/>
        <v>3.5</v>
      </c>
      <c r="CK38" s="376">
        <f t="shared" si="50"/>
        <v>20.5</v>
      </c>
      <c r="CL38" s="373">
        <f t="shared" si="51"/>
        <v>13.304656250000001</v>
      </c>
      <c r="CM38" s="374" t="str">
        <f t="shared" si="52"/>
        <v>(1.24)</v>
      </c>
      <c r="CN38" s="375">
        <v>2</v>
      </c>
      <c r="CO38" s="375">
        <f t="shared" si="53"/>
        <v>3.5</v>
      </c>
      <c r="CP38" s="375">
        <v>0</v>
      </c>
      <c r="CQ38" s="375">
        <f t="shared" si="54"/>
        <v>0</v>
      </c>
      <c r="CR38" s="375">
        <v>0</v>
      </c>
      <c r="CS38" s="375">
        <f t="shared" si="55"/>
        <v>0</v>
      </c>
      <c r="CT38" s="375">
        <f t="shared" si="56"/>
        <v>3.5</v>
      </c>
      <c r="CU38" s="376">
        <f t="shared" si="57"/>
        <v>26.5</v>
      </c>
      <c r="CV38" s="373">
        <f t="shared" si="58"/>
        <v>16.317031249999999</v>
      </c>
      <c r="CW38" s="374" t="str">
        <f t="shared" si="59"/>
        <v>(1.52)</v>
      </c>
      <c r="CX38" s="375">
        <v>2</v>
      </c>
      <c r="CY38" s="375">
        <f t="shared" si="60"/>
        <v>3.5</v>
      </c>
      <c r="CZ38" s="375">
        <v>0</v>
      </c>
      <c r="DA38" s="375">
        <f t="shared" si="61"/>
        <v>0</v>
      </c>
      <c r="DB38" s="375">
        <v>0</v>
      </c>
      <c r="DC38" s="375">
        <f t="shared" si="62"/>
        <v>0</v>
      </c>
      <c r="DD38" s="375">
        <f t="shared" si="63"/>
        <v>3.5</v>
      </c>
      <c r="DE38" s="376">
        <f t="shared" si="64"/>
        <v>32.5</v>
      </c>
      <c r="DF38" s="373">
        <f t="shared" si="65"/>
        <v>19.329406249999998</v>
      </c>
      <c r="DG38" s="374" t="str">
        <f t="shared" si="66"/>
        <v>(1.8)</v>
      </c>
      <c r="DH38" s="375">
        <v>2</v>
      </c>
      <c r="DI38" s="375">
        <f t="shared" si="67"/>
        <v>3.5</v>
      </c>
      <c r="DJ38" s="375">
        <v>0</v>
      </c>
      <c r="DK38" s="375">
        <f t="shared" si="68"/>
        <v>0</v>
      </c>
      <c r="DL38" s="375">
        <v>0</v>
      </c>
      <c r="DM38" s="375">
        <f t="shared" si="69"/>
        <v>0</v>
      </c>
      <c r="DN38" s="375">
        <f t="shared" si="70"/>
        <v>3.5</v>
      </c>
      <c r="DO38" s="376">
        <f t="shared" si="71"/>
        <v>38.5</v>
      </c>
      <c r="DP38" s="373">
        <f t="shared" si="72"/>
        <v>22.34178125</v>
      </c>
      <c r="DQ38" s="374" t="str">
        <f t="shared" si="73"/>
        <v>(2.08)</v>
      </c>
      <c r="DR38" s="375">
        <v>2</v>
      </c>
      <c r="DS38" s="375">
        <f t="shared" si="74"/>
        <v>3.5</v>
      </c>
      <c r="DT38" s="375">
        <v>0</v>
      </c>
      <c r="DU38" s="375">
        <f t="shared" si="75"/>
        <v>0</v>
      </c>
      <c r="DV38" s="375">
        <v>0</v>
      </c>
      <c r="DW38" s="375">
        <f t="shared" si="76"/>
        <v>0</v>
      </c>
      <c r="DX38" s="375">
        <f t="shared" si="77"/>
        <v>3.5</v>
      </c>
      <c r="DY38" s="376">
        <f t="shared" si="78"/>
        <v>44.5</v>
      </c>
      <c r="DZ38" s="373">
        <f t="shared" si="79"/>
        <v>24.852093749999998</v>
      </c>
      <c r="EA38" s="374" t="str">
        <f t="shared" si="80"/>
        <v>(2.31)</v>
      </c>
      <c r="EB38" s="375">
        <v>2</v>
      </c>
      <c r="EC38" s="375">
        <f t="shared" si="81"/>
        <v>3.5</v>
      </c>
      <c r="ED38" s="375">
        <v>0</v>
      </c>
      <c r="EE38" s="375">
        <f t="shared" si="82"/>
        <v>0</v>
      </c>
      <c r="EF38" s="375">
        <v>1</v>
      </c>
      <c r="EG38" s="375">
        <f t="shared" si="83"/>
        <v>1</v>
      </c>
      <c r="EH38" s="375">
        <f t="shared" si="84"/>
        <v>4.5</v>
      </c>
      <c r="EI38" s="376">
        <f t="shared" si="85"/>
        <v>49.5</v>
      </c>
      <c r="EJ38" s="373">
        <f t="shared" si="86"/>
        <v>27.86446875</v>
      </c>
      <c r="EK38" s="374" t="str">
        <f t="shared" si="87"/>
        <v>(2.59)</v>
      </c>
      <c r="EL38" s="375">
        <v>2</v>
      </c>
      <c r="EM38" s="375">
        <f t="shared" si="88"/>
        <v>3.5</v>
      </c>
      <c r="EN38" s="375">
        <v>0</v>
      </c>
      <c r="EO38" s="375">
        <f t="shared" si="89"/>
        <v>0</v>
      </c>
      <c r="EP38" s="375">
        <v>1</v>
      </c>
      <c r="EQ38" s="375">
        <f t="shared" si="90"/>
        <v>1</v>
      </c>
      <c r="ER38" s="375">
        <f t="shared" si="91"/>
        <v>4.5</v>
      </c>
      <c r="ES38" s="376">
        <f t="shared" si="92"/>
        <v>55.5</v>
      </c>
      <c r="ET38" s="373">
        <f t="shared" si="93"/>
        <v>30.876843749999995</v>
      </c>
      <c r="EU38" s="374" t="str">
        <f t="shared" si="94"/>
        <v>(2.87)</v>
      </c>
      <c r="EV38" s="375">
        <v>2</v>
      </c>
      <c r="EW38" s="375">
        <f t="shared" si="95"/>
        <v>3.5</v>
      </c>
      <c r="EX38" s="375">
        <v>0</v>
      </c>
      <c r="EY38" s="375">
        <f t="shared" si="96"/>
        <v>0</v>
      </c>
      <c r="EZ38" s="375">
        <v>1</v>
      </c>
      <c r="FA38" s="375">
        <f t="shared" si="97"/>
        <v>1</v>
      </c>
      <c r="FB38" s="375">
        <f t="shared" si="98"/>
        <v>4.5</v>
      </c>
      <c r="FC38" s="376">
        <f t="shared" si="99"/>
        <v>61.5</v>
      </c>
      <c r="FD38" s="373">
        <f t="shared" si="100"/>
        <v>33.826460937500002</v>
      </c>
      <c r="FE38" s="374" t="str">
        <f t="shared" si="101"/>
        <v>(3.14)</v>
      </c>
      <c r="FF38" s="375">
        <v>2</v>
      </c>
      <c r="FG38" s="375">
        <f t="shared" si="102"/>
        <v>3.5</v>
      </c>
      <c r="FH38" s="375">
        <v>1</v>
      </c>
      <c r="FI38" s="375">
        <f t="shared" si="103"/>
        <v>1.125</v>
      </c>
      <c r="FJ38" s="375">
        <v>0</v>
      </c>
      <c r="FK38" s="375">
        <f t="shared" si="104"/>
        <v>0</v>
      </c>
      <c r="FL38" s="375">
        <f t="shared" si="105"/>
        <v>4.625</v>
      </c>
      <c r="FM38" s="376">
        <f t="shared" si="106"/>
        <v>67.375</v>
      </c>
      <c r="FN38" s="31"/>
      <c r="FO38" s="31"/>
      <c r="FP38" s="32"/>
      <c r="FQ38" s="32"/>
      <c r="FR38" s="32"/>
      <c r="FS38" s="32"/>
      <c r="FT38" s="32"/>
      <c r="FU38" s="32"/>
      <c r="FV38" s="6"/>
      <c r="FW38" s="6"/>
      <c r="FX38" s="6"/>
      <c r="FY38" s="6"/>
      <c r="FZ38" s="6"/>
      <c r="GA38" s="6"/>
      <c r="GB38" s="6"/>
      <c r="GC38" s="6"/>
      <c r="GD38" s="6"/>
      <c r="GE38" s="6"/>
      <c r="GF38" s="6"/>
      <c r="GG38" s="6"/>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467">
        <v>27</v>
      </c>
      <c r="IR38" s="468">
        <v>2.645</v>
      </c>
      <c r="IS38" s="468">
        <v>2.645</v>
      </c>
      <c r="IT38" s="468">
        <v>0.88200000000000001</v>
      </c>
      <c r="IU38" s="468">
        <v>1.75</v>
      </c>
      <c r="IV38" s="468">
        <v>1</v>
      </c>
      <c r="IW38" s="468">
        <v>1.125</v>
      </c>
      <c r="IX38" s="8"/>
    </row>
    <row r="39" spans="2:258" ht="15.75" thickBot="1" x14ac:dyDescent="0.3">
      <c r="B39" s="67"/>
      <c r="C39" s="68"/>
      <c r="D39" s="68"/>
      <c r="E39" s="68"/>
      <c r="F39" s="68"/>
      <c r="G39" s="68"/>
      <c r="H39" s="68"/>
      <c r="I39" s="68"/>
      <c r="J39" s="68"/>
      <c r="K39" s="68"/>
      <c r="L39" s="68"/>
      <c r="M39" s="68"/>
      <c r="N39" s="68"/>
      <c r="O39" s="68"/>
      <c r="P39" s="68"/>
      <c r="Q39" s="68"/>
      <c r="R39" s="68"/>
      <c r="S39" s="68"/>
      <c r="T39" s="68"/>
      <c r="U39" s="68"/>
      <c r="V39" s="68"/>
      <c r="W39" s="68"/>
      <c r="X39" s="68"/>
      <c r="Y39" s="69"/>
      <c r="AT39" s="4"/>
      <c r="AU39" s="27">
        <f t="shared" si="163"/>
        <v>120</v>
      </c>
      <c r="AV39" s="28" t="str">
        <f t="shared" si="22"/>
        <v>(3050)</v>
      </c>
      <c r="AW39" s="19"/>
      <c r="AX39" s="20">
        <f t="shared" si="23"/>
        <v>2.9085833333333335</v>
      </c>
      <c r="AY39" s="29" t="str">
        <f t="shared" si="24"/>
        <v>(0.27)</v>
      </c>
      <c r="AZ39" s="22">
        <v>2</v>
      </c>
      <c r="BA39" s="22">
        <f t="shared" si="25"/>
        <v>3.5</v>
      </c>
      <c r="BB39" s="30">
        <v>0</v>
      </c>
      <c r="BC39" s="22">
        <f t="shared" si="26"/>
        <v>0</v>
      </c>
      <c r="BD39" s="30">
        <v>0</v>
      </c>
      <c r="BE39" s="22">
        <f t="shared" si="27"/>
        <v>0</v>
      </c>
      <c r="BF39" s="22">
        <f t="shared" si="28"/>
        <v>3.5</v>
      </c>
      <c r="BG39" s="23">
        <f t="shared" si="29"/>
        <v>5.5</v>
      </c>
      <c r="BH39" s="373">
        <f t="shared" si="30"/>
        <v>4.4950833333333335</v>
      </c>
      <c r="BI39" s="374" t="str">
        <f t="shared" si="31"/>
        <v>(0.42)</v>
      </c>
      <c r="BJ39" s="375">
        <v>2</v>
      </c>
      <c r="BK39" s="375">
        <f t="shared" si="32"/>
        <v>3.5</v>
      </c>
      <c r="BL39" s="375">
        <v>0</v>
      </c>
      <c r="BM39" s="375">
        <f t="shared" si="33"/>
        <v>0</v>
      </c>
      <c r="BN39" s="375">
        <v>0</v>
      </c>
      <c r="BO39" s="375">
        <f t="shared" si="34"/>
        <v>0</v>
      </c>
      <c r="BP39" s="375">
        <f t="shared" si="35"/>
        <v>3.5</v>
      </c>
      <c r="BQ39" s="376">
        <f t="shared" si="36"/>
        <v>8.5</v>
      </c>
      <c r="BR39" s="373">
        <f t="shared" si="37"/>
        <v>7.6680833333333327</v>
      </c>
      <c r="BS39" s="374" t="str">
        <f t="shared" si="38"/>
        <v>(0.71)</v>
      </c>
      <c r="BT39" s="375">
        <v>2</v>
      </c>
      <c r="BU39" s="375">
        <f t="shared" si="39"/>
        <v>3.5</v>
      </c>
      <c r="BV39" s="375">
        <v>0</v>
      </c>
      <c r="BW39" s="375">
        <f t="shared" si="40"/>
        <v>0</v>
      </c>
      <c r="BX39" s="375">
        <v>0</v>
      </c>
      <c r="BY39" s="375">
        <f t="shared" si="41"/>
        <v>0</v>
      </c>
      <c r="BZ39" s="375">
        <f t="shared" si="42"/>
        <v>3.5</v>
      </c>
      <c r="CA39" s="376">
        <f t="shared" si="43"/>
        <v>14.5</v>
      </c>
      <c r="CB39" s="373">
        <f t="shared" si="44"/>
        <v>10.841083333333334</v>
      </c>
      <c r="CC39" s="374" t="str">
        <f t="shared" si="45"/>
        <v>(1.01)</v>
      </c>
      <c r="CD39" s="375">
        <v>2</v>
      </c>
      <c r="CE39" s="375">
        <f t="shared" si="46"/>
        <v>3.5</v>
      </c>
      <c r="CF39" s="375">
        <v>0</v>
      </c>
      <c r="CG39" s="375">
        <f t="shared" si="47"/>
        <v>0</v>
      </c>
      <c r="CH39" s="375">
        <v>0</v>
      </c>
      <c r="CI39" s="375">
        <f t="shared" si="48"/>
        <v>0</v>
      </c>
      <c r="CJ39" s="375">
        <f t="shared" si="49"/>
        <v>3.5</v>
      </c>
      <c r="CK39" s="376">
        <f t="shared" si="50"/>
        <v>20.5</v>
      </c>
      <c r="CL39" s="373">
        <f t="shared" si="51"/>
        <v>14.014083333333334</v>
      </c>
      <c r="CM39" s="374" t="str">
        <f t="shared" si="52"/>
        <v>(1.3)</v>
      </c>
      <c r="CN39" s="375">
        <v>2</v>
      </c>
      <c r="CO39" s="375">
        <f t="shared" si="53"/>
        <v>3.5</v>
      </c>
      <c r="CP39" s="375">
        <v>0</v>
      </c>
      <c r="CQ39" s="375">
        <f t="shared" si="54"/>
        <v>0</v>
      </c>
      <c r="CR39" s="375">
        <v>0</v>
      </c>
      <c r="CS39" s="375">
        <f t="shared" si="55"/>
        <v>0</v>
      </c>
      <c r="CT39" s="375">
        <f t="shared" si="56"/>
        <v>3.5</v>
      </c>
      <c r="CU39" s="376">
        <f t="shared" si="57"/>
        <v>26.5</v>
      </c>
      <c r="CV39" s="373">
        <f t="shared" si="58"/>
        <v>17.187083333333334</v>
      </c>
      <c r="CW39" s="374" t="str">
        <f t="shared" si="59"/>
        <v>(1.6)</v>
      </c>
      <c r="CX39" s="375">
        <v>2</v>
      </c>
      <c r="CY39" s="375">
        <f t="shared" si="60"/>
        <v>3.5</v>
      </c>
      <c r="CZ39" s="375">
        <v>0</v>
      </c>
      <c r="DA39" s="375">
        <f t="shared" si="61"/>
        <v>0</v>
      </c>
      <c r="DB39" s="375">
        <v>0</v>
      </c>
      <c r="DC39" s="375">
        <f t="shared" si="62"/>
        <v>0</v>
      </c>
      <c r="DD39" s="375">
        <f t="shared" si="63"/>
        <v>3.5</v>
      </c>
      <c r="DE39" s="376">
        <f t="shared" si="64"/>
        <v>32.5</v>
      </c>
      <c r="DF39" s="373">
        <f t="shared" si="65"/>
        <v>20.360083333333332</v>
      </c>
      <c r="DG39" s="374" t="str">
        <f t="shared" si="66"/>
        <v>(1.89)</v>
      </c>
      <c r="DH39" s="375">
        <v>2</v>
      </c>
      <c r="DI39" s="375">
        <f t="shared" si="67"/>
        <v>3.5</v>
      </c>
      <c r="DJ39" s="375">
        <v>0</v>
      </c>
      <c r="DK39" s="375">
        <f t="shared" si="68"/>
        <v>0</v>
      </c>
      <c r="DL39" s="375">
        <v>0</v>
      </c>
      <c r="DM39" s="375">
        <f t="shared" si="69"/>
        <v>0</v>
      </c>
      <c r="DN39" s="375">
        <f t="shared" si="70"/>
        <v>3.5</v>
      </c>
      <c r="DO39" s="376">
        <f t="shared" si="71"/>
        <v>38.5</v>
      </c>
      <c r="DP39" s="373">
        <f t="shared" si="72"/>
        <v>23.533083333333334</v>
      </c>
      <c r="DQ39" s="374" t="str">
        <f t="shared" si="73"/>
        <v>(2.19)</v>
      </c>
      <c r="DR39" s="375">
        <v>2</v>
      </c>
      <c r="DS39" s="375">
        <f t="shared" si="74"/>
        <v>3.5</v>
      </c>
      <c r="DT39" s="375">
        <v>0</v>
      </c>
      <c r="DU39" s="375">
        <f t="shared" si="75"/>
        <v>0</v>
      </c>
      <c r="DV39" s="375">
        <v>0</v>
      </c>
      <c r="DW39" s="375">
        <f t="shared" si="76"/>
        <v>0</v>
      </c>
      <c r="DX39" s="375">
        <f t="shared" si="77"/>
        <v>3.5</v>
      </c>
      <c r="DY39" s="376">
        <f t="shared" si="78"/>
        <v>44.5</v>
      </c>
      <c r="DZ39" s="373">
        <f t="shared" si="79"/>
        <v>26.177250000000001</v>
      </c>
      <c r="EA39" s="374" t="str">
        <f t="shared" si="80"/>
        <v>(2.43)</v>
      </c>
      <c r="EB39" s="375">
        <v>2</v>
      </c>
      <c r="EC39" s="375">
        <f t="shared" si="81"/>
        <v>3.5</v>
      </c>
      <c r="ED39" s="375">
        <v>0</v>
      </c>
      <c r="EE39" s="375">
        <f t="shared" si="82"/>
        <v>0</v>
      </c>
      <c r="EF39" s="375">
        <v>1</v>
      </c>
      <c r="EG39" s="375">
        <f t="shared" si="83"/>
        <v>1</v>
      </c>
      <c r="EH39" s="375">
        <f t="shared" si="84"/>
        <v>4.5</v>
      </c>
      <c r="EI39" s="376">
        <f t="shared" si="85"/>
        <v>49.5</v>
      </c>
      <c r="EJ39" s="373">
        <f t="shared" si="86"/>
        <v>29.350249999999999</v>
      </c>
      <c r="EK39" s="374" t="str">
        <f t="shared" si="87"/>
        <v>(2.73)</v>
      </c>
      <c r="EL39" s="375">
        <v>2</v>
      </c>
      <c r="EM39" s="375">
        <f t="shared" si="88"/>
        <v>3.5</v>
      </c>
      <c r="EN39" s="375">
        <v>0</v>
      </c>
      <c r="EO39" s="375">
        <f t="shared" si="89"/>
        <v>0</v>
      </c>
      <c r="EP39" s="375">
        <v>1</v>
      </c>
      <c r="EQ39" s="375">
        <f t="shared" si="90"/>
        <v>1</v>
      </c>
      <c r="ER39" s="375">
        <f t="shared" si="91"/>
        <v>4.5</v>
      </c>
      <c r="ES39" s="376">
        <f t="shared" si="92"/>
        <v>55.5</v>
      </c>
      <c r="ET39" s="373">
        <f t="shared" si="93"/>
        <v>32.523249999999997</v>
      </c>
      <c r="EU39" s="374" t="str">
        <f t="shared" si="94"/>
        <v>(3.02)</v>
      </c>
      <c r="EV39" s="375">
        <v>2</v>
      </c>
      <c r="EW39" s="375">
        <f t="shared" si="95"/>
        <v>3.5</v>
      </c>
      <c r="EX39" s="375">
        <v>0</v>
      </c>
      <c r="EY39" s="375">
        <f t="shared" si="96"/>
        <v>0</v>
      </c>
      <c r="EZ39" s="375">
        <v>1</v>
      </c>
      <c r="FA39" s="375">
        <f t="shared" si="97"/>
        <v>1</v>
      </c>
      <c r="FB39" s="375">
        <f t="shared" si="98"/>
        <v>4.5</v>
      </c>
      <c r="FC39" s="376">
        <f t="shared" si="99"/>
        <v>61.5</v>
      </c>
      <c r="FD39" s="373">
        <f t="shared" si="100"/>
        <v>35.63014583333333</v>
      </c>
      <c r="FE39" s="374" t="str">
        <f t="shared" si="101"/>
        <v>(3.31)</v>
      </c>
      <c r="FF39" s="375">
        <v>2</v>
      </c>
      <c r="FG39" s="375">
        <f t="shared" si="102"/>
        <v>3.5</v>
      </c>
      <c r="FH39" s="375">
        <v>1</v>
      </c>
      <c r="FI39" s="375">
        <f t="shared" si="103"/>
        <v>1.125</v>
      </c>
      <c r="FJ39" s="375">
        <v>0</v>
      </c>
      <c r="FK39" s="375">
        <f t="shared" si="104"/>
        <v>0</v>
      </c>
      <c r="FL39" s="375">
        <f t="shared" si="105"/>
        <v>4.625</v>
      </c>
      <c r="FM39" s="376">
        <f t="shared" si="106"/>
        <v>67.375</v>
      </c>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4"/>
      <c r="IK39" s="32"/>
      <c r="IL39" s="32"/>
      <c r="IM39" s="32"/>
      <c r="IN39" s="33"/>
      <c r="IO39" s="33"/>
      <c r="IP39" s="33"/>
      <c r="IQ39" s="467">
        <v>28</v>
      </c>
      <c r="IR39" s="468">
        <v>2.645</v>
      </c>
      <c r="IS39" s="468">
        <v>2.645</v>
      </c>
      <c r="IT39" s="468">
        <v>2.0920000000000001</v>
      </c>
      <c r="IU39" s="468">
        <v>1.75</v>
      </c>
      <c r="IV39" s="468">
        <v>1</v>
      </c>
      <c r="IW39" s="468">
        <v>1.125</v>
      </c>
      <c r="IX39" s="8"/>
    </row>
    <row r="40" spans="2:258" ht="15.75" thickBot="1" x14ac:dyDescent="0.3">
      <c r="AT40" s="35"/>
      <c r="AU40" s="36"/>
      <c r="AV40" s="36"/>
      <c r="AW40" s="36"/>
      <c r="AX40" s="36"/>
      <c r="AY40" s="36"/>
      <c r="AZ40" s="36"/>
      <c r="BA40" s="36"/>
      <c r="BB40" s="36"/>
      <c r="BC40" s="36"/>
      <c r="BD40" s="36"/>
      <c r="BE40" s="36"/>
      <c r="BF40" s="36"/>
      <c r="BG40" s="36"/>
      <c r="BH40" s="37"/>
      <c r="BI40" s="38"/>
      <c r="BJ40" s="38"/>
      <c r="BK40" s="38"/>
      <c r="BL40" s="38"/>
      <c r="BM40" s="38"/>
      <c r="BN40" s="38"/>
      <c r="BO40" s="38"/>
      <c r="BP40" s="38"/>
      <c r="BQ40" s="38"/>
      <c r="BR40" s="37"/>
      <c r="BS40" s="38"/>
      <c r="BT40" s="38"/>
      <c r="BU40" s="38"/>
      <c r="BV40" s="38"/>
      <c r="BW40" s="38"/>
      <c r="BX40" s="38"/>
      <c r="BY40" s="38"/>
      <c r="BZ40" s="38"/>
      <c r="CA40" s="38"/>
      <c r="CB40" s="37"/>
      <c r="CC40" s="38"/>
      <c r="CD40" s="38"/>
      <c r="CE40" s="38"/>
      <c r="CF40" s="38"/>
      <c r="CG40" s="38"/>
      <c r="CH40" s="38"/>
      <c r="CI40" s="38"/>
      <c r="CJ40" s="38"/>
      <c r="CK40" s="38"/>
      <c r="CL40" s="37"/>
      <c r="CM40" s="38"/>
      <c r="CN40" s="38"/>
      <c r="CO40" s="38"/>
      <c r="CP40" s="38"/>
      <c r="CQ40" s="38"/>
      <c r="CR40" s="38"/>
      <c r="CS40" s="38"/>
      <c r="CT40" s="38"/>
      <c r="CU40" s="38"/>
      <c r="CV40" s="37"/>
      <c r="CW40" s="38"/>
      <c r="CX40" s="38"/>
      <c r="CY40" s="38"/>
      <c r="CZ40" s="38"/>
      <c r="DA40" s="38"/>
      <c r="DB40" s="38"/>
      <c r="DC40" s="38"/>
      <c r="DD40" s="38"/>
      <c r="DE40" s="38"/>
      <c r="DF40" s="37"/>
      <c r="DG40" s="38"/>
      <c r="DH40" s="38"/>
      <c r="DI40" s="38"/>
      <c r="DJ40" s="38"/>
      <c r="DK40" s="38"/>
      <c r="DL40" s="38"/>
      <c r="DM40" s="38"/>
      <c r="DN40" s="38"/>
      <c r="DO40" s="38"/>
      <c r="DP40" s="37"/>
      <c r="DQ40" s="38"/>
      <c r="DR40" s="38"/>
      <c r="DS40" s="38"/>
      <c r="DT40" s="38"/>
      <c r="DU40" s="38"/>
      <c r="DV40" s="38"/>
      <c r="DW40" s="38"/>
      <c r="DX40" s="38"/>
      <c r="DY40" s="38"/>
      <c r="DZ40" s="37"/>
      <c r="EA40" s="38"/>
      <c r="EB40" s="38"/>
      <c r="EC40" s="38"/>
      <c r="ED40" s="38"/>
      <c r="EE40" s="38"/>
      <c r="EF40" s="38"/>
      <c r="EG40" s="38"/>
      <c r="EH40" s="38"/>
      <c r="EI40" s="38"/>
      <c r="EJ40" s="37"/>
      <c r="EK40" s="38"/>
      <c r="EL40" s="38"/>
      <c r="EM40" s="38"/>
      <c r="EN40" s="38"/>
      <c r="EO40" s="38"/>
      <c r="EP40" s="38"/>
      <c r="EQ40" s="38"/>
      <c r="ER40" s="38"/>
      <c r="ES40" s="38"/>
      <c r="ET40" s="37"/>
      <c r="EU40" s="38"/>
      <c r="EV40" s="38"/>
      <c r="EW40" s="38"/>
      <c r="EX40" s="38"/>
      <c r="EY40" s="38"/>
      <c r="EZ40" s="38"/>
      <c r="FA40" s="38"/>
      <c r="FB40" s="38"/>
      <c r="FC40" s="38"/>
      <c r="FD40" s="37"/>
      <c r="FE40" s="38"/>
      <c r="FF40" s="38"/>
      <c r="FG40" s="38"/>
      <c r="FH40" s="38"/>
      <c r="FI40" s="38"/>
      <c r="FJ40" s="38"/>
      <c r="FK40" s="38"/>
      <c r="FL40" s="38"/>
      <c r="FM40" s="38"/>
      <c r="FN40" s="37"/>
      <c r="FO40" s="38"/>
      <c r="FP40" s="38"/>
      <c r="FQ40" s="38"/>
      <c r="FR40" s="38"/>
      <c r="FS40" s="38"/>
      <c r="FT40" s="38"/>
      <c r="FU40" s="38"/>
      <c r="FV40" s="268"/>
      <c r="FW40" s="268"/>
      <c r="FX40" s="268"/>
      <c r="FY40" s="268"/>
      <c r="FZ40" s="268"/>
      <c r="GA40" s="268"/>
      <c r="GB40" s="268"/>
      <c r="GC40" s="268"/>
      <c r="GD40" s="268"/>
      <c r="GE40" s="268"/>
      <c r="GF40" s="268"/>
      <c r="GG40" s="268"/>
      <c r="GH40" s="37"/>
      <c r="GI40" s="38"/>
      <c r="GJ40" s="38"/>
      <c r="GK40" s="38"/>
      <c r="GL40" s="38"/>
      <c r="GM40" s="38"/>
      <c r="GN40" s="268"/>
      <c r="GO40" s="268"/>
      <c r="GP40" s="268"/>
      <c r="GQ40" s="268"/>
      <c r="GR40" s="268"/>
      <c r="GS40" s="268"/>
      <c r="GT40" s="268"/>
      <c r="GU40" s="268"/>
      <c r="GV40" s="268"/>
      <c r="GW40" s="268"/>
      <c r="GX40" s="268"/>
      <c r="GY40" s="268"/>
      <c r="GZ40" s="268"/>
      <c r="HA40" s="268"/>
      <c r="HB40" s="268"/>
      <c r="HC40" s="268"/>
      <c r="HD40" s="268"/>
      <c r="HE40" s="268"/>
      <c r="HF40" s="268"/>
      <c r="HG40" s="268"/>
      <c r="HH40" s="268"/>
      <c r="HI40" s="268"/>
      <c r="HJ40" s="268"/>
      <c r="HK40" s="268"/>
      <c r="HL40" s="37"/>
      <c r="HM40" s="38"/>
      <c r="HN40" s="38"/>
      <c r="HO40" s="38"/>
      <c r="HP40" s="38"/>
      <c r="HQ40" s="38"/>
      <c r="HR40" s="38"/>
      <c r="HS40" s="38"/>
      <c r="HT40" s="269"/>
      <c r="HU40" s="269"/>
      <c r="HV40" s="269"/>
      <c r="HW40" s="269"/>
      <c r="HX40" s="269"/>
      <c r="HY40" s="269"/>
      <c r="HZ40" s="269"/>
      <c r="IA40" s="269"/>
      <c r="IB40" s="269"/>
      <c r="IC40" s="269"/>
      <c r="ID40" s="269"/>
      <c r="IE40" s="269"/>
      <c r="IF40" s="37"/>
      <c r="IG40" s="38"/>
      <c r="IH40" s="38"/>
      <c r="II40" s="38"/>
      <c r="IJ40" s="38"/>
      <c r="IK40" s="38"/>
      <c r="IL40" s="38"/>
      <c r="IM40" s="38"/>
      <c r="IN40" s="36"/>
      <c r="IO40" s="36"/>
      <c r="IP40" s="36"/>
      <c r="IQ40" s="36"/>
      <c r="IR40" s="36"/>
      <c r="IS40" s="36"/>
      <c r="IT40" s="36"/>
      <c r="IU40" s="36"/>
      <c r="IV40" s="36"/>
      <c r="IW40" s="36"/>
      <c r="IX40" s="39"/>
    </row>
    <row r="41" spans="2:258" ht="16.5" thickTop="1" thickBot="1" x14ac:dyDescent="0.3"/>
    <row r="42" spans="2:258" ht="24" thickBot="1" x14ac:dyDescent="0.4">
      <c r="B42" s="274" t="s">
        <v>84</v>
      </c>
      <c r="C42" s="275"/>
      <c r="D42" s="275"/>
      <c r="E42" s="275"/>
      <c r="F42" s="275"/>
      <c r="G42" s="275"/>
      <c r="H42" s="275"/>
      <c r="I42" s="275"/>
      <c r="J42" s="275"/>
      <c r="K42" s="275"/>
      <c r="L42" s="276"/>
      <c r="N42" s="93" t="s">
        <v>159</v>
      </c>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1"/>
      <c r="BF42" s="7"/>
      <c r="BG42" s="7"/>
      <c r="BH42" s="7"/>
      <c r="BI42" s="7"/>
      <c r="BJ42" s="7"/>
      <c r="BK42" s="7"/>
      <c r="BL42" s="7"/>
      <c r="BM42" s="7"/>
      <c r="BN42" s="6"/>
      <c r="BO42" s="7"/>
      <c r="BP42" s="7"/>
      <c r="BQ42" s="7"/>
      <c r="BR42" s="7"/>
      <c r="BS42" s="7"/>
      <c r="BT42" s="7"/>
      <c r="BU42" s="7"/>
      <c r="BV42" s="7"/>
      <c r="BW42" s="7"/>
      <c r="BX42" s="6"/>
      <c r="BY42" s="7"/>
      <c r="BZ42" s="7"/>
      <c r="CA42" s="7"/>
      <c r="CB42" s="7"/>
      <c r="CC42" s="7"/>
      <c r="CD42" s="7"/>
      <c r="CE42" s="7"/>
      <c r="CF42" s="7"/>
      <c r="CG42" s="7"/>
      <c r="CH42" s="6"/>
      <c r="CI42" s="7"/>
      <c r="CJ42" s="7"/>
      <c r="CK42" s="7"/>
      <c r="CL42" s="7"/>
      <c r="CM42" s="7"/>
      <c r="CN42" s="7"/>
      <c r="CO42" s="7"/>
      <c r="CP42" s="7"/>
      <c r="CQ42" s="7"/>
      <c r="CR42" s="6"/>
      <c r="CS42" s="7"/>
      <c r="CT42" s="7"/>
      <c r="CU42" s="7"/>
      <c r="CV42" s="7"/>
      <c r="CW42" s="7"/>
      <c r="CX42" s="7"/>
      <c r="CY42" s="7"/>
      <c r="CZ42" s="7"/>
      <c r="DA42" s="7"/>
      <c r="DB42" s="6"/>
      <c r="DC42" s="7"/>
      <c r="DD42" s="7"/>
      <c r="DE42" s="7"/>
      <c r="DF42" s="7"/>
      <c r="DG42" s="7"/>
      <c r="DH42" s="7"/>
      <c r="DI42" s="7"/>
      <c r="DJ42" s="7"/>
      <c r="DK42" s="7"/>
      <c r="DL42" s="6"/>
      <c r="DM42" s="7"/>
      <c r="DN42" s="7"/>
      <c r="DO42" s="7"/>
      <c r="DP42" s="7"/>
      <c r="DQ42" s="7"/>
      <c r="DR42" s="7"/>
      <c r="DS42" s="7"/>
      <c r="DT42" s="7"/>
      <c r="DU42" s="7"/>
      <c r="DV42" s="6"/>
      <c r="DW42" s="7"/>
      <c r="DX42" s="7"/>
      <c r="DY42" s="7"/>
      <c r="DZ42" s="7"/>
      <c r="EA42" s="7"/>
      <c r="EB42" s="7"/>
      <c r="EC42" s="7"/>
      <c r="ED42" s="7"/>
      <c r="EE42" s="7"/>
      <c r="EF42" s="6"/>
      <c r="EG42" s="7"/>
      <c r="EH42" s="7"/>
      <c r="EI42" s="7"/>
      <c r="EJ42" s="7"/>
      <c r="EK42" s="7"/>
      <c r="EL42" s="7"/>
      <c r="EM42" s="7"/>
      <c r="EN42" s="7"/>
      <c r="EO42" s="7"/>
      <c r="EP42" s="6"/>
      <c r="EQ42" s="7"/>
      <c r="ER42" s="7"/>
      <c r="ES42" s="7"/>
      <c r="ET42" s="7"/>
      <c r="EU42" s="7"/>
      <c r="EV42" s="7"/>
      <c r="EW42" s="7"/>
      <c r="EX42" s="7"/>
      <c r="EY42" s="7"/>
      <c r="EZ42" s="6"/>
      <c r="FA42" s="7"/>
      <c r="FB42" s="7"/>
      <c r="FC42" s="7"/>
      <c r="FD42" s="7"/>
      <c r="FE42" s="7"/>
      <c r="FF42" s="7"/>
      <c r="FG42" s="7"/>
      <c r="FH42" s="7"/>
      <c r="FI42" s="7"/>
      <c r="FJ42" s="6"/>
      <c r="FK42" s="7"/>
      <c r="FL42" s="7"/>
      <c r="FM42" s="7"/>
      <c r="FN42" s="7"/>
      <c r="FO42" s="7"/>
      <c r="FP42" s="7"/>
      <c r="FQ42" s="7"/>
      <c r="FR42" s="7"/>
      <c r="FS42" s="7"/>
      <c r="FT42" s="6"/>
      <c r="FU42" s="7"/>
      <c r="FV42" s="7"/>
      <c r="FW42" s="7"/>
      <c r="FX42" s="7"/>
      <c r="FY42" s="7"/>
      <c r="FZ42" s="7"/>
      <c r="GA42" s="7"/>
      <c r="GB42" s="7"/>
      <c r="GC42" s="7"/>
      <c r="GD42" s="6"/>
      <c r="GE42" s="7"/>
      <c r="GF42" s="7"/>
      <c r="GG42" s="7"/>
      <c r="GH42" s="7"/>
      <c r="GI42" s="7"/>
      <c r="GJ42" s="7"/>
      <c r="GK42" s="7"/>
      <c r="GL42" s="7"/>
      <c r="GM42" s="7"/>
      <c r="GN42" s="6"/>
      <c r="GO42" s="7"/>
      <c r="GP42" s="7"/>
      <c r="GQ42" s="7"/>
      <c r="GR42" s="7"/>
      <c r="GS42" s="7"/>
      <c r="GT42" s="7"/>
      <c r="GU42" s="7"/>
      <c r="GV42" s="5"/>
      <c r="GW42" s="5"/>
      <c r="GX42" s="5"/>
      <c r="GY42" s="5"/>
      <c r="GZ42" s="5"/>
      <c r="HA42" s="5"/>
      <c r="HB42" s="5"/>
      <c r="HC42" s="5"/>
      <c r="HD42" s="5"/>
      <c r="HE42" s="5"/>
      <c r="HF42" s="5"/>
    </row>
    <row r="43" spans="2:258" ht="19.5" thickBot="1" x14ac:dyDescent="0.35">
      <c r="B43" s="272" t="s">
        <v>41</v>
      </c>
      <c r="C43" s="147" t="e">
        <f>C9</f>
        <v>#VALUE!</v>
      </c>
      <c r="D43" s="73"/>
      <c r="E43" s="73"/>
      <c r="F43" s="73"/>
      <c r="G43" s="73"/>
      <c r="H43" s="73"/>
      <c r="I43" s="73"/>
      <c r="J43" s="73"/>
      <c r="K43" s="73"/>
      <c r="L43" s="273"/>
      <c r="N43" s="881" t="s">
        <v>85</v>
      </c>
      <c r="O43" s="409"/>
      <c r="P43" s="410"/>
      <c r="Q43" s="411">
        <f>F11</f>
        <v>9</v>
      </c>
      <c r="R43" s="254">
        <v>12</v>
      </c>
      <c r="S43" s="254">
        <f t="shared" ref="S43:AJ43" si="164">R43+6</f>
        <v>18</v>
      </c>
      <c r="T43" s="254">
        <f t="shared" si="164"/>
        <v>24</v>
      </c>
      <c r="U43" s="254">
        <f t="shared" si="164"/>
        <v>30</v>
      </c>
      <c r="V43" s="254">
        <f t="shared" si="164"/>
        <v>36</v>
      </c>
      <c r="W43" s="254">
        <f t="shared" si="164"/>
        <v>42</v>
      </c>
      <c r="X43" s="254">
        <f t="shared" si="164"/>
        <v>48</v>
      </c>
      <c r="Y43" s="254">
        <f t="shared" si="164"/>
        <v>54</v>
      </c>
      <c r="Z43" s="254">
        <f t="shared" si="164"/>
        <v>60</v>
      </c>
      <c r="AA43" s="254">
        <f t="shared" si="164"/>
        <v>66</v>
      </c>
      <c r="AB43" s="254">
        <f t="shared" si="164"/>
        <v>72</v>
      </c>
      <c r="AC43" s="254">
        <f t="shared" si="164"/>
        <v>78</v>
      </c>
      <c r="AD43" s="254">
        <f t="shared" si="164"/>
        <v>84</v>
      </c>
      <c r="AE43" s="254">
        <f t="shared" si="164"/>
        <v>90</v>
      </c>
      <c r="AF43" s="254">
        <f t="shared" si="164"/>
        <v>96</v>
      </c>
      <c r="AG43" s="254">
        <f t="shared" si="164"/>
        <v>102</v>
      </c>
      <c r="AH43" s="254">
        <f t="shared" si="164"/>
        <v>108</v>
      </c>
      <c r="AI43" s="254">
        <f t="shared" si="164"/>
        <v>114</v>
      </c>
      <c r="AJ43" s="254">
        <f t="shared" si="164"/>
        <v>120</v>
      </c>
      <c r="AK43" s="94"/>
      <c r="AL43" s="94"/>
      <c r="AM43" s="94"/>
      <c r="AN43" s="94"/>
      <c r="AO43" s="94"/>
      <c r="AP43" s="94"/>
      <c r="AQ43" s="95"/>
    </row>
    <row r="44" spans="2:258" ht="18.75" customHeight="1" thickBot="1" x14ac:dyDescent="0.35">
      <c r="B44" s="228" t="s">
        <v>42</v>
      </c>
      <c r="C44" s="148" t="e">
        <f>F9</f>
        <v>#VALUE!</v>
      </c>
      <c r="E44" s="71"/>
      <c r="F44" s="71"/>
      <c r="G44" s="71"/>
      <c r="H44" s="71"/>
      <c r="I44" s="71"/>
      <c r="J44" s="71"/>
      <c r="K44" s="71"/>
      <c r="L44" s="75"/>
      <c r="N44" s="882"/>
      <c r="O44" s="412"/>
      <c r="P44" s="300">
        <v>1</v>
      </c>
      <c r="Q44" s="163">
        <v>2</v>
      </c>
      <c r="R44" s="68">
        <v>3</v>
      </c>
      <c r="S44" s="68">
        <v>4</v>
      </c>
      <c r="T44" s="68">
        <v>5</v>
      </c>
      <c r="U44" s="68">
        <v>6</v>
      </c>
      <c r="V44" s="68">
        <v>7</v>
      </c>
      <c r="W44" s="68">
        <v>8</v>
      </c>
      <c r="X44" s="68">
        <v>9</v>
      </c>
      <c r="Y44" s="68">
        <v>10</v>
      </c>
      <c r="Z44" s="68">
        <v>11</v>
      </c>
      <c r="AA44" s="68">
        <v>12</v>
      </c>
      <c r="AB44" s="68">
        <v>13</v>
      </c>
      <c r="AC44" s="68">
        <v>14</v>
      </c>
      <c r="AD44" s="68">
        <v>15</v>
      </c>
      <c r="AE44" s="68">
        <v>16</v>
      </c>
      <c r="AF44" s="68">
        <v>17</v>
      </c>
      <c r="AG44" s="68">
        <v>18</v>
      </c>
      <c r="AH44" s="68">
        <v>19</v>
      </c>
      <c r="AI44" s="68">
        <v>20</v>
      </c>
      <c r="AJ44" s="68">
        <v>21</v>
      </c>
      <c r="AK44" s="68"/>
      <c r="AL44" s="68"/>
      <c r="AM44" s="68"/>
      <c r="AN44" s="68"/>
      <c r="AO44" s="68"/>
      <c r="AP44" s="68"/>
      <c r="AQ44" s="69"/>
    </row>
    <row r="45" spans="2:258" ht="15.75" customHeight="1" thickBot="1" x14ac:dyDescent="0.4">
      <c r="B45" s="234" t="s">
        <v>77</v>
      </c>
      <c r="C45" s="71"/>
      <c r="D45" s="71"/>
      <c r="E45" s="71"/>
      <c r="F45" s="71"/>
      <c r="G45" s="71"/>
      <c r="H45" s="71"/>
      <c r="I45" s="71"/>
      <c r="J45" s="71"/>
      <c r="K45" s="71"/>
      <c r="L45" s="75"/>
      <c r="N45" s="250"/>
      <c r="O45" s="413">
        <f>F12</f>
        <v>9.5</v>
      </c>
      <c r="P45" s="301">
        <v>2</v>
      </c>
      <c r="Q45" s="414"/>
      <c r="R45" s="415"/>
      <c r="S45" s="415"/>
      <c r="T45" s="415"/>
      <c r="U45" s="415"/>
      <c r="V45" s="415"/>
      <c r="W45" s="415"/>
      <c r="X45" s="415"/>
      <c r="Y45" s="415"/>
      <c r="Z45" s="415"/>
      <c r="AA45" s="415"/>
      <c r="AB45" s="415"/>
      <c r="AC45" s="415"/>
      <c r="AD45" s="415"/>
      <c r="AE45" s="415"/>
      <c r="AF45" s="415"/>
      <c r="AG45" s="415"/>
      <c r="AH45" s="415"/>
      <c r="AI45" s="415"/>
      <c r="AJ45" s="415"/>
      <c r="AK45" s="150"/>
      <c r="AL45" s="150"/>
      <c r="AM45" s="150"/>
      <c r="AN45" s="150"/>
      <c r="AO45" s="150"/>
      <c r="AP45" s="150"/>
      <c r="AQ45" s="158"/>
      <c r="IS45" s="175"/>
    </row>
    <row r="46" spans="2:258" ht="15" customHeight="1" thickBot="1" x14ac:dyDescent="0.3">
      <c r="B46" s="78"/>
      <c r="D46" s="71"/>
      <c r="E46" s="71"/>
      <c r="F46" s="71"/>
      <c r="G46" s="71"/>
      <c r="H46" s="71"/>
      <c r="I46" s="71"/>
      <c r="J46" s="71"/>
      <c r="K46" s="71"/>
      <c r="L46" s="75"/>
      <c r="N46" s="176"/>
      <c r="O46" s="162">
        <v>12</v>
      </c>
      <c r="P46" s="302">
        <v>3</v>
      </c>
      <c r="Q46" s="416"/>
      <c r="R46" s="417"/>
      <c r="S46" s="417"/>
      <c r="T46" s="417"/>
      <c r="U46" s="417"/>
      <c r="V46" s="417"/>
      <c r="W46" s="417"/>
      <c r="X46" s="417"/>
      <c r="Y46" s="417"/>
      <c r="Z46" s="417"/>
      <c r="AA46" s="417"/>
      <c r="AB46" s="417"/>
      <c r="AC46" s="417"/>
      <c r="AD46" s="417"/>
      <c r="AE46" s="417"/>
      <c r="AF46" s="417"/>
      <c r="AG46" s="417"/>
      <c r="AH46" s="417"/>
      <c r="AI46" s="417"/>
      <c r="AJ46" s="417"/>
      <c r="AK46" s="64"/>
      <c r="AL46" s="154"/>
      <c r="AM46" s="154" t="e">
        <f>D49</f>
        <v>#VALUE!</v>
      </c>
      <c r="AN46" s="155" t="e">
        <f>C43</f>
        <v>#VALUE!</v>
      </c>
      <c r="AO46" s="154" t="e">
        <f>E49</f>
        <v>#VALUE!</v>
      </c>
      <c r="AP46" s="64"/>
      <c r="AQ46" s="65"/>
      <c r="CL46" s="83"/>
      <c r="CM46" s="83"/>
      <c r="CN46" s="83"/>
      <c r="CO46" s="83"/>
      <c r="CP46" s="83"/>
      <c r="CQ46" s="83"/>
      <c r="CR46" s="83"/>
      <c r="CS46" s="83"/>
    </row>
    <row r="47" spans="2:258" ht="15" customHeight="1" thickBot="1" x14ac:dyDescent="0.3">
      <c r="B47" s="78"/>
      <c r="C47" s="124"/>
      <c r="D47" s="125" t="s">
        <v>35</v>
      </c>
      <c r="E47" s="126"/>
      <c r="F47" s="126"/>
      <c r="G47" s="128"/>
      <c r="H47" s="125" t="s">
        <v>36</v>
      </c>
      <c r="I47" s="127"/>
      <c r="J47" s="71"/>
      <c r="K47" s="71"/>
      <c r="L47" s="75"/>
      <c r="N47" s="103"/>
      <c r="O47" s="162">
        <f t="shared" ref="O47:O64" si="165">O46+6</f>
        <v>18</v>
      </c>
      <c r="P47" s="302">
        <v>4</v>
      </c>
      <c r="Q47" s="416"/>
      <c r="R47" s="417"/>
      <c r="S47" s="417"/>
      <c r="T47" s="417"/>
      <c r="U47" s="417"/>
      <c r="V47" s="417"/>
      <c r="W47" s="417"/>
      <c r="X47" s="417"/>
      <c r="Y47" s="417"/>
      <c r="Z47" s="417"/>
      <c r="AA47" s="417"/>
      <c r="AB47" s="417"/>
      <c r="AC47" s="417"/>
      <c r="AD47" s="417"/>
      <c r="AE47" s="417"/>
      <c r="AF47" s="417"/>
      <c r="AG47" s="417"/>
      <c r="AH47" s="417"/>
      <c r="AI47" s="417"/>
      <c r="AJ47" s="417"/>
      <c r="AK47" s="96"/>
      <c r="AL47" s="154" t="e">
        <f>H49</f>
        <v>#VALUE!</v>
      </c>
      <c r="AM47" s="155" t="e">
        <f>INDEX(P44:AJ64,$H$50,$D$50)</f>
        <v>#VALUE!</v>
      </c>
      <c r="AN47" s="155" t="e">
        <f>(((AN46-AM46)/(AO46-AM46))*(AO47-AM47))+AM47</f>
        <v>#VALUE!</v>
      </c>
      <c r="AO47" s="155" t="e">
        <f>INDEX(P44:AJ64,$H$50,$E$50)</f>
        <v>#VALUE!</v>
      </c>
      <c r="AP47" s="64"/>
      <c r="AQ47" s="65"/>
    </row>
    <row r="48" spans="2:258" ht="16.5" thickBot="1" x14ac:dyDescent="0.3">
      <c r="B48" s="78"/>
      <c r="C48" s="120"/>
      <c r="D48" s="121" t="s">
        <v>78</v>
      </c>
      <c r="E48" s="122" t="s">
        <v>79</v>
      </c>
      <c r="F48" s="122"/>
      <c r="G48" s="129"/>
      <c r="H48" s="121" t="s">
        <v>78</v>
      </c>
      <c r="I48" s="123" t="s">
        <v>79</v>
      </c>
      <c r="J48" s="71"/>
      <c r="K48" s="71"/>
      <c r="L48" s="75"/>
      <c r="N48" s="103"/>
      <c r="O48" s="162">
        <f t="shared" si="165"/>
        <v>24</v>
      </c>
      <c r="P48" s="302">
        <v>5</v>
      </c>
      <c r="Q48" s="416"/>
      <c r="R48" s="417"/>
      <c r="S48" s="417"/>
      <c r="T48" s="417"/>
      <c r="U48" s="417"/>
      <c r="V48" s="417"/>
      <c r="W48" s="417"/>
      <c r="X48" s="417"/>
      <c r="Y48" s="417"/>
      <c r="Z48" s="417"/>
      <c r="AA48" s="417"/>
      <c r="AB48" s="417"/>
      <c r="AC48" s="417"/>
      <c r="AD48" s="417"/>
      <c r="AE48" s="417"/>
      <c r="AF48" s="417"/>
      <c r="AG48" s="417"/>
      <c r="AH48" s="417"/>
      <c r="AI48" s="417"/>
      <c r="AJ48" s="417"/>
      <c r="AK48" s="64"/>
      <c r="AL48" s="154" t="e">
        <f>C44</f>
        <v>#VALUE!</v>
      </c>
      <c r="AM48" s="155" t="e">
        <f>(((AL48-AL47)/(AL49-AL47))*(AM49-AM47))+AM47</f>
        <v>#VALUE!</v>
      </c>
      <c r="AN48" s="399" t="e">
        <f>IF(AND(AN46&gt;72,AL48&gt;72),5/0,IF(AN46=120,AM48,(((AN47-AM47)/(AO47-AM47))*(AO48-AM48))+AM48))</f>
        <v>#VALUE!</v>
      </c>
      <c r="AO48" s="155" t="e">
        <f>(((AL48-AL47)/(AL49-AL47))*(AO49-AO47))+AO47</f>
        <v>#VALUE!</v>
      </c>
      <c r="AP48" s="64"/>
      <c r="AQ48" s="65"/>
    </row>
    <row r="49" spans="2:59" ht="16.5" thickBot="1" x14ac:dyDescent="0.3">
      <c r="B49" s="78"/>
      <c r="C49" s="118"/>
      <c r="D49" s="406" t="e">
        <f>IF(AND(C43&lt;12,C43&gt;=F11),F11,FLOOR(C43/6,1)*6)</f>
        <v>#VALUE!</v>
      </c>
      <c r="E49" s="407" t="e">
        <f>IF(D49&lt;12,12,D49+6)</f>
        <v>#VALUE!</v>
      </c>
      <c r="F49" s="112"/>
      <c r="G49" s="130"/>
      <c r="H49" s="406" t="e">
        <f>IF(AND(C44&lt;12,C44&gt;=F12),F12,FLOOR(C44/6,1)*6)</f>
        <v>#VALUE!</v>
      </c>
      <c r="I49" s="408" t="e">
        <f>IF(H49&lt;12,12,H49+6)</f>
        <v>#VALUE!</v>
      </c>
      <c r="J49" s="71"/>
      <c r="K49" s="71"/>
      <c r="L49" s="75"/>
      <c r="N49" s="103"/>
      <c r="O49" s="162">
        <f t="shared" si="165"/>
        <v>30</v>
      </c>
      <c r="P49" s="302">
        <v>6</v>
      </c>
      <c r="Q49" s="416"/>
      <c r="R49" s="417"/>
      <c r="S49" s="417"/>
      <c r="T49" s="417"/>
      <c r="U49" s="417"/>
      <c r="V49" s="417"/>
      <c r="W49" s="417"/>
      <c r="X49" s="417"/>
      <c r="Y49" s="417"/>
      <c r="Z49" s="417"/>
      <c r="AA49" s="417"/>
      <c r="AB49" s="417"/>
      <c r="AC49" s="417"/>
      <c r="AD49" s="417"/>
      <c r="AE49" s="417"/>
      <c r="AF49" s="417"/>
      <c r="AG49" s="417"/>
      <c r="AH49" s="417"/>
      <c r="AI49" s="417"/>
      <c r="AJ49" s="417"/>
      <c r="AK49" s="64"/>
      <c r="AL49" s="154" t="e">
        <f>I49</f>
        <v>#VALUE!</v>
      </c>
      <c r="AM49" s="155" t="e">
        <f>INDEX(P44:AJ64,$I$50,$D$50)</f>
        <v>#VALUE!</v>
      </c>
      <c r="AN49" s="155" t="e">
        <f>(((AN46-AM46)/(AO46-AM46))*(AO49-AM49))+AM49</f>
        <v>#VALUE!</v>
      </c>
      <c r="AO49" s="155" t="e">
        <f>INDEX(P44:AJ64,$I$50,$E$50)</f>
        <v>#VALUE!</v>
      </c>
      <c r="AP49" s="64"/>
      <c r="AQ49" s="65"/>
    </row>
    <row r="50" spans="2:59" ht="15.75" thickBot="1" x14ac:dyDescent="0.3">
      <c r="B50" s="78"/>
      <c r="C50" s="118" t="s">
        <v>37</v>
      </c>
      <c r="D50" s="116" t="e">
        <f>HLOOKUP(D49,C15:W16,2)</f>
        <v>#VALUE!</v>
      </c>
      <c r="E50" s="112" t="e">
        <f>HLOOKUP(E49,C15:W16,2)</f>
        <v>#VALUE!</v>
      </c>
      <c r="F50" s="112"/>
      <c r="G50" s="130" t="s">
        <v>38</v>
      </c>
      <c r="H50" s="116" t="e">
        <f>VLOOKUP(H49,B16:C36,2)</f>
        <v>#VALUE!</v>
      </c>
      <c r="I50" s="113" t="e">
        <f>VLOOKUP(I49,B16:C36,2)</f>
        <v>#VALUE!</v>
      </c>
      <c r="J50" s="71"/>
      <c r="K50" s="71"/>
      <c r="L50" s="75"/>
      <c r="N50" s="103"/>
      <c r="O50" s="162">
        <f t="shared" si="165"/>
        <v>36</v>
      </c>
      <c r="P50" s="302">
        <v>7</v>
      </c>
      <c r="Q50" s="416"/>
      <c r="R50" s="417"/>
      <c r="S50" s="417"/>
      <c r="T50" s="417"/>
      <c r="U50" s="417"/>
      <c r="V50" s="417"/>
      <c r="W50" s="417"/>
      <c r="X50" s="417"/>
      <c r="Y50" s="417"/>
      <c r="Z50" s="417"/>
      <c r="AA50" s="417"/>
      <c r="AB50" s="417"/>
      <c r="AC50" s="417"/>
      <c r="AD50" s="417"/>
      <c r="AE50" s="417"/>
      <c r="AF50" s="417"/>
      <c r="AG50" s="417"/>
      <c r="AH50" s="417"/>
      <c r="AI50" s="417"/>
      <c r="AJ50" s="417"/>
      <c r="AK50" s="64"/>
      <c r="AL50" s="64"/>
      <c r="AM50" s="64"/>
      <c r="AN50" s="64"/>
      <c r="AO50" s="64"/>
      <c r="AP50" s="64"/>
      <c r="AQ50" s="65"/>
    </row>
    <row r="51" spans="2:59" ht="15.75" thickBot="1" x14ac:dyDescent="0.3">
      <c r="B51" s="78"/>
      <c r="C51" s="119"/>
      <c r="D51" s="117"/>
      <c r="E51" s="114"/>
      <c r="F51" s="114"/>
      <c r="G51" s="131"/>
      <c r="H51" s="117"/>
      <c r="I51" s="115"/>
      <c r="J51" s="71"/>
      <c r="K51" s="71"/>
      <c r="L51" s="75"/>
      <c r="N51" s="103"/>
      <c r="O51" s="162">
        <f t="shared" si="165"/>
        <v>42</v>
      </c>
      <c r="P51" s="302">
        <v>8</v>
      </c>
      <c r="Q51" s="416"/>
      <c r="R51" s="417"/>
      <c r="S51" s="417"/>
      <c r="T51" s="417"/>
      <c r="U51" s="417"/>
      <c r="V51" s="417"/>
      <c r="W51" s="417"/>
      <c r="X51" s="417"/>
      <c r="Y51" s="417"/>
      <c r="Z51" s="417"/>
      <c r="AA51" s="417"/>
      <c r="AB51" s="417"/>
      <c r="AC51" s="417"/>
      <c r="AD51" s="417"/>
      <c r="AE51" s="417"/>
      <c r="AF51" s="417"/>
      <c r="AG51" s="417"/>
      <c r="AH51" s="417"/>
      <c r="AI51" s="417"/>
      <c r="AJ51" s="417"/>
      <c r="AK51" s="64"/>
      <c r="AL51" s="64"/>
      <c r="AM51" s="64"/>
      <c r="AN51" s="64"/>
      <c r="AO51" s="64"/>
      <c r="AP51" s="64"/>
      <c r="AQ51" s="65"/>
    </row>
    <row r="52" spans="2:59" ht="15.75" thickBot="1" x14ac:dyDescent="0.3">
      <c r="B52" s="78"/>
      <c r="C52" s="71"/>
      <c r="D52" s="71"/>
      <c r="E52" s="71"/>
      <c r="F52" s="71"/>
      <c r="G52" s="71"/>
      <c r="H52" s="71"/>
      <c r="I52" s="71"/>
      <c r="J52" s="71"/>
      <c r="K52" s="71"/>
      <c r="L52" s="75"/>
      <c r="N52" s="103"/>
      <c r="O52" s="162">
        <f t="shared" si="165"/>
        <v>48</v>
      </c>
      <c r="P52" s="302">
        <v>9</v>
      </c>
      <c r="Q52" s="416"/>
      <c r="R52" s="417"/>
      <c r="S52" s="417"/>
      <c r="T52" s="417"/>
      <c r="U52" s="417"/>
      <c r="V52" s="417"/>
      <c r="W52" s="417"/>
      <c r="X52" s="417"/>
      <c r="Y52" s="417"/>
      <c r="Z52" s="417"/>
      <c r="AA52" s="417"/>
      <c r="AB52" s="417"/>
      <c r="AC52" s="417"/>
      <c r="AD52" s="417"/>
      <c r="AE52" s="417"/>
      <c r="AF52" s="417"/>
      <c r="AG52" s="417"/>
      <c r="AH52" s="417"/>
      <c r="AI52" s="417"/>
      <c r="AJ52" s="417"/>
      <c r="AK52" s="64"/>
      <c r="AL52" s="64"/>
      <c r="AM52" s="64"/>
      <c r="AN52" s="64"/>
      <c r="AO52" s="64"/>
      <c r="AP52" s="64"/>
      <c r="AQ52" s="65"/>
    </row>
    <row r="53" spans="2:59" ht="21.75" thickBot="1" x14ac:dyDescent="0.4">
      <c r="B53" s="229" t="s">
        <v>71</v>
      </c>
      <c r="C53" s="71"/>
      <c r="E53" s="71"/>
      <c r="F53" s="71"/>
      <c r="G53" s="71"/>
      <c r="H53" s="71"/>
      <c r="I53" s="71"/>
      <c r="J53" s="71"/>
      <c r="K53" s="71"/>
      <c r="L53" s="75"/>
      <c r="N53" s="103"/>
      <c r="O53" s="162">
        <f t="shared" si="165"/>
        <v>54</v>
      </c>
      <c r="P53" s="302">
        <v>10</v>
      </c>
      <c r="Q53" s="416"/>
      <c r="R53" s="417"/>
      <c r="S53" s="417"/>
      <c r="T53" s="417"/>
      <c r="U53" s="417"/>
      <c r="V53" s="417"/>
      <c r="W53" s="417"/>
      <c r="X53" s="417"/>
      <c r="Y53" s="417"/>
      <c r="Z53" s="417"/>
      <c r="AA53" s="417"/>
      <c r="AB53" s="417"/>
      <c r="AC53" s="417"/>
      <c r="AD53" s="417"/>
      <c r="AE53" s="417"/>
      <c r="AF53" s="417"/>
      <c r="AG53" s="417"/>
      <c r="AH53" s="417"/>
      <c r="AI53" s="417"/>
      <c r="AJ53" s="417"/>
      <c r="AK53" s="64"/>
      <c r="AL53" s="64"/>
      <c r="AM53" s="64"/>
      <c r="AN53" s="64"/>
      <c r="AO53" s="64"/>
      <c r="AP53" s="64"/>
      <c r="AQ53" s="65"/>
    </row>
    <row r="54" spans="2:59" ht="16.5" thickBot="1" x14ac:dyDescent="0.3">
      <c r="B54" s="78"/>
      <c r="C54" s="71"/>
      <c r="D54" s="109"/>
      <c r="E54" s="109" t="e">
        <f>D49</f>
        <v>#VALUE!</v>
      </c>
      <c r="F54" s="132" t="e">
        <f>C43</f>
        <v>#VALUE!</v>
      </c>
      <c r="G54" s="109" t="e">
        <f>E49</f>
        <v>#VALUE!</v>
      </c>
      <c r="H54" s="71"/>
      <c r="I54" s="71"/>
      <c r="J54" s="71"/>
      <c r="K54" s="71"/>
      <c r="L54" s="75"/>
      <c r="N54" s="103"/>
      <c r="O54" s="162">
        <f t="shared" si="165"/>
        <v>60</v>
      </c>
      <c r="P54" s="302">
        <v>11</v>
      </c>
      <c r="Q54" s="416"/>
      <c r="R54" s="417"/>
      <c r="S54" s="417"/>
      <c r="T54" s="417"/>
      <c r="U54" s="417"/>
      <c r="V54" s="417"/>
      <c r="W54" s="417"/>
      <c r="X54" s="417"/>
      <c r="Y54" s="417"/>
      <c r="Z54" s="417"/>
      <c r="AA54" s="417"/>
      <c r="AB54" s="417"/>
      <c r="AC54" s="417"/>
      <c r="AD54" s="417"/>
      <c r="AE54" s="417"/>
      <c r="AF54" s="417"/>
      <c r="AG54" s="417"/>
      <c r="AH54" s="417"/>
      <c r="AI54" s="417"/>
      <c r="AJ54" s="417"/>
      <c r="AK54" s="64"/>
      <c r="AL54" s="64"/>
      <c r="AM54" s="64"/>
      <c r="AN54" s="303"/>
      <c r="AO54" s="303"/>
      <c r="AP54" s="303"/>
      <c r="AQ54" s="65"/>
    </row>
    <row r="55" spans="2:59" ht="16.5" thickBot="1" x14ac:dyDescent="0.3">
      <c r="B55" s="78"/>
      <c r="C55" s="71"/>
      <c r="D55" s="109" t="e">
        <f>H49</f>
        <v>#VALUE!</v>
      </c>
      <c r="E55" s="133" t="e">
        <f>INDEX(C16:W36,$H$50,$D$50)</f>
        <v>#VALUE!</v>
      </c>
      <c r="F55" s="133" t="e">
        <f>(((F54-E54)/(G54-E54))*(G55-E55))+E55</f>
        <v>#VALUE!</v>
      </c>
      <c r="G55" s="133" t="e">
        <f>INDEX(C16:W36,$H$50,$E$50)</f>
        <v>#VALUE!</v>
      </c>
      <c r="H55" s="71"/>
      <c r="I55" s="71"/>
      <c r="J55" s="71"/>
      <c r="K55" s="71"/>
      <c r="L55" s="75"/>
      <c r="N55" s="103"/>
      <c r="O55" s="162">
        <f t="shared" si="165"/>
        <v>66</v>
      </c>
      <c r="P55" s="302">
        <v>12</v>
      </c>
      <c r="Q55" s="416"/>
      <c r="R55" s="417"/>
      <c r="S55" s="417"/>
      <c r="T55" s="417"/>
      <c r="U55" s="417"/>
      <c r="V55" s="417"/>
      <c r="W55" s="417"/>
      <c r="X55" s="417"/>
      <c r="Y55" s="417"/>
      <c r="Z55" s="417"/>
      <c r="AA55" s="417"/>
      <c r="AB55" s="417"/>
      <c r="AC55" s="417"/>
      <c r="AD55" s="417"/>
      <c r="AE55" s="417"/>
      <c r="AF55" s="417"/>
      <c r="AG55" s="417"/>
      <c r="AH55" s="417"/>
      <c r="AI55" s="417"/>
      <c r="AJ55" s="417"/>
      <c r="AK55" s="64"/>
      <c r="AL55" s="64"/>
      <c r="AM55" s="270" t="s">
        <v>90</v>
      </c>
      <c r="AN55" s="304"/>
      <c r="AO55" s="303" t="e">
        <f>AN48*1.1</f>
        <v>#VALUE!</v>
      </c>
      <c r="AP55" s="303" t="s">
        <v>86</v>
      </c>
      <c r="AQ55" s="65"/>
    </row>
    <row r="56" spans="2:59" ht="16.5" thickBot="1" x14ac:dyDescent="0.3">
      <c r="B56" s="78"/>
      <c r="C56" s="71"/>
      <c r="D56" s="109" t="e">
        <f>C44</f>
        <v>#VALUE!</v>
      </c>
      <c r="E56" s="133" t="e">
        <f>(((D56-D55)/(D57-D55))*(E57-E55))+E55</f>
        <v>#VALUE!</v>
      </c>
      <c r="F56" s="400" t="e">
        <f>IF(AND(F54&gt;72,D56&gt;72),5/0,IF(F54=120,E56,(((F55-E55)/(G55-E55))*(G56-E56))+E56))</f>
        <v>#VALUE!</v>
      </c>
      <c r="G56" s="133" t="e">
        <f>(((D56-D55)/(D57-D55))*(G57-G55))+G55</f>
        <v>#VALUE!</v>
      </c>
      <c r="H56" s="71"/>
      <c r="I56" s="71"/>
      <c r="J56" s="71"/>
      <c r="K56" s="71"/>
      <c r="L56" s="75"/>
      <c r="N56" s="103"/>
      <c r="O56" s="162">
        <f t="shared" si="165"/>
        <v>72</v>
      </c>
      <c r="P56" s="302">
        <v>13</v>
      </c>
      <c r="Q56" s="416"/>
      <c r="R56" s="417"/>
      <c r="S56" s="417"/>
      <c r="T56" s="417"/>
      <c r="U56" s="417"/>
      <c r="V56" s="417"/>
      <c r="W56" s="417"/>
      <c r="X56" s="417"/>
      <c r="Y56" s="417"/>
      <c r="Z56" s="417"/>
      <c r="AA56" s="417"/>
      <c r="AB56" s="417"/>
      <c r="AC56" s="417"/>
      <c r="AD56" s="417"/>
      <c r="AE56" s="417"/>
      <c r="AF56" s="417"/>
      <c r="AG56" s="417"/>
      <c r="AH56" s="417"/>
      <c r="AI56" s="417"/>
      <c r="AJ56" s="417"/>
      <c r="AK56" s="64"/>
      <c r="AL56" s="64"/>
      <c r="AM56" s="270" t="s">
        <v>91</v>
      </c>
      <c r="AN56" s="304"/>
      <c r="AO56" s="303" t="e">
        <f>AO55*C11</f>
        <v>#VALUE!</v>
      </c>
      <c r="AP56" s="303" t="s">
        <v>86</v>
      </c>
      <c r="AQ56" s="65"/>
    </row>
    <row r="57" spans="2:59" ht="16.5" thickBot="1" x14ac:dyDescent="0.3">
      <c r="B57" s="78"/>
      <c r="C57" s="71"/>
      <c r="D57" s="109" t="e">
        <f>I49</f>
        <v>#VALUE!</v>
      </c>
      <c r="E57" s="133" t="e">
        <f>INDEX(C16:W36,$I$50,$D$50)</f>
        <v>#VALUE!</v>
      </c>
      <c r="F57" s="133" t="e">
        <f>(((F54-E54)/(G54-E54))*(G57-E57))+E57</f>
        <v>#VALUE!</v>
      </c>
      <c r="G57" s="133" t="e">
        <f>INDEX(C16:W36,$I$50,$E$50)</f>
        <v>#VALUE!</v>
      </c>
      <c r="H57" s="71"/>
      <c r="I57" s="71"/>
      <c r="J57" s="71"/>
      <c r="K57" s="71"/>
      <c r="L57" s="75"/>
      <c r="N57" s="103"/>
      <c r="O57" s="162">
        <f t="shared" si="165"/>
        <v>78</v>
      </c>
      <c r="P57" s="302">
        <v>14</v>
      </c>
      <c r="Q57" s="416"/>
      <c r="R57" s="417"/>
      <c r="S57" s="417"/>
      <c r="T57" s="417"/>
      <c r="U57" s="417"/>
      <c r="V57" s="417"/>
      <c r="W57" s="417"/>
      <c r="X57" s="417"/>
      <c r="Y57" s="417"/>
      <c r="Z57" s="417"/>
      <c r="AA57" s="417"/>
      <c r="AB57" s="417"/>
      <c r="AC57" s="417"/>
      <c r="AD57" s="417"/>
      <c r="AE57" s="417"/>
      <c r="AF57" s="417"/>
      <c r="AG57" s="417"/>
      <c r="AH57" s="417"/>
      <c r="AI57" s="417"/>
      <c r="AJ57" s="417"/>
      <c r="AK57" s="64"/>
      <c r="AL57" s="64"/>
      <c r="AM57" s="64"/>
      <c r="AN57" s="303"/>
      <c r="AO57" s="303"/>
      <c r="AP57" s="303"/>
      <c r="AQ57" s="65"/>
    </row>
    <row r="58" spans="2:59" ht="15.75" thickBot="1" x14ac:dyDescent="0.3">
      <c r="B58" s="78"/>
      <c r="C58" s="71"/>
      <c r="D58" s="71"/>
      <c r="E58" s="71"/>
      <c r="F58" s="71"/>
      <c r="G58" s="71"/>
      <c r="H58" s="71"/>
      <c r="I58" s="71"/>
      <c r="J58" s="71"/>
      <c r="K58" s="71"/>
      <c r="L58" s="75"/>
      <c r="N58" s="103"/>
      <c r="O58" s="162">
        <f t="shared" si="165"/>
        <v>84</v>
      </c>
      <c r="P58" s="302">
        <v>15</v>
      </c>
      <c r="Q58" s="416"/>
      <c r="R58" s="417"/>
      <c r="S58" s="417"/>
      <c r="T58" s="417"/>
      <c r="U58" s="417"/>
      <c r="V58" s="417"/>
      <c r="W58" s="417"/>
      <c r="X58" s="417"/>
      <c r="Y58" s="417"/>
      <c r="Z58" s="417"/>
      <c r="AA58" s="417"/>
      <c r="AB58" s="417"/>
      <c r="AC58" s="417"/>
      <c r="AD58" s="417"/>
      <c r="AE58" s="417"/>
      <c r="AF58" s="417"/>
      <c r="AG58" s="417"/>
      <c r="AH58" s="417"/>
      <c r="AI58" s="417"/>
      <c r="AJ58" s="417"/>
      <c r="AK58" s="64"/>
      <c r="AL58" s="64"/>
      <c r="AM58" s="64"/>
      <c r="AN58" s="303"/>
      <c r="AO58" s="303"/>
      <c r="AP58" s="303"/>
      <c r="AQ58" s="97"/>
    </row>
    <row r="59" spans="2:59" ht="15.75" thickBot="1" x14ac:dyDescent="0.3">
      <c r="B59" s="78"/>
      <c r="C59" s="71"/>
      <c r="D59" s="71"/>
      <c r="E59" s="71"/>
      <c r="F59" s="71"/>
      <c r="G59" s="71"/>
      <c r="H59" s="71"/>
      <c r="I59" s="71"/>
      <c r="J59" s="71"/>
      <c r="K59" s="71"/>
      <c r="L59" s="75"/>
      <c r="N59" s="103"/>
      <c r="O59" s="162">
        <f t="shared" si="165"/>
        <v>90</v>
      </c>
      <c r="P59" s="302">
        <v>16</v>
      </c>
      <c r="Q59" s="416"/>
      <c r="R59" s="417"/>
      <c r="S59" s="417"/>
      <c r="T59" s="417"/>
      <c r="U59" s="417"/>
      <c r="V59" s="417"/>
      <c r="W59" s="417"/>
      <c r="X59" s="417"/>
      <c r="Y59" s="417"/>
      <c r="Z59" s="417"/>
      <c r="AA59" s="417"/>
      <c r="AB59" s="417"/>
      <c r="AC59" s="417"/>
      <c r="AD59" s="417"/>
      <c r="AE59" s="417"/>
      <c r="AF59" s="417"/>
      <c r="AG59" s="417"/>
      <c r="AH59" s="417"/>
      <c r="AI59" s="417"/>
      <c r="AJ59" s="417"/>
      <c r="AK59" s="64"/>
      <c r="AL59" s="64"/>
      <c r="AM59" s="64"/>
      <c r="AN59" s="64"/>
      <c r="AO59" s="64"/>
      <c r="AP59" s="64"/>
      <c r="AQ59" s="97"/>
      <c r="BG59" s="83"/>
    </row>
    <row r="60" spans="2:59" ht="15.75" thickBot="1" x14ac:dyDescent="0.3">
      <c r="B60" s="78"/>
      <c r="C60" s="71"/>
      <c r="D60" s="71"/>
      <c r="E60" s="71"/>
      <c r="F60" s="71"/>
      <c r="G60" s="71"/>
      <c r="H60" s="71"/>
      <c r="I60" s="71"/>
      <c r="J60" s="71"/>
      <c r="K60" s="71"/>
      <c r="L60" s="75"/>
      <c r="N60" s="103"/>
      <c r="O60" s="162">
        <f t="shared" si="165"/>
        <v>96</v>
      </c>
      <c r="P60" s="302">
        <v>17</v>
      </c>
      <c r="Q60" s="416"/>
      <c r="R60" s="417"/>
      <c r="S60" s="417"/>
      <c r="T60" s="417"/>
      <c r="U60" s="417"/>
      <c r="V60" s="417"/>
      <c r="W60" s="417"/>
      <c r="X60" s="417"/>
      <c r="Y60" s="417"/>
      <c r="Z60" s="417"/>
      <c r="AA60" s="417"/>
      <c r="AB60" s="417"/>
      <c r="AC60" s="417"/>
      <c r="AD60" s="417"/>
      <c r="AE60" s="417"/>
      <c r="AF60" s="417"/>
      <c r="AG60" s="417"/>
      <c r="AH60" s="417"/>
      <c r="AI60" s="417"/>
      <c r="AJ60" s="417"/>
      <c r="AK60" s="64"/>
      <c r="AL60" s="64"/>
      <c r="AM60" s="64"/>
      <c r="AN60" s="64"/>
      <c r="AO60" s="64"/>
      <c r="AP60" s="64"/>
      <c r="AQ60" s="97"/>
      <c r="BG60" s="83"/>
    </row>
    <row r="61" spans="2:59" ht="21.75" thickBot="1" x14ac:dyDescent="0.4">
      <c r="B61" s="229" t="s">
        <v>80</v>
      </c>
      <c r="C61" s="71"/>
      <c r="D61" s="71"/>
      <c r="E61" s="71"/>
      <c r="F61" s="71"/>
      <c r="G61" s="71"/>
      <c r="H61" s="71"/>
      <c r="I61" s="71"/>
      <c r="J61" s="71"/>
      <c r="K61" s="71"/>
      <c r="L61" s="75"/>
      <c r="N61" s="103"/>
      <c r="O61" s="162">
        <f t="shared" si="165"/>
        <v>102</v>
      </c>
      <c r="P61" s="302">
        <v>18</v>
      </c>
      <c r="Q61" s="416"/>
      <c r="R61" s="417"/>
      <c r="S61" s="417"/>
      <c r="T61" s="417"/>
      <c r="U61" s="417"/>
      <c r="V61" s="417"/>
      <c r="W61" s="417"/>
      <c r="X61" s="417"/>
      <c r="Y61" s="417"/>
      <c r="Z61" s="417"/>
      <c r="AA61" s="417"/>
      <c r="AB61" s="417"/>
      <c r="AC61" s="417"/>
      <c r="AD61" s="417"/>
      <c r="AE61" s="417"/>
      <c r="AF61" s="417"/>
      <c r="AG61" s="417"/>
      <c r="AH61" s="417"/>
      <c r="AI61" s="417"/>
      <c r="AJ61" s="417"/>
      <c r="AK61" s="64"/>
      <c r="AL61" s="64"/>
      <c r="AM61" s="64"/>
      <c r="AN61" s="64"/>
      <c r="AO61" s="64"/>
      <c r="AP61" s="64"/>
      <c r="AQ61" s="97"/>
      <c r="BG61" s="83"/>
    </row>
    <row r="62" spans="2:59" ht="19.5" thickBot="1" x14ac:dyDescent="0.35">
      <c r="B62" s="230" t="s">
        <v>46</v>
      </c>
      <c r="C62" s="71"/>
      <c r="D62" s="141" t="e">
        <f>F56*(D3*D4)/144</f>
        <v>#VALUE!</v>
      </c>
      <c r="E62" s="256" t="s">
        <v>45</v>
      </c>
      <c r="F62" s="71"/>
      <c r="G62" s="71"/>
      <c r="H62" s="71"/>
      <c r="I62" s="71"/>
      <c r="J62" s="71"/>
      <c r="K62" s="71"/>
      <c r="L62" s="75"/>
      <c r="N62" s="103"/>
      <c r="O62" s="162">
        <f t="shared" si="165"/>
        <v>108</v>
      </c>
      <c r="P62" s="302">
        <v>19</v>
      </c>
      <c r="Q62" s="416"/>
      <c r="R62" s="417"/>
      <c r="S62" s="417"/>
      <c r="T62" s="417"/>
      <c r="U62" s="417"/>
      <c r="V62" s="417"/>
      <c r="W62" s="417"/>
      <c r="X62" s="417"/>
      <c r="Y62" s="417"/>
      <c r="Z62" s="417"/>
      <c r="AA62" s="417"/>
      <c r="AB62" s="417"/>
      <c r="AC62" s="417"/>
      <c r="AD62" s="417"/>
      <c r="AE62" s="417"/>
      <c r="AF62" s="417"/>
      <c r="AG62" s="417"/>
      <c r="AH62" s="417"/>
      <c r="AI62" s="417"/>
      <c r="AJ62" s="417"/>
      <c r="AK62" s="64"/>
      <c r="AL62" s="64"/>
      <c r="AM62" s="64"/>
      <c r="AN62" s="64"/>
      <c r="AO62" s="64"/>
      <c r="AP62" s="64"/>
      <c r="AQ62" s="97"/>
      <c r="BG62" s="83"/>
    </row>
    <row r="63" spans="2:59" ht="19.5" thickBot="1" x14ac:dyDescent="0.35">
      <c r="B63" s="230" t="s">
        <v>47</v>
      </c>
      <c r="C63" s="71"/>
      <c r="D63" s="142" t="e">
        <f>(D3*D4)/144</f>
        <v>#VALUE!</v>
      </c>
      <c r="E63" s="256" t="s">
        <v>45</v>
      </c>
      <c r="F63" s="71"/>
      <c r="G63" s="71"/>
      <c r="H63" s="71"/>
      <c r="I63" s="71"/>
      <c r="J63" s="71"/>
      <c r="K63" s="71"/>
      <c r="L63" s="75"/>
      <c r="N63" s="103"/>
      <c r="O63" s="162">
        <f t="shared" si="165"/>
        <v>114</v>
      </c>
      <c r="P63" s="302">
        <v>20</v>
      </c>
      <c r="Q63" s="416"/>
      <c r="R63" s="417"/>
      <c r="S63" s="417"/>
      <c r="T63" s="417"/>
      <c r="U63" s="417"/>
      <c r="V63" s="417"/>
      <c r="W63" s="417"/>
      <c r="X63" s="417"/>
      <c r="Y63" s="417"/>
      <c r="Z63" s="417"/>
      <c r="AA63" s="417"/>
      <c r="AB63" s="417"/>
      <c r="AC63" s="417"/>
      <c r="AD63" s="417"/>
      <c r="AE63" s="417"/>
      <c r="AF63" s="417"/>
      <c r="AG63" s="417"/>
      <c r="AH63" s="417"/>
      <c r="AI63" s="417"/>
      <c r="AJ63" s="417"/>
      <c r="AK63" s="64"/>
      <c r="AL63" s="64"/>
      <c r="AM63" s="64"/>
      <c r="AN63" s="64"/>
      <c r="AO63" s="64"/>
      <c r="AP63" s="64"/>
      <c r="AQ63" s="97"/>
      <c r="BG63" s="83"/>
    </row>
    <row r="64" spans="2:59" ht="19.5" thickBot="1" x14ac:dyDescent="0.35">
      <c r="B64" s="230" t="s">
        <v>81</v>
      </c>
      <c r="C64" s="71"/>
      <c r="D64" s="138" t="e">
        <f>F56*100</f>
        <v>#VALUE!</v>
      </c>
      <c r="E64" s="256" t="s">
        <v>16</v>
      </c>
      <c r="F64" s="71"/>
      <c r="G64" s="71"/>
      <c r="H64" s="71"/>
      <c r="I64" s="71"/>
      <c r="J64" s="71"/>
      <c r="K64" s="71"/>
      <c r="L64" s="75"/>
      <c r="N64" s="103"/>
      <c r="O64" s="162">
        <f t="shared" si="165"/>
        <v>120</v>
      </c>
      <c r="P64" s="302">
        <v>21</v>
      </c>
      <c r="Q64" s="416"/>
      <c r="R64" s="417"/>
      <c r="S64" s="417"/>
      <c r="T64" s="417"/>
      <c r="U64" s="417"/>
      <c r="V64" s="417"/>
      <c r="W64" s="417"/>
      <c r="X64" s="417"/>
      <c r="Y64" s="417"/>
      <c r="Z64" s="417"/>
      <c r="AA64" s="417"/>
      <c r="AB64" s="417"/>
      <c r="AC64" s="417"/>
      <c r="AD64" s="417"/>
      <c r="AE64" s="417"/>
      <c r="AF64" s="417"/>
      <c r="AG64" s="417"/>
      <c r="AH64" s="417"/>
      <c r="AI64" s="417"/>
      <c r="AJ64" s="417"/>
      <c r="AK64" s="64"/>
      <c r="AL64" s="64"/>
      <c r="AM64" s="64"/>
      <c r="AN64" s="64"/>
      <c r="AO64" s="64"/>
      <c r="AP64" s="64"/>
      <c r="AQ64" s="97"/>
      <c r="BG64" s="83"/>
    </row>
    <row r="65" spans="2:59" ht="15.75" thickBot="1" x14ac:dyDescent="0.3">
      <c r="B65" s="78"/>
      <c r="C65" s="401"/>
      <c r="D65" s="71"/>
      <c r="E65" s="71"/>
      <c r="F65" s="71"/>
      <c r="G65" s="71"/>
      <c r="H65" s="71"/>
      <c r="I65" s="71"/>
      <c r="J65" s="71"/>
      <c r="K65" s="71"/>
      <c r="L65" s="75"/>
      <c r="N65" s="103"/>
      <c r="O65" s="149"/>
      <c r="P65" s="302"/>
      <c r="Q65" s="149"/>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5"/>
      <c r="BG65" s="83"/>
    </row>
    <row r="66" spans="2:59" ht="19.5" thickBot="1" x14ac:dyDescent="0.35">
      <c r="B66" s="231" t="s">
        <v>82</v>
      </c>
      <c r="D66" s="311" t="e">
        <f>C5/D62</f>
        <v>#VALUE!</v>
      </c>
      <c r="E66" s="256" t="s">
        <v>48</v>
      </c>
      <c r="F66" s="72"/>
      <c r="G66" s="72"/>
      <c r="H66" s="72"/>
      <c r="I66" s="72"/>
      <c r="J66" s="72"/>
      <c r="K66" s="72"/>
      <c r="L66" s="81"/>
      <c r="N66" s="103"/>
      <c r="O66" s="149"/>
      <c r="P66" s="65"/>
      <c r="Q66" s="149"/>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5"/>
    </row>
    <row r="67" spans="2:59" ht="19.5" thickBot="1" x14ac:dyDescent="0.35">
      <c r="B67" s="232" t="s">
        <v>83</v>
      </c>
      <c r="C67" s="402" t="s">
        <v>9</v>
      </c>
      <c r="D67" s="430" t="e">
        <f>1.70654844438105E-07*D66^2 + 7.72494047896E-19*D66 - 2.15105711021124E-16</f>
        <v>#VALUE!</v>
      </c>
      <c r="E67" s="256" t="s">
        <v>99</v>
      </c>
      <c r="F67" s="72"/>
      <c r="G67" s="72"/>
      <c r="H67" s="72"/>
      <c r="I67" s="72"/>
      <c r="J67" s="72"/>
      <c r="K67" s="72"/>
      <c r="L67" s="81"/>
      <c r="N67" s="164"/>
      <c r="O67" s="163"/>
      <c r="P67" s="69"/>
      <c r="Q67" s="163"/>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9"/>
    </row>
    <row r="68" spans="2:59" ht="18.75" x14ac:dyDescent="0.3">
      <c r="B68" s="233"/>
      <c r="C68" s="402" t="s">
        <v>10</v>
      </c>
      <c r="D68" s="430" t="e">
        <f>1.45002333746652E-07*D66^2 + 7.99599102208E-19*D66+ 5.27355936696949E-16</f>
        <v>#VALUE!</v>
      </c>
      <c r="E68" s="256" t="s">
        <v>99</v>
      </c>
      <c r="F68" s="72"/>
      <c r="G68" s="72"/>
      <c r="H68" s="72"/>
      <c r="I68" s="72"/>
      <c r="J68" s="72"/>
      <c r="K68" s="72"/>
      <c r="L68" s="81"/>
    </row>
    <row r="69" spans="2:59" ht="15.75" thickBot="1" x14ac:dyDescent="0.3">
      <c r="B69" s="79"/>
      <c r="C69" s="76"/>
      <c r="D69" s="76"/>
      <c r="E69" s="76"/>
      <c r="F69" s="76"/>
      <c r="G69" s="76"/>
      <c r="H69" s="76"/>
      <c r="I69" s="76"/>
      <c r="J69" s="76"/>
      <c r="K69" s="76"/>
      <c r="L69" s="77"/>
    </row>
    <row r="70" spans="2:59" ht="21.75" thickBot="1" x14ac:dyDescent="0.4">
      <c r="N70" s="159" t="s">
        <v>187</v>
      </c>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1"/>
    </row>
    <row r="71" spans="2:59" ht="25.5" customHeight="1" thickBot="1" x14ac:dyDescent="0.3">
      <c r="N71" s="879"/>
      <c r="O71" s="252"/>
      <c r="P71" s="95"/>
      <c r="Q71" s="253">
        <f>F11</f>
        <v>9</v>
      </c>
      <c r="R71" s="254">
        <v>12</v>
      </c>
      <c r="S71" s="254">
        <f t="shared" ref="S71:AJ71" si="166">R71+6</f>
        <v>18</v>
      </c>
      <c r="T71" s="254">
        <f t="shared" si="166"/>
        <v>24</v>
      </c>
      <c r="U71" s="254">
        <f t="shared" si="166"/>
        <v>30</v>
      </c>
      <c r="V71" s="254">
        <f t="shared" si="166"/>
        <v>36</v>
      </c>
      <c r="W71" s="254">
        <f t="shared" si="166"/>
        <v>42</v>
      </c>
      <c r="X71" s="254">
        <f t="shared" si="166"/>
        <v>48</v>
      </c>
      <c r="Y71" s="254">
        <f t="shared" si="166"/>
        <v>54</v>
      </c>
      <c r="Z71" s="254">
        <f t="shared" si="166"/>
        <v>60</v>
      </c>
      <c r="AA71" s="254">
        <f t="shared" si="166"/>
        <v>66</v>
      </c>
      <c r="AB71" s="254">
        <f t="shared" si="166"/>
        <v>72</v>
      </c>
      <c r="AC71" s="254">
        <f t="shared" si="166"/>
        <v>78</v>
      </c>
      <c r="AD71" s="254">
        <f t="shared" si="166"/>
        <v>84</v>
      </c>
      <c r="AE71" s="254">
        <f t="shared" si="166"/>
        <v>90</v>
      </c>
      <c r="AF71" s="254">
        <f t="shared" si="166"/>
        <v>96</v>
      </c>
      <c r="AG71" s="254">
        <f t="shared" si="166"/>
        <v>102</v>
      </c>
      <c r="AH71" s="254">
        <f t="shared" si="166"/>
        <v>108</v>
      </c>
      <c r="AI71" s="254">
        <f t="shared" si="166"/>
        <v>114</v>
      </c>
      <c r="AJ71" s="254">
        <f t="shared" si="166"/>
        <v>120</v>
      </c>
      <c r="AK71" s="94"/>
      <c r="AL71" s="94"/>
      <c r="AM71" s="94"/>
      <c r="AN71" s="94"/>
      <c r="AO71" s="94"/>
      <c r="AP71" s="94"/>
      <c r="AQ71" s="95"/>
    </row>
    <row r="72" spans="2:59" ht="15.75" thickBot="1" x14ac:dyDescent="0.3">
      <c r="N72" s="880"/>
      <c r="O72" s="67"/>
      <c r="P72" s="300">
        <v>1</v>
      </c>
      <c r="Q72" s="163">
        <v>2</v>
      </c>
      <c r="R72" s="68">
        <v>3</v>
      </c>
      <c r="S72" s="68">
        <v>4</v>
      </c>
      <c r="T72" s="68">
        <v>5</v>
      </c>
      <c r="U72" s="68">
        <v>6</v>
      </c>
      <c r="V72" s="68">
        <v>7</v>
      </c>
      <c r="W72" s="68">
        <v>8</v>
      </c>
      <c r="X72" s="68">
        <v>9</v>
      </c>
      <c r="Y72" s="68">
        <v>10</v>
      </c>
      <c r="Z72" s="68">
        <v>11</v>
      </c>
      <c r="AA72" s="68">
        <v>12</v>
      </c>
      <c r="AB72" s="68">
        <v>13</v>
      </c>
      <c r="AC72" s="68">
        <v>14</v>
      </c>
      <c r="AD72" s="68">
        <v>15</v>
      </c>
      <c r="AE72" s="68">
        <v>16</v>
      </c>
      <c r="AF72" s="68">
        <v>17</v>
      </c>
      <c r="AG72" s="68">
        <v>18</v>
      </c>
      <c r="AH72" s="68">
        <v>19</v>
      </c>
      <c r="AI72" s="68">
        <v>20</v>
      </c>
      <c r="AJ72" s="68">
        <v>21</v>
      </c>
      <c r="AK72" s="68"/>
      <c r="AL72" s="68"/>
      <c r="AM72" s="68"/>
      <c r="AN72" s="68"/>
      <c r="AO72" s="68"/>
      <c r="AP72" s="68"/>
      <c r="AQ72" s="69"/>
    </row>
    <row r="73" spans="2:59" ht="15.75" thickBot="1" x14ac:dyDescent="0.3">
      <c r="N73" s="250"/>
      <c r="O73" s="251">
        <f>F12</f>
        <v>9.5</v>
      </c>
      <c r="P73" s="301">
        <v>2</v>
      </c>
      <c r="Q73" s="151"/>
      <c r="R73" s="151"/>
      <c r="S73" s="151"/>
      <c r="T73" s="151"/>
      <c r="U73" s="151"/>
      <c r="V73" s="151"/>
      <c r="W73" s="151"/>
      <c r="X73" s="151"/>
      <c r="Y73" s="151"/>
      <c r="Z73" s="151"/>
      <c r="AA73" s="151"/>
      <c r="AB73" s="151"/>
      <c r="AC73" s="151"/>
      <c r="AD73" s="151"/>
      <c r="AE73" s="151"/>
      <c r="AF73" s="151"/>
      <c r="AG73" s="151"/>
      <c r="AH73" s="151"/>
      <c r="AI73" s="151"/>
      <c r="AJ73" s="151"/>
      <c r="AK73" s="150"/>
      <c r="AL73" s="150"/>
      <c r="AM73" s="150"/>
      <c r="AN73" s="150"/>
      <c r="AO73" s="150"/>
      <c r="AP73" s="150"/>
      <c r="AQ73" s="158"/>
    </row>
    <row r="74" spans="2:59" ht="16.5" thickBot="1" x14ac:dyDescent="0.3">
      <c r="N74" s="297"/>
      <c r="O74" s="162">
        <v>12</v>
      </c>
      <c r="P74" s="302">
        <v>3</v>
      </c>
      <c r="Q74" s="151"/>
      <c r="R74" s="151"/>
      <c r="S74" s="151"/>
      <c r="T74" s="151"/>
      <c r="U74" s="151"/>
      <c r="V74" s="151"/>
      <c r="W74" s="151"/>
      <c r="X74" s="151"/>
      <c r="Y74" s="151"/>
      <c r="Z74" s="151"/>
      <c r="AA74" s="151"/>
      <c r="AB74" s="151"/>
      <c r="AC74" s="151"/>
      <c r="AD74" s="151"/>
      <c r="AE74" s="151"/>
      <c r="AF74" s="151"/>
      <c r="AG74" s="151"/>
      <c r="AH74" s="151"/>
      <c r="AI74" s="151"/>
      <c r="AJ74" s="151"/>
      <c r="AK74" s="64"/>
      <c r="AL74" s="154"/>
      <c r="AM74" s="154" t="e">
        <f>D49</f>
        <v>#VALUE!</v>
      </c>
      <c r="AN74" s="155" t="e">
        <f>C43</f>
        <v>#VALUE!</v>
      </c>
      <c r="AO74" s="154" t="e">
        <f>E49</f>
        <v>#VALUE!</v>
      </c>
      <c r="AP74" s="64"/>
      <c r="AQ74" s="65"/>
    </row>
    <row r="75" spans="2:59" ht="16.5" thickBot="1" x14ac:dyDescent="0.3">
      <c r="N75" s="298"/>
      <c r="O75" s="162">
        <f t="shared" ref="O75:O92" si="167">O74+6</f>
        <v>18</v>
      </c>
      <c r="P75" s="302">
        <v>4</v>
      </c>
      <c r="Q75" s="151"/>
      <c r="R75" s="151"/>
      <c r="S75" s="151"/>
      <c r="T75" s="151"/>
      <c r="U75" s="151"/>
      <c r="V75" s="151"/>
      <c r="W75" s="151"/>
      <c r="X75" s="151"/>
      <c r="Y75" s="151"/>
      <c r="Z75" s="151"/>
      <c r="AA75" s="151"/>
      <c r="AB75" s="151"/>
      <c r="AC75" s="151"/>
      <c r="AD75" s="151"/>
      <c r="AE75" s="151"/>
      <c r="AF75" s="151"/>
      <c r="AG75" s="151"/>
      <c r="AH75" s="151"/>
      <c r="AI75" s="151"/>
      <c r="AJ75" s="151"/>
      <c r="AK75" s="96"/>
      <c r="AL75" s="154" t="e">
        <f>H49</f>
        <v>#VALUE!</v>
      </c>
      <c r="AM75" s="155" t="e">
        <f>INDEX(P72:AJ92,$H$50,$D$50)</f>
        <v>#VALUE!</v>
      </c>
      <c r="AN75" s="155" t="e">
        <f>(((AN74-AM74)/(AO74-AM74))*(AO75-AM75))+AM75</f>
        <v>#VALUE!</v>
      </c>
      <c r="AO75" s="155" t="e">
        <f>INDEX(P72:AJ92,$H$50,$E$50)</f>
        <v>#VALUE!</v>
      </c>
      <c r="AP75" s="64"/>
      <c r="AQ75" s="65"/>
    </row>
    <row r="76" spans="2:59" ht="16.5" thickBot="1" x14ac:dyDescent="0.3">
      <c r="N76" s="103"/>
      <c r="O76" s="162">
        <f t="shared" si="167"/>
        <v>24</v>
      </c>
      <c r="P76" s="302">
        <v>5</v>
      </c>
      <c r="Q76" s="151"/>
      <c r="R76" s="151"/>
      <c r="S76" s="151"/>
      <c r="T76" s="151"/>
      <c r="U76" s="151"/>
      <c r="V76" s="151"/>
      <c r="W76" s="151"/>
      <c r="X76" s="151"/>
      <c r="Y76" s="151"/>
      <c r="Z76" s="151"/>
      <c r="AA76" s="151"/>
      <c r="AB76" s="151"/>
      <c r="AC76" s="151"/>
      <c r="AD76" s="151"/>
      <c r="AE76" s="151"/>
      <c r="AF76" s="151"/>
      <c r="AG76" s="151"/>
      <c r="AH76" s="151"/>
      <c r="AI76" s="151"/>
      <c r="AJ76" s="151"/>
      <c r="AK76" s="64"/>
      <c r="AL76" s="469" t="e">
        <f>C44</f>
        <v>#VALUE!</v>
      </c>
      <c r="AM76" s="155" t="e">
        <f>(((AL76-AL75)/(AL77-AL75))*(AM77-AM75))+AM75</f>
        <v>#VALUE!</v>
      </c>
      <c r="AN76" s="156" t="e">
        <f>IF(AND(AN74&gt;72,AL76&gt;72),5/0,IF(AN74=120,AM76,(((AN75-AM75)/(AO75-AM75))*(AO76-AM76))+AM76))</f>
        <v>#VALUE!</v>
      </c>
      <c r="AO76" s="155" t="e">
        <f>(((AL76-AL75)/(AL77-AL75))*(AO77-AO75))+AO75</f>
        <v>#VALUE!</v>
      </c>
      <c r="AP76" s="64"/>
      <c r="AQ76" s="65"/>
    </row>
    <row r="77" spans="2:59" ht="16.5" thickBot="1" x14ac:dyDescent="0.3">
      <c r="N77" s="103"/>
      <c r="O77" s="162">
        <f t="shared" si="167"/>
        <v>30</v>
      </c>
      <c r="P77" s="302">
        <v>6</v>
      </c>
      <c r="Q77" s="151"/>
      <c r="R77" s="151"/>
      <c r="S77" s="151"/>
      <c r="T77" s="151"/>
      <c r="U77" s="151"/>
      <c r="V77" s="151"/>
      <c r="W77" s="151"/>
      <c r="X77" s="151"/>
      <c r="Y77" s="151"/>
      <c r="Z77" s="151"/>
      <c r="AA77" s="151"/>
      <c r="AB77" s="151"/>
      <c r="AC77" s="151"/>
      <c r="AD77" s="151"/>
      <c r="AE77" s="151"/>
      <c r="AF77" s="151"/>
      <c r="AG77" s="151"/>
      <c r="AH77" s="151"/>
      <c r="AI77" s="151"/>
      <c r="AJ77" s="151"/>
      <c r="AK77" s="64"/>
      <c r="AL77" s="154" t="e">
        <f>I49</f>
        <v>#VALUE!</v>
      </c>
      <c r="AM77" s="155" t="e">
        <f>INDEX(P72:AJ92,$I$50,$D$50)</f>
        <v>#VALUE!</v>
      </c>
      <c r="AN77" s="155" t="e">
        <f>(((AN74-AM74)/(AO74-AM74))*(AO77-AM77))+AM77</f>
        <v>#VALUE!</v>
      </c>
      <c r="AO77" s="155" t="e">
        <f>INDEX(P72:AJ92,$I$50,$E$50)</f>
        <v>#VALUE!</v>
      </c>
      <c r="AP77" s="64"/>
      <c r="AQ77" s="65"/>
    </row>
    <row r="78" spans="2:59" ht="15.75" thickBot="1" x14ac:dyDescent="0.3">
      <c r="N78" s="103"/>
      <c r="O78" s="162">
        <f t="shared" si="167"/>
        <v>36</v>
      </c>
      <c r="P78" s="302">
        <v>7</v>
      </c>
      <c r="Q78" s="151"/>
      <c r="R78" s="151"/>
      <c r="S78" s="151"/>
      <c r="T78" s="151"/>
      <c r="U78" s="151"/>
      <c r="V78" s="151"/>
      <c r="W78" s="151"/>
      <c r="X78" s="151"/>
      <c r="Y78" s="151"/>
      <c r="Z78" s="151"/>
      <c r="AA78" s="151"/>
      <c r="AB78" s="151"/>
      <c r="AC78" s="151"/>
      <c r="AD78" s="151"/>
      <c r="AE78" s="151"/>
      <c r="AF78" s="151"/>
      <c r="AG78" s="151"/>
      <c r="AH78" s="151"/>
      <c r="AI78" s="151"/>
      <c r="AJ78" s="151"/>
      <c r="AK78" s="64"/>
      <c r="AL78" s="64"/>
      <c r="AM78" s="64"/>
      <c r="AN78" s="64"/>
      <c r="AO78" s="64"/>
      <c r="AP78" s="64"/>
      <c r="AQ78" s="65"/>
    </row>
    <row r="79" spans="2:59" ht="15.75" thickBot="1" x14ac:dyDescent="0.3">
      <c r="N79" s="103"/>
      <c r="O79" s="162">
        <f t="shared" si="167"/>
        <v>42</v>
      </c>
      <c r="P79" s="302">
        <v>8</v>
      </c>
      <c r="Q79" s="151"/>
      <c r="R79" s="151"/>
      <c r="S79" s="151"/>
      <c r="T79" s="151"/>
      <c r="U79" s="151"/>
      <c r="V79" s="151"/>
      <c r="W79" s="151"/>
      <c r="X79" s="151"/>
      <c r="Y79" s="151"/>
      <c r="Z79" s="151"/>
      <c r="AA79" s="151"/>
      <c r="AB79" s="151"/>
      <c r="AC79" s="151"/>
      <c r="AD79" s="151"/>
      <c r="AE79" s="151"/>
      <c r="AF79" s="151"/>
      <c r="AG79" s="151"/>
      <c r="AH79" s="151"/>
      <c r="AI79" s="151"/>
      <c r="AJ79" s="151"/>
      <c r="AK79" s="64"/>
      <c r="AL79" s="64"/>
      <c r="AM79" s="64"/>
      <c r="AN79" s="64"/>
      <c r="AO79" s="64"/>
      <c r="AP79" s="64"/>
      <c r="AQ79" s="65"/>
    </row>
    <row r="80" spans="2:59" ht="15.75" thickBot="1" x14ac:dyDescent="0.3">
      <c r="N80" s="103"/>
      <c r="O80" s="162">
        <f t="shared" si="167"/>
        <v>48</v>
      </c>
      <c r="P80" s="302">
        <v>9</v>
      </c>
      <c r="Q80" s="151"/>
      <c r="R80" s="151"/>
      <c r="S80" s="151"/>
      <c r="T80" s="151"/>
      <c r="U80" s="151"/>
      <c r="V80" s="151"/>
      <c r="W80" s="151"/>
      <c r="X80" s="151"/>
      <c r="Y80" s="151"/>
      <c r="Z80" s="151"/>
      <c r="AA80" s="151"/>
      <c r="AB80" s="151"/>
      <c r="AC80" s="151"/>
      <c r="AD80" s="151"/>
      <c r="AE80" s="151"/>
      <c r="AF80" s="151"/>
      <c r="AG80" s="151"/>
      <c r="AH80" s="151"/>
      <c r="AI80" s="151"/>
      <c r="AJ80" s="151"/>
      <c r="AK80" s="64"/>
      <c r="AL80" s="64"/>
      <c r="AM80" s="64" t="s">
        <v>185</v>
      </c>
      <c r="AN80" s="64">
        <v>1.9E-2</v>
      </c>
      <c r="AO80" s="64" t="s">
        <v>182</v>
      </c>
      <c r="AP80" s="64"/>
      <c r="AQ80" s="65"/>
    </row>
    <row r="81" spans="14:43" ht="15.75" thickBot="1" x14ac:dyDescent="0.3">
      <c r="N81" s="103"/>
      <c r="O81" s="162">
        <f t="shared" si="167"/>
        <v>54</v>
      </c>
      <c r="P81" s="302">
        <v>10</v>
      </c>
      <c r="Q81" s="151"/>
      <c r="R81" s="151"/>
      <c r="S81" s="151"/>
      <c r="T81" s="151"/>
      <c r="U81" s="151"/>
      <c r="V81" s="151"/>
      <c r="W81" s="151"/>
      <c r="X81" s="151"/>
      <c r="Y81" s="151"/>
      <c r="Z81" s="151"/>
      <c r="AA81" s="151"/>
      <c r="AB81" s="151"/>
      <c r="AC81" s="151"/>
      <c r="AD81" s="151"/>
      <c r="AE81" s="151"/>
      <c r="AF81" s="151"/>
      <c r="AG81" s="151"/>
      <c r="AH81" s="151"/>
      <c r="AI81" s="151"/>
      <c r="AJ81" s="151"/>
      <c r="AK81" s="64"/>
      <c r="AL81" s="64"/>
      <c r="AM81" s="64" t="s">
        <v>195</v>
      </c>
      <c r="AN81" s="64" t="e">
        <f>((2*D3)+(2*D4))</f>
        <v>#VALUE!</v>
      </c>
      <c r="AO81" s="64" t="s">
        <v>196</v>
      </c>
      <c r="AP81" s="64"/>
      <c r="AQ81" s="65"/>
    </row>
    <row r="82" spans="14:43" ht="15.75" thickBot="1" x14ac:dyDescent="0.3">
      <c r="N82" s="103"/>
      <c r="O82" s="162">
        <f t="shared" si="167"/>
        <v>60</v>
      </c>
      <c r="P82" s="302">
        <v>11</v>
      </c>
      <c r="Q82" s="151"/>
      <c r="R82" s="151"/>
      <c r="S82" s="151"/>
      <c r="T82" s="151"/>
      <c r="U82" s="151"/>
      <c r="V82" s="151"/>
      <c r="W82" s="151"/>
      <c r="X82" s="151"/>
      <c r="Y82" s="151"/>
      <c r="Z82" s="151"/>
      <c r="AA82" s="151"/>
      <c r="AB82" s="151"/>
      <c r="AC82" s="151"/>
      <c r="AD82" s="151"/>
      <c r="AE82" s="151"/>
      <c r="AF82" s="151"/>
      <c r="AG82" s="151"/>
      <c r="AH82" s="151"/>
      <c r="AI82" s="151"/>
      <c r="AJ82" s="151"/>
      <c r="AK82" s="64"/>
      <c r="AL82" s="64"/>
      <c r="AM82" s="64"/>
      <c r="AN82" s="303"/>
      <c r="AO82" s="64"/>
      <c r="AP82" s="64"/>
      <c r="AQ82" s="65"/>
    </row>
    <row r="83" spans="14:43" ht="16.5" thickBot="1" x14ac:dyDescent="0.3">
      <c r="N83" s="103"/>
      <c r="O83" s="162">
        <f t="shared" si="167"/>
        <v>66</v>
      </c>
      <c r="P83" s="302">
        <v>12</v>
      </c>
      <c r="Q83" s="151"/>
      <c r="R83" s="151"/>
      <c r="S83" s="151"/>
      <c r="T83" s="151"/>
      <c r="U83" s="151"/>
      <c r="V83" s="151"/>
      <c r="W83" s="151"/>
      <c r="X83" s="151"/>
      <c r="Y83" s="151"/>
      <c r="Z83" s="151"/>
      <c r="AA83" s="151"/>
      <c r="AB83" s="151"/>
      <c r="AC83" s="151"/>
      <c r="AD83" s="151"/>
      <c r="AE83" s="151"/>
      <c r="AF83" s="151"/>
      <c r="AG83" s="151"/>
      <c r="AH83" s="151"/>
      <c r="AI83" s="151"/>
      <c r="AJ83" s="151"/>
      <c r="AK83" s="64"/>
      <c r="AL83" s="64"/>
      <c r="AM83" s="270" t="s">
        <v>183</v>
      </c>
      <c r="AN83" s="304"/>
      <c r="AO83" s="153" t="e">
        <f>AN80*AN81</f>
        <v>#VALUE!</v>
      </c>
      <c r="AP83" s="64" t="s">
        <v>184</v>
      </c>
      <c r="AQ83" s="65"/>
    </row>
    <row r="84" spans="14:43" ht="16.5" thickBot="1" x14ac:dyDescent="0.3">
      <c r="N84" s="103"/>
      <c r="O84" s="162">
        <f t="shared" si="167"/>
        <v>72</v>
      </c>
      <c r="P84" s="302">
        <v>13</v>
      </c>
      <c r="Q84" s="151"/>
      <c r="R84" s="151"/>
      <c r="S84" s="151"/>
      <c r="T84" s="151"/>
      <c r="U84" s="151"/>
      <c r="V84" s="151"/>
      <c r="W84" s="151"/>
      <c r="X84" s="151"/>
      <c r="Y84" s="151"/>
      <c r="Z84" s="151"/>
      <c r="AA84" s="151"/>
      <c r="AB84" s="151"/>
      <c r="AC84" s="151"/>
      <c r="AD84" s="151"/>
      <c r="AE84" s="151"/>
      <c r="AF84" s="151"/>
      <c r="AG84" s="151"/>
      <c r="AH84" s="151"/>
      <c r="AI84" s="151"/>
      <c r="AJ84" s="151"/>
      <c r="AK84" s="64"/>
      <c r="AL84" s="64"/>
      <c r="AM84" s="270"/>
      <c r="AN84" s="304"/>
      <c r="AO84" s="64"/>
      <c r="AP84" s="64"/>
      <c r="AQ84" s="65"/>
    </row>
    <row r="85" spans="14:43" ht="15.75" thickBot="1" x14ac:dyDescent="0.3">
      <c r="N85" s="103"/>
      <c r="O85" s="162">
        <f t="shared" si="167"/>
        <v>78</v>
      </c>
      <c r="P85" s="302">
        <v>14</v>
      </c>
      <c r="Q85" s="151"/>
      <c r="R85" s="151"/>
      <c r="S85" s="151"/>
      <c r="T85" s="151"/>
      <c r="U85" s="151"/>
      <c r="V85" s="151"/>
      <c r="W85" s="151"/>
      <c r="X85" s="151"/>
      <c r="Y85" s="151"/>
      <c r="Z85" s="151"/>
      <c r="AA85" s="151"/>
      <c r="AB85" s="151"/>
      <c r="AC85" s="151"/>
      <c r="AD85" s="151"/>
      <c r="AE85" s="151"/>
      <c r="AF85" s="151"/>
      <c r="AG85" s="151"/>
      <c r="AH85" s="151"/>
      <c r="AI85" s="151"/>
      <c r="AJ85" s="151"/>
      <c r="AK85" s="64"/>
      <c r="AL85" s="64"/>
      <c r="AM85" s="64"/>
      <c r="AN85" s="303"/>
      <c r="AO85" s="64"/>
      <c r="AP85" s="64"/>
      <c r="AQ85" s="65"/>
    </row>
    <row r="86" spans="14:43" ht="15.75" thickBot="1" x14ac:dyDescent="0.3">
      <c r="N86" s="103"/>
      <c r="O86" s="162">
        <f t="shared" si="167"/>
        <v>84</v>
      </c>
      <c r="P86" s="302">
        <v>15</v>
      </c>
      <c r="Q86" s="151"/>
      <c r="R86" s="151"/>
      <c r="S86" s="151"/>
      <c r="T86" s="151"/>
      <c r="U86" s="151"/>
      <c r="V86" s="151"/>
      <c r="W86" s="151"/>
      <c r="X86" s="151"/>
      <c r="Y86" s="151"/>
      <c r="Z86" s="151"/>
      <c r="AA86" s="151"/>
      <c r="AB86" s="151"/>
      <c r="AC86" s="151"/>
      <c r="AD86" s="151"/>
      <c r="AE86" s="151"/>
      <c r="AF86" s="151"/>
      <c r="AG86" s="151"/>
      <c r="AH86" s="151"/>
      <c r="AI86" s="151"/>
      <c r="AJ86" s="151"/>
      <c r="AK86" s="64"/>
      <c r="AL86" s="64"/>
      <c r="AM86" s="64"/>
      <c r="AN86" s="303"/>
      <c r="AO86" s="64"/>
      <c r="AP86" s="64"/>
      <c r="AQ86" s="97"/>
    </row>
    <row r="87" spans="14:43" ht="15.75" thickBot="1" x14ac:dyDescent="0.3">
      <c r="N87" s="103"/>
      <c r="O87" s="162">
        <f t="shared" si="167"/>
        <v>90</v>
      </c>
      <c r="P87" s="302">
        <v>16</v>
      </c>
      <c r="Q87" s="151"/>
      <c r="R87" s="151"/>
      <c r="S87" s="151"/>
      <c r="T87" s="151"/>
      <c r="U87" s="151"/>
      <c r="V87" s="151"/>
      <c r="W87" s="151"/>
      <c r="X87" s="151"/>
      <c r="Y87" s="151"/>
      <c r="Z87" s="151"/>
      <c r="AA87" s="151"/>
      <c r="AB87" s="151"/>
      <c r="AC87" s="151"/>
      <c r="AD87" s="151"/>
      <c r="AE87" s="151"/>
      <c r="AF87" s="151"/>
      <c r="AG87" s="151"/>
      <c r="AH87" s="151"/>
      <c r="AI87" s="151"/>
      <c r="AJ87" s="151"/>
      <c r="AK87" s="153"/>
      <c r="AL87" s="64"/>
      <c r="AM87" s="64"/>
      <c r="AN87" s="64"/>
      <c r="AO87" s="64"/>
      <c r="AP87" s="64"/>
      <c r="AQ87" s="97"/>
    </row>
    <row r="88" spans="14:43" ht="15.75" thickBot="1" x14ac:dyDescent="0.3">
      <c r="N88" s="103"/>
      <c r="O88" s="162">
        <f t="shared" si="167"/>
        <v>96</v>
      </c>
      <c r="P88" s="302">
        <v>17</v>
      </c>
      <c r="Q88" s="151"/>
      <c r="R88" s="151"/>
      <c r="S88" s="151"/>
      <c r="T88" s="151"/>
      <c r="U88" s="151"/>
      <c r="V88" s="151"/>
      <c r="W88" s="151"/>
      <c r="X88" s="151"/>
      <c r="Y88" s="151"/>
      <c r="Z88" s="151"/>
      <c r="AA88" s="151"/>
      <c r="AB88" s="151"/>
      <c r="AC88" s="151"/>
      <c r="AD88" s="151"/>
      <c r="AE88" s="151"/>
      <c r="AF88" s="151"/>
      <c r="AG88" s="151"/>
      <c r="AH88" s="151"/>
      <c r="AI88" s="151"/>
      <c r="AJ88" s="151"/>
      <c r="AK88" s="153"/>
      <c r="AL88" s="64"/>
      <c r="AM88" s="64"/>
      <c r="AN88" s="64"/>
      <c r="AO88" s="64"/>
      <c r="AP88" s="64"/>
      <c r="AQ88" s="97"/>
    </row>
    <row r="89" spans="14:43" ht="15.75" thickBot="1" x14ac:dyDescent="0.3">
      <c r="N89" s="103"/>
      <c r="O89" s="162">
        <f t="shared" si="167"/>
        <v>102</v>
      </c>
      <c r="P89" s="302">
        <v>18</v>
      </c>
      <c r="Q89" s="151"/>
      <c r="R89" s="151"/>
      <c r="S89" s="151"/>
      <c r="T89" s="151"/>
      <c r="U89" s="151"/>
      <c r="V89" s="151"/>
      <c r="W89" s="151"/>
      <c r="X89" s="151"/>
      <c r="Y89" s="151"/>
      <c r="Z89" s="151"/>
      <c r="AA89" s="151"/>
      <c r="AB89" s="151"/>
      <c r="AC89" s="151"/>
      <c r="AD89" s="151"/>
      <c r="AE89" s="151"/>
      <c r="AF89" s="151"/>
      <c r="AG89" s="151"/>
      <c r="AH89" s="151"/>
      <c r="AI89" s="151"/>
      <c r="AJ89" s="151"/>
      <c r="AK89" s="153"/>
      <c r="AL89" s="64"/>
      <c r="AM89" s="64"/>
      <c r="AN89" s="64"/>
      <c r="AO89" s="64"/>
      <c r="AP89" s="64"/>
      <c r="AQ89" s="97"/>
    </row>
    <row r="90" spans="14:43" ht="15.75" thickBot="1" x14ac:dyDescent="0.3">
      <c r="N90" s="103"/>
      <c r="O90" s="162">
        <f t="shared" si="167"/>
        <v>108</v>
      </c>
      <c r="P90" s="302">
        <v>19</v>
      </c>
      <c r="Q90" s="151"/>
      <c r="R90" s="151"/>
      <c r="S90" s="151"/>
      <c r="T90" s="151"/>
      <c r="U90" s="151"/>
      <c r="V90" s="151"/>
      <c r="W90" s="151"/>
      <c r="X90" s="151"/>
      <c r="Y90" s="151"/>
      <c r="Z90" s="151"/>
      <c r="AA90" s="151"/>
      <c r="AB90" s="151"/>
      <c r="AC90" s="151"/>
      <c r="AD90" s="151"/>
      <c r="AE90" s="151"/>
      <c r="AF90" s="151"/>
      <c r="AG90" s="151"/>
      <c r="AH90" s="151"/>
      <c r="AI90" s="151"/>
      <c r="AJ90" s="151"/>
      <c r="AK90" s="153"/>
      <c r="AL90" s="64"/>
      <c r="AM90" s="64"/>
      <c r="AN90" s="64"/>
      <c r="AO90" s="64"/>
      <c r="AP90" s="64"/>
      <c r="AQ90" s="97"/>
    </row>
    <row r="91" spans="14:43" ht="18.75" customHeight="1" thickBot="1" x14ac:dyDescent="0.3">
      <c r="N91" s="103"/>
      <c r="O91" s="162">
        <f t="shared" si="167"/>
        <v>114</v>
      </c>
      <c r="P91" s="302">
        <v>20</v>
      </c>
      <c r="Q91" s="151"/>
      <c r="R91" s="151"/>
      <c r="S91" s="151"/>
      <c r="T91" s="151"/>
      <c r="U91" s="151"/>
      <c r="V91" s="151"/>
      <c r="W91" s="151"/>
      <c r="X91" s="151"/>
      <c r="Y91" s="151"/>
      <c r="Z91" s="151"/>
      <c r="AA91" s="151"/>
      <c r="AB91" s="151"/>
      <c r="AC91" s="151"/>
      <c r="AD91" s="151"/>
      <c r="AE91" s="151"/>
      <c r="AF91" s="151"/>
      <c r="AG91" s="151"/>
      <c r="AH91" s="151"/>
      <c r="AI91" s="151"/>
      <c r="AJ91" s="151"/>
      <c r="AK91" s="153"/>
      <c r="AL91" s="64"/>
      <c r="AM91" s="64"/>
      <c r="AN91" s="64"/>
      <c r="AO91" s="64"/>
      <c r="AP91" s="64"/>
      <c r="AQ91" s="97"/>
    </row>
    <row r="92" spans="14:43" ht="18.75" customHeight="1" thickBot="1" x14ac:dyDescent="0.3">
      <c r="N92" s="103"/>
      <c r="O92" s="162">
        <f t="shared" si="167"/>
        <v>120</v>
      </c>
      <c r="P92" s="302">
        <v>21</v>
      </c>
      <c r="Q92" s="151"/>
      <c r="R92" s="151"/>
      <c r="S92" s="151"/>
      <c r="T92" s="151"/>
      <c r="U92" s="151"/>
      <c r="V92" s="151"/>
      <c r="W92" s="151"/>
      <c r="X92" s="151"/>
      <c r="Y92" s="151"/>
      <c r="Z92" s="151"/>
      <c r="AA92" s="151"/>
      <c r="AB92" s="151"/>
      <c r="AC92" s="151"/>
      <c r="AD92" s="151"/>
      <c r="AE92" s="151"/>
      <c r="AF92" s="151"/>
      <c r="AG92" s="151"/>
      <c r="AH92" s="151"/>
      <c r="AI92" s="151"/>
      <c r="AJ92" s="151"/>
      <c r="AK92" s="153"/>
      <c r="AL92" s="64"/>
      <c r="AM92" s="64"/>
      <c r="AN92" s="64"/>
      <c r="AO92" s="64"/>
      <c r="AP92" s="64"/>
      <c r="AQ92" s="97"/>
    </row>
    <row r="93" spans="14:43" ht="15.75" thickBot="1" x14ac:dyDescent="0.3">
      <c r="N93" s="103"/>
      <c r="O93" s="149"/>
      <c r="P93" s="302"/>
      <c r="Q93" s="149"/>
      <c r="R93" s="64"/>
      <c r="S93" s="64"/>
      <c r="T93" s="64"/>
      <c r="U93" s="64"/>
      <c r="V93" s="64"/>
      <c r="W93" s="64"/>
      <c r="X93" s="64"/>
      <c r="Y93" s="64"/>
      <c r="Z93" s="151"/>
      <c r="AA93" s="151"/>
      <c r="AB93" s="151"/>
      <c r="AC93" s="151"/>
      <c r="AD93" s="151"/>
      <c r="AE93" s="151"/>
      <c r="AF93" s="151"/>
      <c r="AG93" s="151"/>
      <c r="AH93" s="151"/>
      <c r="AI93" s="151"/>
      <c r="AJ93" s="151"/>
      <c r="AK93" s="64"/>
      <c r="AL93" s="64"/>
      <c r="AM93" s="64"/>
      <c r="AN93" s="64"/>
      <c r="AO93" s="64"/>
      <c r="AP93" s="64"/>
      <c r="AQ93" s="65"/>
    </row>
    <row r="94" spans="14:43" ht="15.75" thickBot="1" x14ac:dyDescent="0.3">
      <c r="N94" s="103"/>
      <c r="O94" s="149"/>
      <c r="P94" s="65"/>
      <c r="Q94" s="149"/>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5"/>
    </row>
    <row r="95" spans="14:43" ht="15.75" thickBot="1" x14ac:dyDescent="0.3">
      <c r="N95" s="164"/>
      <c r="O95" s="163"/>
      <c r="P95" s="69"/>
      <c r="Q95" s="163"/>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9"/>
    </row>
    <row r="97" spans="14:43" ht="15.75" thickBot="1" x14ac:dyDescent="0.3"/>
    <row r="98" spans="14:43" ht="21.75" thickBot="1" x14ac:dyDescent="0.4">
      <c r="N98" s="159" t="s">
        <v>186</v>
      </c>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1"/>
    </row>
    <row r="99" spans="14:43" ht="15.75" thickBot="1" x14ac:dyDescent="0.3">
      <c r="N99" s="879"/>
      <c r="O99" s="252"/>
      <c r="P99" s="95"/>
      <c r="Q99" s="253">
        <f>F11</f>
        <v>9</v>
      </c>
      <c r="R99" s="254">
        <v>12</v>
      </c>
      <c r="S99" s="254">
        <f t="shared" ref="S99:AJ99" si="168">R99+6</f>
        <v>18</v>
      </c>
      <c r="T99" s="254">
        <f t="shared" si="168"/>
        <v>24</v>
      </c>
      <c r="U99" s="254">
        <f t="shared" si="168"/>
        <v>30</v>
      </c>
      <c r="V99" s="254">
        <f t="shared" si="168"/>
        <v>36</v>
      </c>
      <c r="W99" s="254">
        <f t="shared" si="168"/>
        <v>42</v>
      </c>
      <c r="X99" s="254">
        <f t="shared" si="168"/>
        <v>48</v>
      </c>
      <c r="Y99" s="254">
        <f t="shared" si="168"/>
        <v>54</v>
      </c>
      <c r="Z99" s="254">
        <f t="shared" si="168"/>
        <v>60</v>
      </c>
      <c r="AA99" s="254">
        <f t="shared" si="168"/>
        <v>66</v>
      </c>
      <c r="AB99" s="254">
        <f t="shared" si="168"/>
        <v>72</v>
      </c>
      <c r="AC99" s="254">
        <f t="shared" si="168"/>
        <v>78</v>
      </c>
      <c r="AD99" s="254">
        <f t="shared" si="168"/>
        <v>84</v>
      </c>
      <c r="AE99" s="254">
        <f t="shared" si="168"/>
        <v>90</v>
      </c>
      <c r="AF99" s="254">
        <f t="shared" si="168"/>
        <v>96</v>
      </c>
      <c r="AG99" s="254">
        <f t="shared" si="168"/>
        <v>102</v>
      </c>
      <c r="AH99" s="254">
        <f t="shared" si="168"/>
        <v>108</v>
      </c>
      <c r="AI99" s="254">
        <f t="shared" si="168"/>
        <v>114</v>
      </c>
      <c r="AJ99" s="254">
        <f t="shared" si="168"/>
        <v>120</v>
      </c>
      <c r="AK99" s="94"/>
      <c r="AL99" s="94"/>
      <c r="AM99" s="94"/>
      <c r="AN99" s="94"/>
      <c r="AO99" s="94"/>
      <c r="AP99" s="94"/>
      <c r="AQ99" s="95"/>
    </row>
    <row r="100" spans="14:43" ht="15.75" thickBot="1" x14ac:dyDescent="0.3">
      <c r="N100" s="880"/>
      <c r="O100" s="67"/>
      <c r="P100" s="300">
        <v>1</v>
      </c>
      <c r="Q100" s="163">
        <v>2</v>
      </c>
      <c r="R100" s="68">
        <v>3</v>
      </c>
      <c r="S100" s="68">
        <v>4</v>
      </c>
      <c r="T100" s="68">
        <v>5</v>
      </c>
      <c r="U100" s="68">
        <v>6</v>
      </c>
      <c r="V100" s="68">
        <v>7</v>
      </c>
      <c r="W100" s="68">
        <v>8</v>
      </c>
      <c r="X100" s="68">
        <v>9</v>
      </c>
      <c r="Y100" s="68">
        <v>10</v>
      </c>
      <c r="Z100" s="68">
        <v>11</v>
      </c>
      <c r="AA100" s="68">
        <v>12</v>
      </c>
      <c r="AB100" s="68">
        <v>13</v>
      </c>
      <c r="AC100" s="68">
        <v>14</v>
      </c>
      <c r="AD100" s="68">
        <v>15</v>
      </c>
      <c r="AE100" s="68">
        <v>16</v>
      </c>
      <c r="AF100" s="68">
        <v>17</v>
      </c>
      <c r="AG100" s="68">
        <v>18</v>
      </c>
      <c r="AH100" s="68">
        <v>19</v>
      </c>
      <c r="AI100" s="68">
        <v>20</v>
      </c>
      <c r="AJ100" s="68">
        <v>21</v>
      </c>
      <c r="AK100" s="68"/>
      <c r="AL100" s="68"/>
      <c r="AM100" s="68"/>
      <c r="AN100" s="68"/>
      <c r="AO100" s="68"/>
      <c r="AP100" s="68"/>
      <c r="AQ100" s="69"/>
    </row>
    <row r="101" spans="14:43" ht="15.75" thickBot="1" x14ac:dyDescent="0.3">
      <c r="N101" s="250"/>
      <c r="O101" s="251">
        <f>F12</f>
        <v>9.5</v>
      </c>
      <c r="P101" s="301">
        <v>2</v>
      </c>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0"/>
      <c r="AL101" s="150"/>
      <c r="AM101" s="150"/>
      <c r="AN101" s="150"/>
      <c r="AO101" s="150"/>
      <c r="AP101" s="150"/>
      <c r="AQ101" s="158"/>
    </row>
    <row r="102" spans="14:43" ht="16.5" thickBot="1" x14ac:dyDescent="0.3">
      <c r="N102" s="297"/>
      <c r="O102" s="162">
        <v>12</v>
      </c>
      <c r="P102" s="302">
        <v>3</v>
      </c>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64"/>
      <c r="AL102" s="154"/>
      <c r="AM102" s="154" t="e">
        <f>D49</f>
        <v>#VALUE!</v>
      </c>
      <c r="AN102" s="155" t="e">
        <f>C43</f>
        <v>#VALUE!</v>
      </c>
      <c r="AO102" s="154" t="e">
        <f>E49</f>
        <v>#VALUE!</v>
      </c>
      <c r="AP102" s="64"/>
      <c r="AQ102" s="65"/>
    </row>
    <row r="103" spans="14:43" ht="16.5" thickBot="1" x14ac:dyDescent="0.3">
      <c r="N103" s="298"/>
      <c r="O103" s="162">
        <f t="shared" ref="O103:O120" si="169">O102+6</f>
        <v>18</v>
      </c>
      <c r="P103" s="302">
        <v>4</v>
      </c>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96"/>
      <c r="AL103" s="154" t="e">
        <f>H49</f>
        <v>#VALUE!</v>
      </c>
      <c r="AM103" s="155" t="e">
        <f>INDEX(P100:AJ120,$H$50,$D$50)</f>
        <v>#VALUE!</v>
      </c>
      <c r="AN103" s="155" t="e">
        <f>(((AN102-AM102)/(AO102-AM102))*(AO103-AM103))+AM103</f>
        <v>#VALUE!</v>
      </c>
      <c r="AO103" s="155" t="e">
        <f>INDEX(P100:AJ120,$H$50,$E$50)</f>
        <v>#VALUE!</v>
      </c>
      <c r="AP103" s="64"/>
      <c r="AQ103" s="65"/>
    </row>
    <row r="104" spans="14:43" ht="16.5" thickBot="1" x14ac:dyDescent="0.3">
      <c r="N104" s="103"/>
      <c r="O104" s="162">
        <f t="shared" si="169"/>
        <v>24</v>
      </c>
      <c r="P104" s="302">
        <v>5</v>
      </c>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64"/>
      <c r="AL104" s="469" t="e">
        <f>C44</f>
        <v>#VALUE!</v>
      </c>
      <c r="AM104" s="155" t="e">
        <f>(((AL104-AL103)/(AL105-AL103))*(AM105-AM103))+AM103</f>
        <v>#VALUE!</v>
      </c>
      <c r="AN104" s="156" t="e">
        <f>IF(AND(AN102&gt;72,AL104&gt;72),5/0,IF(AN102=120,AM104,(((AN103-AM103)/(AO103-AM103))*(AO104-AM104))+AM104))</f>
        <v>#VALUE!</v>
      </c>
      <c r="AO104" s="155" t="e">
        <f>(((AL104-AL103)/(AL105-AL103))*(AO105-AO103))+AO103</f>
        <v>#VALUE!</v>
      </c>
      <c r="AP104" s="64"/>
      <c r="AQ104" s="65"/>
    </row>
    <row r="105" spans="14:43" ht="16.5" thickBot="1" x14ac:dyDescent="0.3">
      <c r="N105" s="103"/>
      <c r="O105" s="162">
        <f t="shared" si="169"/>
        <v>30</v>
      </c>
      <c r="P105" s="302">
        <v>6</v>
      </c>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64"/>
      <c r="AL105" s="154" t="e">
        <f>I49</f>
        <v>#VALUE!</v>
      </c>
      <c r="AM105" s="155" t="e">
        <f>INDEX(P100:AJ120,$I$50,$D$50)</f>
        <v>#VALUE!</v>
      </c>
      <c r="AN105" s="155" t="e">
        <f>(((AN102-AM102)/(AO102-AM102))*(AO105-AM105))+AM105</f>
        <v>#VALUE!</v>
      </c>
      <c r="AO105" s="155" t="e">
        <f>INDEX(P100:AJ120,$I$50,$E$50)</f>
        <v>#VALUE!</v>
      </c>
      <c r="AP105" s="64"/>
      <c r="AQ105" s="65"/>
    </row>
    <row r="106" spans="14:43" ht="15.75" thickBot="1" x14ac:dyDescent="0.3">
      <c r="N106" s="103"/>
      <c r="O106" s="162">
        <f t="shared" si="169"/>
        <v>36</v>
      </c>
      <c r="P106" s="302">
        <v>7</v>
      </c>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64"/>
      <c r="AL106" s="64"/>
      <c r="AM106" s="64"/>
      <c r="AN106" s="64"/>
      <c r="AO106" s="64"/>
      <c r="AP106" s="64"/>
      <c r="AQ106" s="65"/>
    </row>
    <row r="107" spans="14:43" ht="15.75" thickBot="1" x14ac:dyDescent="0.3">
      <c r="N107" s="103"/>
      <c r="O107" s="162">
        <f t="shared" si="169"/>
        <v>42</v>
      </c>
      <c r="P107" s="302">
        <v>8</v>
      </c>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64"/>
      <c r="AL107" s="64"/>
      <c r="AM107" s="64"/>
      <c r="AN107" s="64"/>
      <c r="AO107" s="64"/>
      <c r="AP107" s="64"/>
      <c r="AQ107" s="65"/>
    </row>
    <row r="108" spans="14:43" ht="15.75" thickBot="1" x14ac:dyDescent="0.3">
      <c r="N108" s="103"/>
      <c r="O108" s="162">
        <f t="shared" si="169"/>
        <v>48</v>
      </c>
      <c r="P108" s="302">
        <v>9</v>
      </c>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64"/>
      <c r="AL108" s="64"/>
      <c r="AM108" s="64" t="s">
        <v>189</v>
      </c>
      <c r="AN108" s="64">
        <v>8.9999999999999998E-4</v>
      </c>
      <c r="AO108" s="64" t="s">
        <v>190</v>
      </c>
      <c r="AP108" s="64"/>
      <c r="AQ108" s="65"/>
    </row>
    <row r="109" spans="14:43" ht="15.75" thickBot="1" x14ac:dyDescent="0.3">
      <c r="N109" s="103"/>
      <c r="O109" s="162">
        <f t="shared" si="169"/>
        <v>54</v>
      </c>
      <c r="P109" s="302">
        <v>10</v>
      </c>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64"/>
      <c r="AL109" s="64"/>
      <c r="AM109" s="64" t="s">
        <v>197</v>
      </c>
      <c r="AN109" s="64" t="e">
        <f>(D3*D4)</f>
        <v>#VALUE!</v>
      </c>
      <c r="AO109" s="64" t="s">
        <v>198</v>
      </c>
      <c r="AP109" s="64"/>
      <c r="AQ109" s="65"/>
    </row>
    <row r="110" spans="14:43" ht="15.75" thickBot="1" x14ac:dyDescent="0.3">
      <c r="N110" s="103"/>
      <c r="O110" s="162">
        <f t="shared" si="169"/>
        <v>60</v>
      </c>
      <c r="P110" s="302">
        <v>11</v>
      </c>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64"/>
      <c r="AL110" s="64"/>
      <c r="AM110" s="64"/>
      <c r="AN110" s="303"/>
      <c r="AO110" s="64"/>
      <c r="AP110" s="64"/>
      <c r="AQ110" s="65"/>
    </row>
    <row r="111" spans="14:43" ht="16.5" thickBot="1" x14ac:dyDescent="0.3">
      <c r="N111" s="103"/>
      <c r="O111" s="162">
        <f t="shared" si="169"/>
        <v>66</v>
      </c>
      <c r="P111" s="302">
        <v>12</v>
      </c>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64"/>
      <c r="AL111" s="64"/>
      <c r="AM111" s="64" t="s">
        <v>192</v>
      </c>
      <c r="AN111" s="304"/>
      <c r="AO111" s="153" t="e">
        <f>AN108*AN109</f>
        <v>#VALUE!</v>
      </c>
      <c r="AP111" s="64" t="s">
        <v>184</v>
      </c>
      <c r="AQ111" s="65"/>
    </row>
    <row r="112" spans="14:43" ht="16.5" thickBot="1" x14ac:dyDescent="0.3">
      <c r="N112" s="103"/>
      <c r="O112" s="162">
        <f t="shared" si="169"/>
        <v>72</v>
      </c>
      <c r="P112" s="302">
        <v>13</v>
      </c>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64"/>
      <c r="AL112" s="64"/>
      <c r="AM112" s="270"/>
      <c r="AN112" s="304"/>
      <c r="AO112" s="64"/>
      <c r="AP112" s="64"/>
      <c r="AQ112" s="65"/>
    </row>
    <row r="113" spans="14:43" ht="15.75" thickBot="1" x14ac:dyDescent="0.3">
      <c r="N113" s="103"/>
      <c r="O113" s="162">
        <f t="shared" si="169"/>
        <v>78</v>
      </c>
      <c r="P113" s="302">
        <v>14</v>
      </c>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64"/>
      <c r="AL113" s="64"/>
      <c r="AM113" s="64"/>
      <c r="AN113" s="303"/>
      <c r="AO113" s="64"/>
      <c r="AP113" s="64"/>
      <c r="AQ113" s="65"/>
    </row>
    <row r="114" spans="14:43" ht="15.75" thickBot="1" x14ac:dyDescent="0.3">
      <c r="N114" s="103"/>
      <c r="O114" s="162">
        <f t="shared" si="169"/>
        <v>84</v>
      </c>
      <c r="P114" s="302">
        <v>15</v>
      </c>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64"/>
      <c r="AL114" s="64"/>
      <c r="AM114" s="64"/>
      <c r="AN114" s="303"/>
      <c r="AO114" s="64"/>
      <c r="AP114" s="64"/>
      <c r="AQ114" s="97"/>
    </row>
    <row r="115" spans="14:43" ht="15.75" thickBot="1" x14ac:dyDescent="0.3">
      <c r="N115" s="103"/>
      <c r="O115" s="162">
        <f t="shared" si="169"/>
        <v>90</v>
      </c>
      <c r="P115" s="302">
        <v>16</v>
      </c>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3"/>
      <c r="AL115" s="64"/>
      <c r="AM115" s="64"/>
      <c r="AN115" s="64"/>
      <c r="AO115" s="64"/>
      <c r="AP115" s="64"/>
      <c r="AQ115" s="97"/>
    </row>
    <row r="116" spans="14:43" ht="15.75" thickBot="1" x14ac:dyDescent="0.3">
      <c r="N116" s="103"/>
      <c r="O116" s="162">
        <f t="shared" si="169"/>
        <v>96</v>
      </c>
      <c r="P116" s="302">
        <v>17</v>
      </c>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3"/>
      <c r="AL116" s="64"/>
      <c r="AM116" s="64"/>
      <c r="AN116" s="64"/>
      <c r="AO116" s="64"/>
      <c r="AP116" s="64"/>
      <c r="AQ116" s="97"/>
    </row>
    <row r="117" spans="14:43" ht="15.75" thickBot="1" x14ac:dyDescent="0.3">
      <c r="N117" s="103"/>
      <c r="O117" s="162">
        <f t="shared" si="169"/>
        <v>102</v>
      </c>
      <c r="P117" s="302">
        <v>18</v>
      </c>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3"/>
      <c r="AL117" s="64"/>
      <c r="AM117" s="64"/>
      <c r="AN117" s="64"/>
      <c r="AO117" s="64"/>
      <c r="AP117" s="64"/>
      <c r="AQ117" s="97"/>
    </row>
    <row r="118" spans="14:43" ht="15.75" thickBot="1" x14ac:dyDescent="0.3">
      <c r="N118" s="103"/>
      <c r="O118" s="162">
        <f t="shared" si="169"/>
        <v>108</v>
      </c>
      <c r="P118" s="302">
        <v>19</v>
      </c>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3"/>
      <c r="AL118" s="64"/>
      <c r="AM118" s="64"/>
      <c r="AN118" s="64"/>
      <c r="AO118" s="64"/>
      <c r="AP118" s="64"/>
      <c r="AQ118" s="97"/>
    </row>
    <row r="119" spans="14:43" ht="15.75" thickBot="1" x14ac:dyDescent="0.3">
      <c r="N119" s="103"/>
      <c r="O119" s="162">
        <f t="shared" si="169"/>
        <v>114</v>
      </c>
      <c r="P119" s="302">
        <v>20</v>
      </c>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3"/>
      <c r="AL119" s="64"/>
      <c r="AM119" s="64"/>
      <c r="AN119" s="64"/>
      <c r="AO119" s="64"/>
      <c r="AP119" s="64"/>
      <c r="AQ119" s="97"/>
    </row>
    <row r="120" spans="14:43" ht="15.75" thickBot="1" x14ac:dyDescent="0.3">
      <c r="N120" s="103"/>
      <c r="O120" s="162">
        <f t="shared" si="169"/>
        <v>120</v>
      </c>
      <c r="P120" s="302">
        <v>21</v>
      </c>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3"/>
      <c r="AL120" s="64"/>
      <c r="AM120" s="64"/>
      <c r="AN120" s="64"/>
      <c r="AO120" s="64"/>
      <c r="AP120" s="64"/>
      <c r="AQ120" s="97"/>
    </row>
    <row r="121" spans="14:43" ht="15.75" thickBot="1" x14ac:dyDescent="0.3">
      <c r="N121" s="103"/>
      <c r="O121" s="149"/>
      <c r="P121" s="302"/>
      <c r="Q121" s="149"/>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5"/>
    </row>
    <row r="122" spans="14:43" ht="15.75" thickBot="1" x14ac:dyDescent="0.3">
      <c r="N122" s="103"/>
      <c r="O122" s="149"/>
      <c r="P122" s="65"/>
      <c r="Q122" s="149"/>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5"/>
    </row>
    <row r="123" spans="14:43" ht="15.75" thickBot="1" x14ac:dyDescent="0.3">
      <c r="N123" s="164"/>
      <c r="O123" s="163"/>
      <c r="P123" s="69"/>
      <c r="Q123" s="163"/>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9"/>
    </row>
    <row r="135" spans="3:3" ht="150.75" customHeight="1" x14ac:dyDescent="0.25"/>
    <row r="144" spans="3:3" x14ac:dyDescent="0.25">
      <c r="C144" s="179"/>
    </row>
    <row r="145" spans="3:3" x14ac:dyDescent="0.25">
      <c r="C145" s="179"/>
    </row>
    <row r="276" spans="24:25" x14ac:dyDescent="0.25">
      <c r="X276" s="146"/>
      <c r="Y276" s="145"/>
    </row>
  </sheetData>
  <sheetProtection algorithmName="SHA-512" hashValue="AzriLDiqz49c3H1JKEFcY6jbs4I1/+lexKPAK0baE/0YzXD3UElGF4e498Ii1VxJN6rPPTfgrkLvmwdfVKssTg==" saltValue="ud06fdEMxLaWpv6O4QPvJQ==" spinCount="100000" sheet="1" objects="1" scenarios="1" selectLockedCells="1" selectUnlockedCells="1"/>
  <mergeCells count="8">
    <mergeCell ref="N71:N72"/>
    <mergeCell ref="N99:N100"/>
    <mergeCell ref="N43:N44"/>
    <mergeCell ref="D14:W14"/>
    <mergeCell ref="AT14:IX14"/>
    <mergeCell ref="AU16:AV18"/>
    <mergeCell ref="AW16:IG17"/>
    <mergeCell ref="IQ17:IW17"/>
  </mergeCells>
  <conditionalFormatting sqref="Q73:AJ78 Q79:Y92">
    <cfRule type="colorScale" priority="3">
      <colorScale>
        <cfvo type="min"/>
        <cfvo type="percentile" val="50"/>
        <cfvo type="max"/>
        <color rgb="FF63BE7B"/>
        <color rgb="FFFFEB84"/>
        <color rgb="FFF8696B"/>
      </colorScale>
    </cfRule>
  </conditionalFormatting>
  <conditionalFormatting sqref="Q101:AJ120">
    <cfRule type="colorScale" priority="2">
      <colorScale>
        <cfvo type="min"/>
        <cfvo type="percentile" val="50"/>
        <cfvo type="max"/>
        <color rgb="FF63BE7B"/>
        <color rgb="FFFFEB84"/>
        <color rgb="FFF8696B"/>
      </colorScale>
    </cfRule>
  </conditionalFormatting>
  <conditionalFormatting sqref="Z79:AJ9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X278"/>
  <sheetViews>
    <sheetView topLeftCell="O43" zoomScale="85" zoomScaleNormal="85" workbookViewId="0">
      <selection activeCell="D28" sqref="D28"/>
    </sheetView>
  </sheetViews>
  <sheetFormatPr defaultRowHeight="15" x14ac:dyDescent="0.25"/>
  <cols>
    <col min="1" max="1" width="12.85546875" customWidth="1"/>
    <col min="2" max="2" width="20.28515625" customWidth="1"/>
    <col min="3" max="3" width="15.42578125" customWidth="1"/>
    <col min="4" max="4" width="13.7109375" customWidth="1"/>
    <col min="5" max="5" width="17.85546875" customWidth="1"/>
    <col min="6"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10" customWidth="1"/>
    <col min="19" max="19" width="13.42578125" customWidth="1"/>
    <col min="20" max="20" width="10.28515625" customWidth="1"/>
    <col min="21" max="21" width="13.7109375"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8" max="38" width="9.140625" customWidth="1"/>
    <col min="39" max="39" width="14" customWidth="1"/>
    <col min="40"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61" width="9.140625" customWidth="1"/>
    <col min="162" max="169" width="9.140625" hidden="1" customWidth="1"/>
    <col min="17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315" t="s">
        <v>39</v>
      </c>
      <c r="C1" s="381" t="s">
        <v>8</v>
      </c>
      <c r="D1" s="316"/>
      <c r="E1" s="316"/>
      <c r="F1" s="324"/>
    </row>
    <row r="2" spans="2:258" ht="21.75" thickBot="1" x14ac:dyDescent="0.4">
      <c r="B2" s="382" t="s">
        <v>40</v>
      </c>
      <c r="C2" s="47"/>
      <c r="D2" s="314" t="s">
        <v>73</v>
      </c>
      <c r="E2" s="47"/>
      <c r="F2" s="278"/>
      <c r="H2" s="403" t="s">
        <v>277</v>
      </c>
      <c r="I2" s="387"/>
      <c r="J2" s="388"/>
      <c r="N2" s="392" t="s">
        <v>64</v>
      </c>
      <c r="O2" s="393"/>
      <c r="P2" s="393"/>
      <c r="Q2" s="393"/>
      <c r="R2" s="393"/>
      <c r="S2" s="393"/>
      <c r="T2" s="393"/>
      <c r="U2" s="393"/>
      <c r="V2" s="393"/>
      <c r="W2" s="394"/>
    </row>
    <row r="3" spans="2:258" ht="18.75" x14ac:dyDescent="0.3">
      <c r="B3" s="382" t="s">
        <v>41</v>
      </c>
      <c r="C3" s="314" t="str">
        <f>IF('DATA ENTRY'!B9="mm",'DATA ENTRY'!B10/25.4,'DATA ENTRY'!B10)</f>
        <v>ENTER WIDTH</v>
      </c>
      <c r="D3" s="287" t="e">
        <f>IF('DATA ENTRY'!B12="ACTUAL",'DE439'!C3,'DE439'!C3-0.5)</f>
        <v>#VALUE!</v>
      </c>
      <c r="E3" s="47"/>
      <c r="F3" s="278"/>
      <c r="H3" s="330" t="s">
        <v>278</v>
      </c>
      <c r="J3" s="331" t="e">
        <f>D3*D4/144</f>
        <v>#VALUE!</v>
      </c>
      <c r="N3" s="48"/>
      <c r="O3" s="47"/>
      <c r="P3" s="47"/>
      <c r="Q3" s="47"/>
      <c r="R3" s="47"/>
      <c r="S3" s="47"/>
      <c r="T3" s="47"/>
      <c r="U3" s="47"/>
      <c r="V3" s="47"/>
      <c r="W3" s="278"/>
    </row>
    <row r="4" spans="2:258" ht="18.75" x14ac:dyDescent="0.3">
      <c r="B4" s="382" t="s">
        <v>42</v>
      </c>
      <c r="C4" s="383" t="str">
        <f>IF('DATA ENTRY'!B9="mm",'DATA ENTRY'!B11/25.4,'DATA ENTRY'!B11)</f>
        <v>ENTER HEIGHT</v>
      </c>
      <c r="D4" s="287" t="e">
        <f>IF('DATA ENTRY'!B12="ACTUAL",'DE439'!C4,'DE439'!C4-0.5)</f>
        <v>#VALUE!</v>
      </c>
      <c r="E4" s="47"/>
      <c r="F4" s="278"/>
      <c r="H4" s="330" t="s">
        <v>279</v>
      </c>
      <c r="I4" s="314"/>
      <c r="J4" s="331" t="e">
        <f>C5/J3</f>
        <v>#VALUE!</v>
      </c>
      <c r="N4" s="48"/>
      <c r="O4" s="282" t="str">
        <f>C1&amp;"_MODEL"</f>
        <v>DE439_MODEL</v>
      </c>
      <c r="P4" s="282" t="s">
        <v>65</v>
      </c>
      <c r="Q4" s="282"/>
      <c r="R4" s="282"/>
      <c r="S4" s="282"/>
      <c r="T4" s="47"/>
      <c r="U4" s="47"/>
      <c r="V4" s="287" t="s">
        <v>116</v>
      </c>
      <c r="W4" s="278"/>
    </row>
    <row r="5" spans="2:258" ht="18.75" x14ac:dyDescent="0.3">
      <c r="B5" s="382" t="s">
        <v>43</v>
      </c>
      <c r="C5" s="509" t="str">
        <f>IF('DATA ENTRY'!B9="mm",'DATA ENTRY'!B13*2.1188799727597,'DATA ENTRY'!B13)</f>
        <v>ENTER AIR VOLUME</v>
      </c>
      <c r="D5" s="383"/>
      <c r="E5" s="509"/>
      <c r="F5" s="384"/>
      <c r="G5" s="277"/>
      <c r="H5" s="330"/>
      <c r="I5" s="314"/>
      <c r="J5" s="331"/>
      <c r="N5" s="280" t="s">
        <v>93</v>
      </c>
      <c r="O5" s="282" t="str">
        <f>C1&amp;"_FA"</f>
        <v>DE439_FA</v>
      </c>
      <c r="P5" s="283" t="e">
        <f>D64</f>
        <v>#VALUE!</v>
      </c>
      <c r="Q5" s="282" t="s">
        <v>45</v>
      </c>
      <c r="R5" s="47"/>
      <c r="S5" s="47"/>
      <c r="T5" s="47"/>
      <c r="U5" s="47"/>
      <c r="V5" s="282" t="str">
        <f>C1&amp;"_W"</f>
        <v>DE439_W</v>
      </c>
      <c r="W5" s="286" t="e">
        <f>D3</f>
        <v>#VALUE!</v>
      </c>
    </row>
    <row r="6" spans="2:258" ht="18.75" x14ac:dyDescent="0.3">
      <c r="B6" s="382" t="s">
        <v>44</v>
      </c>
      <c r="C6" s="383" t="str">
        <f>'DATA ENTRY'!B14</f>
        <v>SELECT AIR DIRECTION</v>
      </c>
      <c r="D6" s="383"/>
      <c r="E6" s="383"/>
      <c r="F6" s="384"/>
      <c r="G6" s="277"/>
      <c r="H6" s="330"/>
      <c r="I6" s="314"/>
      <c r="J6" s="331"/>
      <c r="N6" s="280" t="s">
        <v>70</v>
      </c>
      <c r="O6" s="282" t="str">
        <f>C1&amp;"_FA%"</f>
        <v>DE439_FA%</v>
      </c>
      <c r="P6" s="284" t="e">
        <f>D66</f>
        <v>#VALUE!</v>
      </c>
      <c r="Q6" s="282" t="s">
        <v>16</v>
      </c>
      <c r="R6" s="47"/>
      <c r="S6" s="47"/>
      <c r="T6" s="47"/>
      <c r="U6" s="47"/>
      <c r="V6" s="282" t="str">
        <f>C1&amp;"_H"</f>
        <v>DE439_H</v>
      </c>
      <c r="W6" s="286" t="e">
        <f>D4</f>
        <v>#VALUE!</v>
      </c>
    </row>
    <row r="7" spans="2:258" ht="19.5" thickBot="1" x14ac:dyDescent="0.35">
      <c r="B7" s="382"/>
      <c r="C7" s="383"/>
      <c r="D7" s="383"/>
      <c r="E7" s="383"/>
      <c r="F7" s="384"/>
      <c r="G7" s="277"/>
      <c r="H7" s="543"/>
      <c r="I7" s="544"/>
      <c r="J7" s="545"/>
      <c r="N7" s="280" t="s">
        <v>96</v>
      </c>
      <c r="O7" s="282" t="str">
        <f>C1&amp;"_VEL"</f>
        <v>DE439_VEL</v>
      </c>
      <c r="P7" s="284" t="e">
        <f>D68</f>
        <v>#VALUE!</v>
      </c>
      <c r="Q7" s="282" t="s">
        <v>0</v>
      </c>
      <c r="R7" s="47"/>
      <c r="S7" s="47"/>
      <c r="T7" s="47"/>
      <c r="U7" s="47"/>
      <c r="V7" s="282" t="str">
        <f>C1&amp;"_SW"</f>
        <v>DE439_SW</v>
      </c>
      <c r="W7" s="286" t="e">
        <f>C8</f>
        <v>#VALUE!</v>
      </c>
    </row>
    <row r="8" spans="2:258" ht="18.75" x14ac:dyDescent="0.3">
      <c r="B8" s="382" t="s">
        <v>74</v>
      </c>
      <c r="C8" s="383" t="e">
        <f>CEILING(D3/120,1)</f>
        <v>#VALUE!</v>
      </c>
      <c r="D8" s="383"/>
      <c r="E8" s="383" t="s">
        <v>75</v>
      </c>
      <c r="F8" s="384" t="e">
        <f>CEILING(IF(C9&lt;=72,D4/120,D4/72),1)</f>
        <v>#VALUE!</v>
      </c>
      <c r="G8" s="277"/>
      <c r="N8" s="280" t="s">
        <v>94</v>
      </c>
      <c r="O8" s="282" t="str">
        <f>C1&amp;"_Intake"</f>
        <v>DE439_Intake</v>
      </c>
      <c r="P8" s="285" t="e">
        <f>D69</f>
        <v>#VALUE!</v>
      </c>
      <c r="Q8" s="282" t="s">
        <v>99</v>
      </c>
      <c r="R8" s="47"/>
      <c r="S8" s="47"/>
      <c r="T8" s="47"/>
      <c r="U8" s="47"/>
      <c r="V8" s="282" t="str">
        <f>C1&amp;"_SH"</f>
        <v>DE439_SH</v>
      </c>
      <c r="W8" s="286" t="e">
        <f>F8</f>
        <v>#VALUE!</v>
      </c>
    </row>
    <row r="9" spans="2:258" ht="18.75" x14ac:dyDescent="0.3">
      <c r="B9" s="382" t="s">
        <v>72</v>
      </c>
      <c r="C9" s="383" t="e">
        <f>D3/C8</f>
        <v>#VALUE!</v>
      </c>
      <c r="D9" s="383"/>
      <c r="E9" s="383" t="s">
        <v>63</v>
      </c>
      <c r="F9" s="384" t="e">
        <f>D4/F8</f>
        <v>#VALUE!</v>
      </c>
      <c r="G9" s="277"/>
      <c r="N9" s="280" t="s">
        <v>95</v>
      </c>
      <c r="O9" s="282" t="str">
        <f>C1&amp;"_Exhaust"</f>
        <v>DE439_Exhaust</v>
      </c>
      <c r="P9" s="285" t="e">
        <f>D70</f>
        <v>#VALUE!</v>
      </c>
      <c r="Q9" s="282" t="s">
        <v>99</v>
      </c>
      <c r="R9" s="47"/>
      <c r="S9" s="47"/>
      <c r="T9" s="47"/>
      <c r="U9" s="47"/>
      <c r="V9" s="47"/>
      <c r="W9" s="278"/>
    </row>
    <row r="10" spans="2:258" ht="18.75" x14ac:dyDescent="0.3">
      <c r="B10" s="382"/>
      <c r="C10" s="383"/>
      <c r="D10" s="383"/>
      <c r="E10" s="383"/>
      <c r="F10" s="384"/>
      <c r="G10" s="277"/>
      <c r="N10" s="280" t="s">
        <v>100</v>
      </c>
      <c r="O10" s="282" t="str">
        <f>C1&amp;"_SEC"</f>
        <v>DE439_SEC</v>
      </c>
      <c r="P10" s="282" t="e">
        <f>C11</f>
        <v>#VALUE!</v>
      </c>
      <c r="Q10" s="282"/>
      <c r="R10" s="47"/>
      <c r="S10" s="47"/>
      <c r="T10" s="47"/>
      <c r="U10" s="47"/>
      <c r="V10" s="47"/>
      <c r="W10" s="278"/>
    </row>
    <row r="11" spans="2:258" ht="18.75" x14ac:dyDescent="0.3">
      <c r="B11" s="382" t="s">
        <v>76</v>
      </c>
      <c r="C11" s="383" t="e">
        <f>C8*F8</f>
        <v>#VALUE!</v>
      </c>
      <c r="D11" s="383"/>
      <c r="E11" s="383" t="s">
        <v>164</v>
      </c>
      <c r="F11" s="384">
        <v>9</v>
      </c>
      <c r="G11" s="277"/>
      <c r="N11" s="280" t="s">
        <v>97</v>
      </c>
      <c r="O11" s="282" t="str">
        <f>C1&amp;"_SECW"</f>
        <v>DE439_SECW</v>
      </c>
      <c r="P11" s="364" t="e">
        <f>AB79</f>
        <v>#VALUE!</v>
      </c>
      <c r="Q11" s="282" t="s">
        <v>86</v>
      </c>
      <c r="R11" s="47"/>
      <c r="S11" s="47"/>
      <c r="T11" s="47"/>
      <c r="U11" s="47"/>
      <c r="V11" s="47"/>
      <c r="W11" s="278"/>
    </row>
    <row r="12" spans="2:258" ht="18.75" x14ac:dyDescent="0.3">
      <c r="B12" s="48"/>
      <c r="C12" s="47"/>
      <c r="D12" s="47"/>
      <c r="E12" s="383" t="s">
        <v>165</v>
      </c>
      <c r="F12" s="278">
        <v>9.5</v>
      </c>
      <c r="N12" s="280" t="s">
        <v>98</v>
      </c>
      <c r="O12" s="282" t="str">
        <f>C1&amp;"_TW"</f>
        <v>DE439_TW</v>
      </c>
      <c r="P12" s="364" t="e">
        <f>AB78</f>
        <v>#VALUE!</v>
      </c>
      <c r="Q12" s="282" t="s">
        <v>86</v>
      </c>
      <c r="R12" s="47"/>
      <c r="S12" s="47"/>
      <c r="T12" s="47"/>
      <c r="U12" s="47"/>
      <c r="V12" s="47"/>
      <c r="W12" s="278"/>
    </row>
    <row r="13" spans="2:258" ht="18.75" x14ac:dyDescent="0.3">
      <c r="B13" s="48"/>
      <c r="C13" s="47"/>
      <c r="D13" s="47"/>
      <c r="E13" s="383"/>
      <c r="F13" s="278"/>
      <c r="N13" s="280" t="s">
        <v>280</v>
      </c>
      <c r="O13" s="282" t="str">
        <f>$C$1&amp;"_FACEAREA"</f>
        <v>DE439_FACEAREA</v>
      </c>
      <c r="P13" s="364" t="e">
        <f>J3</f>
        <v>#VALUE!</v>
      </c>
      <c r="Q13" s="282" t="s">
        <v>45</v>
      </c>
      <c r="R13" s="47"/>
      <c r="S13" s="47"/>
      <c r="T13" s="47"/>
      <c r="U13" s="47"/>
      <c r="V13" s="47"/>
      <c r="W13" s="278"/>
    </row>
    <row r="14" spans="2:258" ht="19.5" thickBot="1" x14ac:dyDescent="0.35">
      <c r="B14" s="48"/>
      <c r="C14" s="47"/>
      <c r="D14" s="47"/>
      <c r="E14" s="383"/>
      <c r="F14" s="278"/>
      <c r="N14" s="281" t="s">
        <v>277</v>
      </c>
      <c r="O14" s="395" t="str">
        <f>$C$1&amp;"_FACEVEL"</f>
        <v>DE439_FACEVEL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93" t="s">
        <v>62</v>
      </c>
      <c r="C16" s="94"/>
      <c r="D16" s="883" t="s">
        <v>124</v>
      </c>
      <c r="E16" s="884"/>
      <c r="F16" s="884"/>
      <c r="G16" s="884"/>
      <c r="H16" s="884"/>
      <c r="I16" s="884"/>
      <c r="J16" s="884"/>
      <c r="K16" s="884"/>
      <c r="L16" s="884"/>
      <c r="M16" s="884"/>
      <c r="N16" s="884"/>
      <c r="O16" s="884"/>
      <c r="P16" s="884"/>
      <c r="Q16" s="884"/>
      <c r="R16" s="884"/>
      <c r="S16" s="884"/>
      <c r="T16" s="884"/>
      <c r="U16" s="884"/>
      <c r="V16" s="884"/>
      <c r="W16" s="885"/>
      <c r="X16" s="94"/>
      <c r="Y16" s="95"/>
      <c r="AT16" s="886" t="s">
        <v>8</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customHeight="1" thickBot="1" x14ac:dyDescent="0.3">
      <c r="B17" s="66"/>
      <c r="C17" s="68"/>
      <c r="D17" s="68">
        <f>F11</f>
        <v>9</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6">
        <v>1</v>
      </c>
      <c r="D18" s="396">
        <v>2</v>
      </c>
      <c r="E18" s="397">
        <v>3</v>
      </c>
      <c r="F18" s="397">
        <v>4</v>
      </c>
      <c r="G18" s="397">
        <v>5</v>
      </c>
      <c r="H18" s="397">
        <v>6</v>
      </c>
      <c r="I18" s="397">
        <v>7</v>
      </c>
      <c r="J18" s="397">
        <v>8</v>
      </c>
      <c r="K18" s="397">
        <v>9</v>
      </c>
      <c r="L18" s="397">
        <v>10</v>
      </c>
      <c r="M18" s="397">
        <v>11</v>
      </c>
      <c r="N18" s="397">
        <v>12</v>
      </c>
      <c r="O18" s="397">
        <v>13</v>
      </c>
      <c r="P18" s="397">
        <v>14</v>
      </c>
      <c r="Q18" s="397">
        <v>15</v>
      </c>
      <c r="R18" s="397">
        <v>16</v>
      </c>
      <c r="S18" s="397">
        <v>17</v>
      </c>
      <c r="T18" s="397">
        <v>18</v>
      </c>
      <c r="U18" s="397">
        <v>19</v>
      </c>
      <c r="V18" s="397">
        <v>20</v>
      </c>
      <c r="W18" s="398">
        <v>21</v>
      </c>
      <c r="X18" s="149"/>
      <c r="Y18" s="65"/>
      <c r="AT18" s="4"/>
      <c r="AU18" s="889" t="s">
        <v>17</v>
      </c>
      <c r="AV18" s="890"/>
      <c r="AW18" s="895" t="s">
        <v>18</v>
      </c>
      <c r="AX18" s="896"/>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9.5</v>
      </c>
      <c r="C19" s="227">
        <v>2</v>
      </c>
      <c r="D19" s="99">
        <f t="shared" ref="D19:D38" si="1">AX22/((D$17*B19)/144)</f>
        <v>0.20160233918128653</v>
      </c>
      <c r="E19" s="100">
        <f t="shared" ref="E19:E38" si="2">BH22/((E$17*B19)/144)</f>
        <v>0.23367543859649126</v>
      </c>
      <c r="F19" s="100">
        <f t="shared" ref="F19:F38" si="3">BR22/((F$17*$B19)/144)</f>
        <v>0.2657485380116959</v>
      </c>
      <c r="G19" s="100">
        <f t="shared" ref="G19:G38" si="4">CB22/((G$17*$B19)/144)</f>
        <v>0.28178508771929828</v>
      </c>
      <c r="H19" s="100">
        <f t="shared" ref="H19:H38" si="5">CL22/((H$17*$B19)/144)</f>
        <v>0.29140701754385967</v>
      </c>
      <c r="I19" s="100">
        <f t="shared" ref="I19:I38" si="6">CV22/((I$17*$B19)/144)</f>
        <v>0.29782163742690054</v>
      </c>
      <c r="J19" s="100">
        <f t="shared" ref="J19:J38" si="7">DF22/((J$17*$B19)/144)</f>
        <v>0.30240350877192979</v>
      </c>
      <c r="K19" s="100">
        <f t="shared" ref="K19:K38" si="8">DP22/((K$17*$B19)/144)</f>
        <v>0.30583991228070179</v>
      </c>
      <c r="L19" s="100">
        <f t="shared" ref="L19:L38" si="9">DZ22/((L$17*$B19)/144)</f>
        <v>0.30240350877192979</v>
      </c>
      <c r="M19" s="100">
        <f t="shared" ref="M19:M38" si="10">EJ22/((M$17*$B19)/144)</f>
        <v>0.30515263157894734</v>
      </c>
      <c r="N19" s="100">
        <f t="shared" ref="N19:N38" si="11">ET22/((N$17*$B19)/144)</f>
        <v>0.30740191387559807</v>
      </c>
      <c r="O19" s="100">
        <f t="shared" ref="O19:O38" si="12">FD22/((O$17*$B19)/144)</f>
        <v>0.308703581871345</v>
      </c>
      <c r="P19" s="100">
        <f t="shared" ref="P19:P30" si="13">FN22/((P$17*$B19)/144)</f>
        <v>0.3103336707152497</v>
      </c>
      <c r="Q19" s="100">
        <f t="shared" ref="Q19:Q30" si="14">FX22/((Q$17*$B19)/144)</f>
        <v>0.31173088972431073</v>
      </c>
      <c r="R19" s="100">
        <f t="shared" ref="R19:R30" si="15">GH22/((R$17*$B19)/144)</f>
        <v>0.31294181286549705</v>
      </c>
      <c r="S19" s="100">
        <f t="shared" ref="S19:S30" si="16">GR22/((S$17*$B19)/144)</f>
        <v>0.3140013706140351</v>
      </c>
      <c r="T19" s="100">
        <f t="shared" ref="T19:T30" si="17">HB22/((T$17*$B19)/144)</f>
        <v>0.31493627450980388</v>
      </c>
      <c r="U19" s="100">
        <f t="shared" ref="U19:U30" si="18">HL22/((U$17*$B19)/144)</f>
        <v>0.30965813840155942</v>
      </c>
      <c r="V19" s="100">
        <f t="shared" ref="V19:V30" si="19">HV22/((V$17*$B19)/144)</f>
        <v>0.31072322253000917</v>
      </c>
      <c r="W19" s="100">
        <f t="shared" ref="W19:W30" si="20">IF22/((W$17*$B19)/144)</f>
        <v>0.31168179824561404</v>
      </c>
      <c r="X19" s="96"/>
      <c r="Y19" s="97"/>
      <c r="Z19" s="83"/>
      <c r="AA19" s="83"/>
      <c r="AT19" s="4"/>
      <c r="AU19" s="891"/>
      <c r="AV19" s="892"/>
      <c r="AW19" s="897"/>
      <c r="AX19" s="898"/>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6">
        <v>3</v>
      </c>
      <c r="D20" s="98">
        <f t="shared" si="1"/>
        <v>0.2412361111111111</v>
      </c>
      <c r="E20" s="96">
        <f t="shared" si="2"/>
        <v>0.27961458333333333</v>
      </c>
      <c r="F20" s="96">
        <f t="shared" si="3"/>
        <v>0.31799305555555551</v>
      </c>
      <c r="G20" s="96">
        <f t="shared" si="4"/>
        <v>0.33718229166666669</v>
      </c>
      <c r="H20" s="96">
        <f t="shared" si="5"/>
        <v>0.34869583333333332</v>
      </c>
      <c r="I20" s="96">
        <f t="shared" si="6"/>
        <v>0.35637152777777786</v>
      </c>
      <c r="J20" s="96">
        <f t="shared" si="7"/>
        <v>0.3618541666666667</v>
      </c>
      <c r="K20" s="96">
        <f t="shared" si="8"/>
        <v>0.36596614583333337</v>
      </c>
      <c r="L20" s="96">
        <f t="shared" si="9"/>
        <v>0.36185416666666664</v>
      </c>
      <c r="M20" s="96">
        <f t="shared" si="10"/>
        <v>0.36514374999999999</v>
      </c>
      <c r="N20" s="96">
        <f t="shared" si="11"/>
        <v>0.36783522727272727</v>
      </c>
      <c r="O20" s="96">
        <f t="shared" si="12"/>
        <v>0.3693927951388889</v>
      </c>
      <c r="P20" s="96">
        <f t="shared" si="13"/>
        <v>0.3713433493589744</v>
      </c>
      <c r="Q20" s="96">
        <f t="shared" si="14"/>
        <v>0.37301525297619043</v>
      </c>
      <c r="R20" s="96">
        <f t="shared" si="15"/>
        <v>0.37446423611111113</v>
      </c>
      <c r="S20" s="96">
        <f t="shared" si="16"/>
        <v>0.37573209635416671</v>
      </c>
      <c r="T20" s="96">
        <f t="shared" si="17"/>
        <v>0.37685079656862747</v>
      </c>
      <c r="U20" s="96">
        <f t="shared" si="18"/>
        <v>0.37053501157407409</v>
      </c>
      <c r="V20" s="96">
        <f t="shared" si="19"/>
        <v>0.37180948464912283</v>
      </c>
      <c r="W20" s="96">
        <f t="shared" si="20"/>
        <v>0.37295651041666666</v>
      </c>
      <c r="X20" s="96"/>
      <c r="Y20" s="65"/>
      <c r="AA20" s="83"/>
      <c r="AT20" s="4"/>
      <c r="AU20" s="893"/>
      <c r="AV20" s="894"/>
      <c r="AW20" s="10"/>
      <c r="AX20" s="216">
        <v>9</v>
      </c>
      <c r="AY20" s="12" t="str">
        <f>"("&amp;ROUND(AX20*25.4/50,0)*50&amp;")"</f>
        <v>(250)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1"/>
        <v>0.2993425925925926</v>
      </c>
      <c r="E21" s="96">
        <f t="shared" si="2"/>
        <v>0.3469652777777778</v>
      </c>
      <c r="F21" s="96">
        <f t="shared" si="3"/>
        <v>0.39458796296296295</v>
      </c>
      <c r="G21" s="96">
        <f t="shared" si="4"/>
        <v>0.41839930555555555</v>
      </c>
      <c r="H21" s="96">
        <f t="shared" si="5"/>
        <v>0.4326861111111111</v>
      </c>
      <c r="I21" s="96">
        <f t="shared" si="6"/>
        <v>0.44221064814814814</v>
      </c>
      <c r="J21" s="96">
        <f t="shared" si="7"/>
        <v>0.44901388888888888</v>
      </c>
      <c r="K21" s="96">
        <f t="shared" si="8"/>
        <v>0.45411631944444442</v>
      </c>
      <c r="L21" s="96">
        <f t="shared" si="9"/>
        <v>0.44901388888888893</v>
      </c>
      <c r="M21" s="96">
        <f t="shared" si="10"/>
        <v>0.45309583333333331</v>
      </c>
      <c r="N21" s="96">
        <f t="shared" si="11"/>
        <v>0.45643560606060607</v>
      </c>
      <c r="O21" s="96">
        <f t="shared" si="12"/>
        <v>0.45836834490740741</v>
      </c>
      <c r="P21" s="96">
        <f t="shared" si="13"/>
        <v>0.46078872863247855</v>
      </c>
      <c r="Q21" s="96">
        <f t="shared" si="14"/>
        <v>0.46286334325396827</v>
      </c>
      <c r="R21" s="96">
        <f t="shared" si="15"/>
        <v>0.46466134259259262</v>
      </c>
      <c r="S21" s="96">
        <f t="shared" si="16"/>
        <v>0.46623459201388889</v>
      </c>
      <c r="T21" s="96">
        <f t="shared" si="17"/>
        <v>0.46762275326797387</v>
      </c>
      <c r="U21" s="96">
        <f t="shared" si="18"/>
        <v>0.45978568672839509</v>
      </c>
      <c r="V21" s="96">
        <f t="shared" si="19"/>
        <v>0.46136714181286553</v>
      </c>
      <c r="W21" s="96">
        <f t="shared" si="20"/>
        <v>0.46279045138888891</v>
      </c>
      <c r="X21" s="96"/>
      <c r="Y21" s="65"/>
      <c r="AA21" s="83"/>
      <c r="AT21" s="4"/>
      <c r="AU21" s="10"/>
      <c r="AV21" s="17"/>
      <c r="AW21" s="18"/>
      <c r="AX21" s="18"/>
      <c r="AY21" s="18"/>
      <c r="AZ21" s="12"/>
      <c r="BA21" s="12"/>
      <c r="BB21" s="12"/>
      <c r="BC21" s="12"/>
      <c r="BD21" s="12"/>
      <c r="BE21" s="12"/>
      <c r="BF21" s="12"/>
      <c r="BG21" s="12"/>
      <c r="BH21" s="11"/>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5"/>
      <c r="IQ21" s="16"/>
      <c r="IR21" s="16"/>
      <c r="IS21" s="16"/>
      <c r="IT21" s="16"/>
      <c r="IU21" s="16"/>
      <c r="IV21" s="16"/>
      <c r="IW21" s="16"/>
      <c r="IX21" s="8"/>
    </row>
    <row r="22" spans="2:258" ht="18" customHeight="1" thickBot="1" x14ac:dyDescent="0.3">
      <c r="B22" s="103">
        <f t="shared" ref="B22:B38" si="21">B21+6</f>
        <v>24</v>
      </c>
      <c r="C22" s="226">
        <v>5</v>
      </c>
      <c r="D22" s="98">
        <f t="shared" si="1"/>
        <v>0.32266666666666666</v>
      </c>
      <c r="E22" s="96">
        <f t="shared" si="2"/>
        <v>0.374</v>
      </c>
      <c r="F22" s="96">
        <f t="shared" si="3"/>
        <v>0.42533333333333334</v>
      </c>
      <c r="G22" s="96">
        <f t="shared" si="4"/>
        <v>0.45100000000000001</v>
      </c>
      <c r="H22" s="96">
        <f t="shared" si="5"/>
        <v>0.46639999999999998</v>
      </c>
      <c r="I22" s="96">
        <f t="shared" si="6"/>
        <v>0.47666666666666674</v>
      </c>
      <c r="J22" s="96">
        <f t="shared" si="7"/>
        <v>0.48399999999999999</v>
      </c>
      <c r="K22" s="96">
        <f t="shared" si="8"/>
        <v>0.48949999999999999</v>
      </c>
      <c r="L22" s="96">
        <f t="shared" si="9"/>
        <v>0.48399999999999999</v>
      </c>
      <c r="M22" s="96">
        <f t="shared" si="10"/>
        <v>0.48840000000000006</v>
      </c>
      <c r="N22" s="96">
        <f t="shared" si="11"/>
        <v>0.49200000000000005</v>
      </c>
      <c r="O22" s="96">
        <f t="shared" si="12"/>
        <v>0.49408333333333337</v>
      </c>
      <c r="P22" s="96">
        <f t="shared" si="13"/>
        <v>0.49669230769230766</v>
      </c>
      <c r="Q22" s="96">
        <f t="shared" si="14"/>
        <v>0.49892857142857144</v>
      </c>
      <c r="R22" s="96">
        <f t="shared" si="15"/>
        <v>0.50086666666666668</v>
      </c>
      <c r="S22" s="96">
        <f t="shared" si="16"/>
        <v>0.50256250000000002</v>
      </c>
      <c r="T22" s="96">
        <f t="shared" si="17"/>
        <v>0.50405882352941178</v>
      </c>
      <c r="U22" s="96">
        <f t="shared" si="18"/>
        <v>0.49561111111111106</v>
      </c>
      <c r="V22" s="96">
        <f t="shared" si="19"/>
        <v>0.49731578947368432</v>
      </c>
      <c r="W22" s="96">
        <f t="shared" si="20"/>
        <v>0.49885000000000002</v>
      </c>
      <c r="X22" s="96"/>
      <c r="Y22" s="65"/>
      <c r="AA22" s="83"/>
      <c r="AT22" s="4"/>
      <c r="AU22" s="216">
        <f>F12</f>
        <v>9.5</v>
      </c>
      <c r="AV22" s="12" t="str">
        <f t="shared" ref="AV22:AV41" si="22">"("&amp;ROUND(AU22*25.4/50,0)*50&amp;")"</f>
        <v>(250)</v>
      </c>
      <c r="AW22" s="217"/>
      <c r="AX22" s="20">
        <f t="shared" ref="AX22:AX41" si="23">($IR22+(($IQ22-1)*$IS22)+$IT22)*BG22/144</f>
        <v>0.11970138888888887</v>
      </c>
      <c r="AY22" s="21" t="str">
        <f t="shared" ref="AY22:AY41" si="24">"("&amp;FIXED(AX22*0.092903,2)&amp;")"</f>
        <v>(0.01)</v>
      </c>
      <c r="AZ22" s="22">
        <v>2</v>
      </c>
      <c r="BA22" s="22">
        <f t="shared" ref="BA22:BA41" si="25">$IU$23*AZ22</f>
        <v>3.5</v>
      </c>
      <c r="BB22" s="22">
        <v>0</v>
      </c>
      <c r="BC22" s="22">
        <f t="shared" ref="BC22:BC41" si="26">$IW$23*BB22</f>
        <v>0</v>
      </c>
      <c r="BD22" s="22">
        <v>0</v>
      </c>
      <c r="BE22" s="22">
        <f t="shared" ref="BE22:BE41" si="27">$IV$23*BD22</f>
        <v>0</v>
      </c>
      <c r="BF22" s="22">
        <f t="shared" ref="BF22:BF41" si="28">BA22+BC22+BE22</f>
        <v>3.5</v>
      </c>
      <c r="BG22" s="23">
        <f t="shared" ref="BG22:BG41" si="29">AX$20-BA22-BC22-BE22</f>
        <v>5.5</v>
      </c>
      <c r="BH22" s="20">
        <f t="shared" ref="BH22:BH41" si="30">($IR22+(($IQ22-1)*$IS22)+$IT22)*BQ22/144</f>
        <v>0.18499305555555556</v>
      </c>
      <c r="BI22" s="21" t="str">
        <f t="shared" ref="BI22:BI41" si="31">"("&amp;FIXED(BH22*0.092903,2)&amp;")"</f>
        <v>(0.02)</v>
      </c>
      <c r="BJ22" s="22">
        <v>2</v>
      </c>
      <c r="BK22" s="22">
        <f t="shared" ref="BK22:BK41" si="32">$IU$23*BJ22</f>
        <v>3.5</v>
      </c>
      <c r="BL22" s="22">
        <v>0</v>
      </c>
      <c r="BM22" s="22">
        <f t="shared" ref="BM22:BM41" si="33">$IW$23*BL22</f>
        <v>0</v>
      </c>
      <c r="BN22" s="22">
        <v>0</v>
      </c>
      <c r="BO22" s="22">
        <f t="shared" ref="BO22:BO41" si="34">$IV$23*BN22</f>
        <v>0</v>
      </c>
      <c r="BP22" s="22">
        <f t="shared" ref="BP22:BP41" si="35">BK22+BM22+BO22</f>
        <v>3.5</v>
      </c>
      <c r="BQ22" s="23">
        <f t="shared" ref="BQ22:BQ41" si="36">BH$20-BK22-BM22-BO22</f>
        <v>8.5</v>
      </c>
      <c r="BR22" s="20">
        <f t="shared" ref="BR22:BR41" si="37">($IR22+(($IQ22-1)*$IS22)+$IT22)*CA22/144</f>
        <v>0.31557638888888889</v>
      </c>
      <c r="BS22" s="21" t="str">
        <f t="shared" ref="BS22:BS41" si="38">"("&amp;ROUND(BR22*0.092903,2)&amp;")"</f>
        <v>(0.03)</v>
      </c>
      <c r="BT22" s="22">
        <v>2</v>
      </c>
      <c r="BU22" s="22">
        <f t="shared" ref="BU22:BU41" si="39">$IU$23*BT22</f>
        <v>3.5</v>
      </c>
      <c r="BV22" s="22">
        <v>0</v>
      </c>
      <c r="BW22" s="22">
        <f t="shared" ref="BW22:BW41" si="40">$IW$23*BV22</f>
        <v>0</v>
      </c>
      <c r="BX22" s="22">
        <v>0</v>
      </c>
      <c r="BY22" s="22">
        <f t="shared" ref="BY22:BY41" si="41">$IV$23*BX22</f>
        <v>0</v>
      </c>
      <c r="BZ22" s="22">
        <f t="shared" ref="BZ22:BZ41" si="42">BU22+BW22+BY22</f>
        <v>3.5</v>
      </c>
      <c r="CA22" s="23">
        <f t="shared" ref="CA22:CA41" si="43">BR$20-BU22-BW22-BY22</f>
        <v>14.5</v>
      </c>
      <c r="CB22" s="20">
        <f t="shared" ref="CB22:CB41" si="44">($IR22+(($IQ22-1)*$IS22)+$IT22)*CK22/144</f>
        <v>0.44615972222222222</v>
      </c>
      <c r="CC22" s="21" t="str">
        <f t="shared" ref="CC22:CC41" si="45">"("&amp;ROUND(CB22*0.092903,2)&amp;")"</f>
        <v>(0.04)</v>
      </c>
      <c r="CD22" s="22">
        <v>2</v>
      </c>
      <c r="CE22" s="22">
        <f t="shared" ref="CE22:CE41" si="46">$IU$23*CD22</f>
        <v>3.5</v>
      </c>
      <c r="CF22" s="22">
        <v>0</v>
      </c>
      <c r="CG22" s="22">
        <f t="shared" ref="CG22:CG41" si="47">$IW$23*CF22</f>
        <v>0</v>
      </c>
      <c r="CH22" s="22">
        <v>0</v>
      </c>
      <c r="CI22" s="22">
        <f t="shared" ref="CI22:CI41" si="48">$IV$23*CH22</f>
        <v>0</v>
      </c>
      <c r="CJ22" s="22">
        <f t="shared" ref="CJ22:CJ41" si="49">CE22+CG22+CI22</f>
        <v>3.5</v>
      </c>
      <c r="CK22" s="23">
        <f t="shared" ref="CK22:CK41" si="50">CB$20-CE22-CG22-CI22</f>
        <v>20.5</v>
      </c>
      <c r="CL22" s="20">
        <f t="shared" ref="CL22:CL41" si="51">($IR22+(($IQ22-1)*$IS22)+$IT22)*CU22/144</f>
        <v>0.57674305555555561</v>
      </c>
      <c r="CM22" s="21" t="str">
        <f t="shared" ref="CM22:CM41" si="52">"("&amp;ROUND(CL22*0.092903,2)&amp;")"</f>
        <v>(0.05)</v>
      </c>
      <c r="CN22" s="22">
        <v>2</v>
      </c>
      <c r="CO22" s="22">
        <f t="shared" ref="CO22:CO41" si="53">$IU$23*CN22</f>
        <v>3.5</v>
      </c>
      <c r="CP22" s="22">
        <v>0</v>
      </c>
      <c r="CQ22" s="22">
        <f t="shared" ref="CQ22:CQ41" si="54">$IW$23*CP22</f>
        <v>0</v>
      </c>
      <c r="CR22" s="22">
        <v>0</v>
      </c>
      <c r="CS22" s="22">
        <f t="shared" ref="CS22:CS41" si="55">$IV$23*CR22</f>
        <v>0</v>
      </c>
      <c r="CT22" s="22">
        <f t="shared" ref="CT22:CT41" si="56">CO22+CQ22+CS22</f>
        <v>3.5</v>
      </c>
      <c r="CU22" s="23">
        <f t="shared" ref="CU22:CU41" si="57">CL$20-CO22-CQ22-CS22</f>
        <v>26.5</v>
      </c>
      <c r="CV22" s="20">
        <f t="shared" ref="CV22:CV41" si="58">($IR22+(($IQ22-1)*$IS22)+$IT22)*DE22/144</f>
        <v>0.70732638888888877</v>
      </c>
      <c r="CW22" s="21" t="str">
        <f t="shared" ref="CW22:CW41" si="59">"("&amp;ROUND(CV22*0.092903,2)&amp;")"</f>
        <v>(0.07)</v>
      </c>
      <c r="CX22" s="22">
        <v>2</v>
      </c>
      <c r="CY22" s="22">
        <f t="shared" ref="CY22:CY41" si="60">$IU$23*CX22</f>
        <v>3.5</v>
      </c>
      <c r="CZ22" s="22">
        <v>0</v>
      </c>
      <c r="DA22" s="22">
        <f t="shared" ref="DA22:DA41" si="61">$IW$23*CZ22</f>
        <v>0</v>
      </c>
      <c r="DB22" s="22">
        <v>0</v>
      </c>
      <c r="DC22" s="22">
        <f t="shared" ref="DC22:DC41" si="62">$IV$23*DB22</f>
        <v>0</v>
      </c>
      <c r="DD22" s="22">
        <f t="shared" ref="DD22:DD41" si="63">CY22+DA22+DC22</f>
        <v>3.5</v>
      </c>
      <c r="DE22" s="23">
        <f t="shared" ref="DE22:DE41" si="64">CV$20-CY22-DA22-DC22</f>
        <v>32.5</v>
      </c>
      <c r="DF22" s="20">
        <f t="shared" ref="DF22:DF41" si="65">($IR22+(($IQ22-1)*$IS22)+$IT22)*DO22/144</f>
        <v>0.83790972222222215</v>
      </c>
      <c r="DG22" s="21" t="str">
        <f t="shared" ref="DG22:DG41" si="66">"("&amp;ROUND(DF22*0.092903,2)&amp;")"</f>
        <v>(0.08)</v>
      </c>
      <c r="DH22" s="22">
        <v>2</v>
      </c>
      <c r="DI22" s="22">
        <f t="shared" ref="DI22:DI41" si="67">$IU$23*DH22</f>
        <v>3.5</v>
      </c>
      <c r="DJ22" s="22">
        <v>0</v>
      </c>
      <c r="DK22" s="22">
        <f t="shared" ref="DK22:DK41" si="68">$IW$23*DJ22</f>
        <v>0</v>
      </c>
      <c r="DL22" s="22">
        <v>0</v>
      </c>
      <c r="DM22" s="22">
        <f t="shared" ref="DM22:DM41" si="69">$IV$23*DL22</f>
        <v>0</v>
      </c>
      <c r="DN22" s="22">
        <f t="shared" ref="DN22:DN41" si="70">DI22+DK22+DM22</f>
        <v>3.5</v>
      </c>
      <c r="DO22" s="23">
        <f t="shared" ref="DO22:DO41" si="71">DF$20-DI22-DK22-DM22</f>
        <v>38.5</v>
      </c>
      <c r="DP22" s="20">
        <f t="shared" ref="DP22:DP41" si="72">($IR22+(($IQ22-1)*$IS22)+$IT22)*DY22/144</f>
        <v>0.96849305555555554</v>
      </c>
      <c r="DQ22" s="21" t="str">
        <f t="shared" ref="DQ22:DQ41" si="73">"("&amp;ROUND(DP22*0.092903,2)&amp;")"</f>
        <v>(0.09)</v>
      </c>
      <c r="DR22" s="22">
        <v>2</v>
      </c>
      <c r="DS22" s="22">
        <f t="shared" ref="DS22:DS41" si="74">$IU$23*DR22</f>
        <v>3.5</v>
      </c>
      <c r="DT22" s="22">
        <v>0</v>
      </c>
      <c r="DU22" s="22">
        <f t="shared" ref="DU22:DU41" si="75">$IW$23*DT22</f>
        <v>0</v>
      </c>
      <c r="DV22" s="22">
        <v>0</v>
      </c>
      <c r="DW22" s="22">
        <f t="shared" ref="DW22:DW41" si="76">$IV$23*DV22</f>
        <v>0</v>
      </c>
      <c r="DX22" s="22">
        <f t="shared" ref="DX22:DX41" si="77">DS22+DU22+DW22</f>
        <v>3.5</v>
      </c>
      <c r="DY22" s="23">
        <f t="shared" ref="DY22:DY41" si="78">DP$20-DS22-DU22-DW22</f>
        <v>44.5</v>
      </c>
      <c r="DZ22" s="20">
        <f t="shared" ref="DZ22:DZ41" si="79">($IR22+(($IQ22-1)*$IS22)+$IT22)*EI22/144</f>
        <v>1.0773124999999999</v>
      </c>
      <c r="EA22" s="21" t="str">
        <f t="shared" ref="EA22:EA41" si="80">"("&amp;FIXED(DZ22*0.092903,2)&amp;")"</f>
        <v>(0.10)</v>
      </c>
      <c r="EB22" s="22">
        <v>2</v>
      </c>
      <c r="EC22" s="22">
        <f t="shared" ref="EC22:EC41" si="81">$IU$23*EB22</f>
        <v>3.5</v>
      </c>
      <c r="ED22" s="22">
        <v>0</v>
      </c>
      <c r="EE22" s="22">
        <f t="shared" ref="EE22:EE41" si="82">$IW$23*ED22</f>
        <v>0</v>
      </c>
      <c r="EF22" s="22">
        <v>1</v>
      </c>
      <c r="EG22" s="22">
        <f t="shared" ref="EG22:EG41" si="83">$IV$23*EF22</f>
        <v>1</v>
      </c>
      <c r="EH22" s="22">
        <f t="shared" ref="EH22:EH41" si="84">EC22+EE22+EG22</f>
        <v>4.5</v>
      </c>
      <c r="EI22" s="23">
        <f t="shared" ref="EI22:EI41" si="85">DZ$20-EC22-EE22-EG22</f>
        <v>49.5</v>
      </c>
      <c r="EJ22" s="20">
        <f t="shared" ref="EJ22:EJ41" si="86">($IR22+(($IQ22-1)*$IS22)+$IT22)*ES22/144</f>
        <v>1.2078958333333332</v>
      </c>
      <c r="EK22" s="21" t="str">
        <f t="shared" ref="EK22:EK41" si="87">"("&amp;FIXED(EJ22*0.092903,2)&amp;")"</f>
        <v>(0.11)</v>
      </c>
      <c r="EL22" s="22">
        <v>2</v>
      </c>
      <c r="EM22" s="22">
        <f t="shared" ref="EM22:EM41" si="88">$IU$23*EL22</f>
        <v>3.5</v>
      </c>
      <c r="EN22" s="22">
        <v>0</v>
      </c>
      <c r="EO22" s="22">
        <f t="shared" ref="EO22:EO41" si="89">$IW$23*EN22</f>
        <v>0</v>
      </c>
      <c r="EP22" s="22">
        <v>1</v>
      </c>
      <c r="EQ22" s="22">
        <f t="shared" ref="EQ22:EQ41" si="90">$IV$23*EP22</f>
        <v>1</v>
      </c>
      <c r="ER22" s="22">
        <f t="shared" ref="ER22:ER41" si="91">EM22+EO22+EQ22</f>
        <v>4.5</v>
      </c>
      <c r="ES22" s="23">
        <f t="shared" ref="ES22:ES41" si="92">EJ$20-EM22-EO22-EQ22</f>
        <v>55.5</v>
      </c>
      <c r="ET22" s="20">
        <f t="shared" ref="ET22:ET41" si="93">($IR22+(($IQ22-1)*$IS22)+$IT22)*FC22/144</f>
        <v>1.3384791666666667</v>
      </c>
      <c r="EU22" s="21" t="str">
        <f t="shared" ref="EU22:EU41" si="94">"("&amp;FIXED(ET22*0.092903,2)&amp;")"</f>
        <v>(0.12)</v>
      </c>
      <c r="EV22" s="22">
        <v>2</v>
      </c>
      <c r="EW22" s="22">
        <f t="shared" ref="EW22:EW41" si="95">$IU$23*EV22</f>
        <v>3.5</v>
      </c>
      <c r="EX22" s="22">
        <v>0</v>
      </c>
      <c r="EY22" s="22">
        <f t="shared" ref="EY22:EY41" si="96">$IW$23*EX22</f>
        <v>0</v>
      </c>
      <c r="EZ22" s="22">
        <v>1</v>
      </c>
      <c r="FA22" s="22">
        <f t="shared" ref="FA22:FA41" si="97">$IV$23*EZ22</f>
        <v>1</v>
      </c>
      <c r="FB22" s="22">
        <f t="shared" ref="FB22:FB41" si="98">EW22+EY22+FA22</f>
        <v>4.5</v>
      </c>
      <c r="FC22" s="23">
        <f t="shared" ref="FC22:FC41" si="99">ET$20-EW22-EY22-FA22</f>
        <v>61.5</v>
      </c>
      <c r="FD22" s="20">
        <f t="shared" ref="FD22:FD41" si="100">($IR22+(($IQ22-1)*$IS22)+$IT22)*FM22/144</f>
        <v>1.4663420138888887</v>
      </c>
      <c r="FE22" s="21" t="str">
        <f t="shared" ref="FE22:FE41" si="101">"("&amp;FIXED(FD22*0.092903,2)&amp;")"</f>
        <v>(0.14)</v>
      </c>
      <c r="FF22" s="22">
        <v>2</v>
      </c>
      <c r="FG22" s="22">
        <f t="shared" ref="FG22:FG41" si="102">$IU$23*FF22</f>
        <v>3.5</v>
      </c>
      <c r="FH22" s="22">
        <v>1</v>
      </c>
      <c r="FI22" s="22">
        <f t="shared" ref="FI22:FI41" si="103">$IW$23*FH22</f>
        <v>1.125</v>
      </c>
      <c r="FJ22" s="22">
        <v>0</v>
      </c>
      <c r="FK22" s="22">
        <f t="shared" ref="FK22:FK41" si="104">$IV$23*FJ22</f>
        <v>0</v>
      </c>
      <c r="FL22" s="22">
        <f t="shared" ref="FL22:FL41" si="105">FG22+FI22+FK22</f>
        <v>4.625</v>
      </c>
      <c r="FM22" s="23">
        <f t="shared" ref="FM22:FM41" si="106">FD$20-FG22-FI22-FK22</f>
        <v>67.375</v>
      </c>
      <c r="FN22" s="20">
        <f t="shared" ref="FN22:FN33" si="107">($IR22+(($IQ22-1)*$IS22)+$IT22)*FW22/144</f>
        <v>1.5969253472222222</v>
      </c>
      <c r="FO22" s="21" t="str">
        <f t="shared" ref="FO22:FO33" si="108">"("&amp;FIXED(FN22*0.092903,2)&amp;")"</f>
        <v>(0.15)</v>
      </c>
      <c r="FP22" s="22">
        <v>2</v>
      </c>
      <c r="FQ22" s="22">
        <f t="shared" ref="FQ22:FQ33" si="109">$IU$23*FP22</f>
        <v>3.5</v>
      </c>
      <c r="FR22" s="22">
        <v>1</v>
      </c>
      <c r="FS22" s="22">
        <f t="shared" ref="FS22:FS33" si="110">$IW$23*FR22</f>
        <v>1.125</v>
      </c>
      <c r="FT22" s="22">
        <v>0</v>
      </c>
      <c r="FU22" s="22">
        <f t="shared" ref="FU22:FU33" si="111">$IV$23*FT22</f>
        <v>0</v>
      </c>
      <c r="FV22" s="22">
        <f t="shared" ref="FV22:FV33" si="112">FQ22+FS22+FU22</f>
        <v>4.625</v>
      </c>
      <c r="FW22" s="23">
        <f t="shared" ref="FW22:FW33" si="113">FN$20-FQ22-FS22-FU22</f>
        <v>73.375</v>
      </c>
      <c r="FX22" s="20">
        <f t="shared" ref="FX22:FX33" si="114">($IR22+(($IQ22-1)*$IS22)+$IT22)*GG22/144</f>
        <v>1.7275086805555555</v>
      </c>
      <c r="FY22" s="21" t="str">
        <f t="shared" ref="FY22:FY33" si="115">"("&amp;FIXED(FX22*0.092903,2)&amp;")"</f>
        <v>(0.16)</v>
      </c>
      <c r="FZ22" s="22">
        <v>2</v>
      </c>
      <c r="GA22" s="22">
        <f t="shared" ref="GA22:GA33" si="116">$IU$23*FZ22</f>
        <v>3.5</v>
      </c>
      <c r="GB22" s="22">
        <v>1</v>
      </c>
      <c r="GC22" s="22">
        <f t="shared" ref="GC22:GC33" si="117">$IW$23*GB22</f>
        <v>1.125</v>
      </c>
      <c r="GD22" s="22">
        <v>0</v>
      </c>
      <c r="GE22" s="22">
        <f t="shared" ref="GE22:GE33" si="118">$IV$23*GD22</f>
        <v>0</v>
      </c>
      <c r="GF22" s="22">
        <f t="shared" ref="GF22:GF33" si="119">GA22+GC22+GE22</f>
        <v>4.625</v>
      </c>
      <c r="GG22" s="23">
        <f t="shared" ref="GG22:GG33" si="120">FX$20-GA22-GC22-GE22</f>
        <v>79.375</v>
      </c>
      <c r="GH22" s="20">
        <f t="shared" ref="GH22:GH33" si="121">($IR22+(($IQ22-1)*$IS22)+$IT22)*GQ22/144</f>
        <v>1.8580920138888888</v>
      </c>
      <c r="GI22" s="21" t="str">
        <f t="shared" ref="GI22:GI33" si="122">"("&amp;FIXED(GH22*0.092903,2)&amp;")"</f>
        <v>(0.17)</v>
      </c>
      <c r="GJ22" s="22">
        <v>2</v>
      </c>
      <c r="GK22" s="22">
        <f t="shared" ref="GK22:GK33" si="123">$IU$23*GJ22</f>
        <v>3.5</v>
      </c>
      <c r="GL22" s="22">
        <v>1</v>
      </c>
      <c r="GM22" s="22">
        <f t="shared" ref="GM22:GM33" si="124">$IW$23*GL22</f>
        <v>1.125</v>
      </c>
      <c r="GN22" s="22">
        <v>0</v>
      </c>
      <c r="GO22" s="22">
        <f t="shared" ref="GO22:GO33" si="125">$IV$23*GN22</f>
        <v>0</v>
      </c>
      <c r="GP22" s="22">
        <f t="shared" ref="GP22:GP33" si="126">GK22+GM22+GO22</f>
        <v>4.625</v>
      </c>
      <c r="GQ22" s="23">
        <f t="shared" ref="GQ22:GQ33" si="127">GH$20-GK22-GM22-GO22</f>
        <v>85.375</v>
      </c>
      <c r="GR22" s="20">
        <f t="shared" ref="GR22:GR33" si="128">($IR22+(($IQ22-1)*$IS22)+$IT22)*HA22/144</f>
        <v>1.9886753472222221</v>
      </c>
      <c r="GS22" s="21" t="str">
        <f t="shared" ref="GS22:GS33" si="129">"("&amp;FIXED(GR22*0.092903,2)&amp;")"</f>
        <v>(0.18)</v>
      </c>
      <c r="GT22" s="22">
        <v>2</v>
      </c>
      <c r="GU22" s="22">
        <f t="shared" ref="GU22:GU33" si="130">$IU$23*GT22</f>
        <v>3.5</v>
      </c>
      <c r="GV22" s="22">
        <v>1</v>
      </c>
      <c r="GW22" s="22">
        <f t="shared" ref="GW22:GW33" si="131">$IW$23*GV22</f>
        <v>1.125</v>
      </c>
      <c r="GX22" s="22">
        <v>0</v>
      </c>
      <c r="GY22" s="22">
        <f t="shared" ref="GY22:GY33" si="132">$IV$23*GX22</f>
        <v>0</v>
      </c>
      <c r="GZ22" s="22">
        <f t="shared" ref="GZ22:GZ33" si="133">GU22+GW22+GY22</f>
        <v>4.625</v>
      </c>
      <c r="HA22" s="23">
        <f t="shared" ref="HA22:HA33" si="134">GR$20-GU22-GW22-GY22</f>
        <v>91.375</v>
      </c>
      <c r="HB22" s="20">
        <f t="shared" ref="HB22:HB33" si="135">($IR22+(($IQ22-1)*$IS22)+$IT22)*HK22/144</f>
        <v>2.1192586805555553</v>
      </c>
      <c r="HC22" s="21" t="str">
        <f t="shared" ref="HC22:HC33" si="136">"("&amp;FIXED(HB22*0.092903,2)&amp;")"</f>
        <v>(0.20)</v>
      </c>
      <c r="HD22" s="22">
        <v>2</v>
      </c>
      <c r="HE22" s="22">
        <f t="shared" ref="HE22:HE33" si="137">$IU$23*HD22</f>
        <v>3.5</v>
      </c>
      <c r="HF22" s="22">
        <v>1</v>
      </c>
      <c r="HG22" s="22">
        <f t="shared" ref="HG22:HG33" si="138">$IW$23*HF22</f>
        <v>1.125</v>
      </c>
      <c r="HH22" s="22">
        <v>0</v>
      </c>
      <c r="HI22" s="22">
        <f t="shared" ref="HI22:HI33" si="139">$IV$23*HH22</f>
        <v>0</v>
      </c>
      <c r="HJ22" s="22">
        <f t="shared" ref="HJ22:HJ33" si="140">HE22+HG22+HI22</f>
        <v>4.625</v>
      </c>
      <c r="HK22" s="23">
        <f t="shared" ref="HK22:HK33" si="141">HB$20-HE22-HG22-HI22</f>
        <v>97.375</v>
      </c>
      <c r="HL22" s="20">
        <f t="shared" ref="HL22:HL33" si="142">($IR22+(($IQ22-1)*$IS22)+$IT22)*HU22/144</f>
        <v>2.206314236111111</v>
      </c>
      <c r="HM22" s="21" t="str">
        <f t="shared" ref="HM22:HM33" si="143">"("&amp;FIXED(HL22*0.092903,2)&amp;")"</f>
        <v>(0.20)</v>
      </c>
      <c r="HN22" s="22">
        <v>2</v>
      </c>
      <c r="HO22" s="22">
        <f t="shared" ref="HO22:HO33" si="144">$IU$23*HN22</f>
        <v>3.5</v>
      </c>
      <c r="HP22" s="22">
        <v>1</v>
      </c>
      <c r="HQ22" s="22">
        <f t="shared" ref="HQ22:HQ33" si="145">$IW$23*HP22</f>
        <v>1.125</v>
      </c>
      <c r="HR22" s="22">
        <v>2</v>
      </c>
      <c r="HS22" s="22">
        <f t="shared" ref="HS22:HS33" si="146">$IV$23*HR22</f>
        <v>2</v>
      </c>
      <c r="HT22" s="22">
        <f t="shared" ref="HT22:HT33" si="147">HO22+HQ22+HS22</f>
        <v>6.625</v>
      </c>
      <c r="HU22" s="23">
        <f t="shared" ref="HU22:HU33" si="148">HL$20-HO22-HQ22-HS22</f>
        <v>101.375</v>
      </c>
      <c r="HV22" s="20">
        <f t="shared" ref="HV22:HV33" si="149">($IR22+(($IQ22-1)*$IS22)+$IT22)*IE22/144</f>
        <v>2.336897569444444</v>
      </c>
      <c r="HW22" s="21" t="str">
        <f t="shared" ref="HW22:HW33" si="150">"("&amp;FIXED(HV22*0.092903,2)&amp;")"</f>
        <v>(0.22)</v>
      </c>
      <c r="HX22" s="22">
        <v>2</v>
      </c>
      <c r="HY22" s="22">
        <f t="shared" ref="HY22:HY33" si="151">$IU$23*HX22</f>
        <v>3.5</v>
      </c>
      <c r="HZ22" s="22">
        <v>1</v>
      </c>
      <c r="IA22" s="22">
        <f t="shared" ref="IA22:IA33" si="152">$IW$23*HZ22</f>
        <v>1.125</v>
      </c>
      <c r="IB22" s="22">
        <v>2</v>
      </c>
      <c r="IC22" s="22">
        <f t="shared" ref="IC22:IC33" si="153">$IV$23*IB22</f>
        <v>2</v>
      </c>
      <c r="ID22" s="22">
        <f t="shared" ref="ID22:ID33" si="154">HY22+IA22+IC22</f>
        <v>6.625</v>
      </c>
      <c r="IE22" s="23">
        <f t="shared" ref="IE22:IE33" si="155">HV$20-HY22-IA22-IC22</f>
        <v>107.375</v>
      </c>
      <c r="IF22" s="20">
        <f t="shared" ref="IF22:IF33" si="156">($IR22+(($IQ22-1)*$IS22)+$IT22)*IO22/144</f>
        <v>2.467480902777778</v>
      </c>
      <c r="IG22" s="21" t="str">
        <f t="shared" ref="IG22:IG33" si="157">"("&amp;FIXED(IF22*0.092903,2)&amp;")"</f>
        <v>(0.23)</v>
      </c>
      <c r="IH22" s="22">
        <v>2</v>
      </c>
      <c r="II22" s="22">
        <f t="shared" ref="II22:II33" si="158">$IU$23*IH22</f>
        <v>3.5</v>
      </c>
      <c r="IJ22" s="22">
        <v>1</v>
      </c>
      <c r="IK22" s="22">
        <f t="shared" ref="IK22:IK33" si="159">$IW$23*IJ22</f>
        <v>1.125</v>
      </c>
      <c r="IL22" s="22">
        <v>2</v>
      </c>
      <c r="IM22" s="22">
        <f t="shared" ref="IM22:IM33" si="160">$IV$23*IL22</f>
        <v>2</v>
      </c>
      <c r="IN22" s="22">
        <f t="shared" ref="IN22:IN33" si="161">II22+IK22+IM22</f>
        <v>6.625</v>
      </c>
      <c r="IO22" s="23">
        <f t="shared" ref="IO22:IO33" si="162">IF$20-II22-IK22-IM22</f>
        <v>113.375</v>
      </c>
      <c r="IP22" s="15"/>
      <c r="IQ22" s="25">
        <v>1</v>
      </c>
      <c r="IR22" s="26">
        <v>2.645</v>
      </c>
      <c r="IS22" s="26">
        <v>2.645</v>
      </c>
      <c r="IT22" s="26">
        <v>0.48899999999999999</v>
      </c>
      <c r="IU22" s="26">
        <v>1.75</v>
      </c>
      <c r="IV22" s="26">
        <v>1</v>
      </c>
      <c r="IW22" s="26">
        <v>1.125</v>
      </c>
      <c r="IX22" s="8"/>
    </row>
    <row r="23" spans="2:258" ht="15.75" thickBot="1" x14ac:dyDescent="0.3">
      <c r="B23" s="103">
        <f t="shared" si="21"/>
        <v>30</v>
      </c>
      <c r="C23" s="221">
        <v>6</v>
      </c>
      <c r="D23" s="98">
        <f t="shared" si="1"/>
        <v>0.34124444444444441</v>
      </c>
      <c r="E23" s="96">
        <f t="shared" si="2"/>
        <v>0.39553333333333335</v>
      </c>
      <c r="F23" s="96">
        <f t="shared" si="3"/>
        <v>0.44982222222222223</v>
      </c>
      <c r="G23" s="96">
        <f t="shared" si="4"/>
        <v>0.47696666666666665</v>
      </c>
      <c r="H23" s="96">
        <f t="shared" si="5"/>
        <v>0.49325333333333332</v>
      </c>
      <c r="I23" s="96">
        <f t="shared" si="6"/>
        <v>0.50411111111111107</v>
      </c>
      <c r="J23" s="96">
        <f t="shared" si="7"/>
        <v>0.51186666666666669</v>
      </c>
      <c r="K23" s="96">
        <f t="shared" si="8"/>
        <v>0.51768333333333327</v>
      </c>
      <c r="L23" s="96">
        <f t="shared" si="9"/>
        <v>0.51186666666666669</v>
      </c>
      <c r="M23" s="96">
        <f t="shared" si="10"/>
        <v>0.51651999999999998</v>
      </c>
      <c r="N23" s="96">
        <f t="shared" si="11"/>
        <v>0.52032727272727264</v>
      </c>
      <c r="O23" s="96">
        <f t="shared" si="12"/>
        <v>0.5225305555555555</v>
      </c>
      <c r="P23" s="96">
        <f t="shared" si="13"/>
        <v>0.52528974358974356</v>
      </c>
      <c r="Q23" s="96">
        <f t="shared" si="14"/>
        <v>0.52765476190476179</v>
      </c>
      <c r="R23" s="96">
        <f t="shared" si="15"/>
        <v>0.52970444444444453</v>
      </c>
      <c r="S23" s="96">
        <f t="shared" si="16"/>
        <v>0.53149791666666668</v>
      </c>
      <c r="T23" s="96">
        <f t="shared" si="17"/>
        <v>0.53308039215686276</v>
      </c>
      <c r="U23" s="96">
        <f t="shared" si="18"/>
        <v>0.52414629629629628</v>
      </c>
      <c r="V23" s="96">
        <f t="shared" si="19"/>
        <v>0.52594912280701744</v>
      </c>
      <c r="W23" s="96">
        <f t="shared" si="20"/>
        <v>0.52757166666666666</v>
      </c>
      <c r="X23" s="96"/>
      <c r="Y23" s="65"/>
      <c r="AA23" s="83"/>
      <c r="AT23" s="4"/>
      <c r="AU23" s="14">
        <v>12</v>
      </c>
      <c r="AV23" s="12" t="str">
        <f t="shared" si="22"/>
        <v>(300)</v>
      </c>
      <c r="AW23" s="19"/>
      <c r="AX23" s="20">
        <f t="shared" si="23"/>
        <v>0.18092708333333332</v>
      </c>
      <c r="AY23" s="21" t="str">
        <f t="shared" si="24"/>
        <v>(0.02)</v>
      </c>
      <c r="AZ23" s="22">
        <v>2</v>
      </c>
      <c r="BA23" s="22">
        <f t="shared" si="25"/>
        <v>3.5</v>
      </c>
      <c r="BB23" s="22">
        <v>0</v>
      </c>
      <c r="BC23" s="22">
        <f t="shared" si="26"/>
        <v>0</v>
      </c>
      <c r="BD23" s="22">
        <v>0</v>
      </c>
      <c r="BE23" s="22">
        <f t="shared" si="27"/>
        <v>0</v>
      </c>
      <c r="BF23" s="22">
        <f t="shared" si="28"/>
        <v>3.5</v>
      </c>
      <c r="BG23" s="23">
        <f t="shared" si="29"/>
        <v>5.5</v>
      </c>
      <c r="BH23" s="373">
        <f t="shared" si="30"/>
        <v>0.27961458333333333</v>
      </c>
      <c r="BI23" s="374" t="str">
        <f t="shared" si="31"/>
        <v>(0.03)</v>
      </c>
      <c r="BJ23" s="375">
        <v>2</v>
      </c>
      <c r="BK23" s="375">
        <f t="shared" si="32"/>
        <v>3.5</v>
      </c>
      <c r="BL23" s="375">
        <v>0</v>
      </c>
      <c r="BM23" s="375">
        <f t="shared" si="33"/>
        <v>0</v>
      </c>
      <c r="BN23" s="375">
        <v>0</v>
      </c>
      <c r="BO23" s="375">
        <f t="shared" si="34"/>
        <v>0</v>
      </c>
      <c r="BP23" s="375">
        <f t="shared" si="35"/>
        <v>3.5</v>
      </c>
      <c r="BQ23" s="376">
        <f t="shared" si="36"/>
        <v>8.5</v>
      </c>
      <c r="BR23" s="373">
        <f t="shared" si="37"/>
        <v>0.4769895833333333</v>
      </c>
      <c r="BS23" s="374" t="str">
        <f t="shared" si="38"/>
        <v>(0.04)</v>
      </c>
      <c r="BT23" s="375">
        <v>2</v>
      </c>
      <c r="BU23" s="375">
        <f t="shared" si="39"/>
        <v>3.5</v>
      </c>
      <c r="BV23" s="375">
        <v>0</v>
      </c>
      <c r="BW23" s="375">
        <f t="shared" si="40"/>
        <v>0</v>
      </c>
      <c r="BX23" s="375">
        <v>0</v>
      </c>
      <c r="BY23" s="375">
        <f t="shared" si="41"/>
        <v>0</v>
      </c>
      <c r="BZ23" s="375">
        <f t="shared" si="42"/>
        <v>3.5</v>
      </c>
      <c r="CA23" s="376">
        <f t="shared" si="43"/>
        <v>14.5</v>
      </c>
      <c r="CB23" s="373">
        <f t="shared" si="44"/>
        <v>0.67436458333333338</v>
      </c>
      <c r="CC23" s="374" t="str">
        <f t="shared" si="45"/>
        <v>(0.06)</v>
      </c>
      <c r="CD23" s="375">
        <v>2</v>
      </c>
      <c r="CE23" s="375">
        <f t="shared" si="46"/>
        <v>3.5</v>
      </c>
      <c r="CF23" s="375">
        <v>0</v>
      </c>
      <c r="CG23" s="375">
        <f t="shared" si="47"/>
        <v>0</v>
      </c>
      <c r="CH23" s="375">
        <v>0</v>
      </c>
      <c r="CI23" s="375">
        <f t="shared" si="48"/>
        <v>0</v>
      </c>
      <c r="CJ23" s="375">
        <f t="shared" si="49"/>
        <v>3.5</v>
      </c>
      <c r="CK23" s="376">
        <f t="shared" si="50"/>
        <v>20.5</v>
      </c>
      <c r="CL23" s="373">
        <f t="shared" si="51"/>
        <v>0.87173958333333335</v>
      </c>
      <c r="CM23" s="374" t="str">
        <f t="shared" si="52"/>
        <v>(0.08)</v>
      </c>
      <c r="CN23" s="375">
        <v>2</v>
      </c>
      <c r="CO23" s="375">
        <f t="shared" si="53"/>
        <v>3.5</v>
      </c>
      <c r="CP23" s="375">
        <v>0</v>
      </c>
      <c r="CQ23" s="375">
        <f t="shared" si="54"/>
        <v>0</v>
      </c>
      <c r="CR23" s="375">
        <v>0</v>
      </c>
      <c r="CS23" s="375">
        <f t="shared" si="55"/>
        <v>0</v>
      </c>
      <c r="CT23" s="375">
        <f t="shared" si="56"/>
        <v>3.5</v>
      </c>
      <c r="CU23" s="376">
        <f t="shared" si="57"/>
        <v>26.5</v>
      </c>
      <c r="CV23" s="373">
        <f t="shared" si="58"/>
        <v>1.0691145833333335</v>
      </c>
      <c r="CW23" s="374" t="str">
        <f t="shared" si="59"/>
        <v>(0.1)</v>
      </c>
      <c r="CX23" s="375">
        <v>2</v>
      </c>
      <c r="CY23" s="375">
        <f t="shared" si="60"/>
        <v>3.5</v>
      </c>
      <c r="CZ23" s="375">
        <v>0</v>
      </c>
      <c r="DA23" s="375">
        <f t="shared" si="61"/>
        <v>0</v>
      </c>
      <c r="DB23" s="375">
        <v>0</v>
      </c>
      <c r="DC23" s="375">
        <f t="shared" si="62"/>
        <v>0</v>
      </c>
      <c r="DD23" s="375">
        <f t="shared" si="63"/>
        <v>3.5</v>
      </c>
      <c r="DE23" s="376">
        <f t="shared" si="64"/>
        <v>32.5</v>
      </c>
      <c r="DF23" s="373">
        <f t="shared" si="65"/>
        <v>1.2664895833333334</v>
      </c>
      <c r="DG23" s="374" t="str">
        <f t="shared" si="66"/>
        <v>(0.12)</v>
      </c>
      <c r="DH23" s="375">
        <v>2</v>
      </c>
      <c r="DI23" s="375">
        <f t="shared" si="67"/>
        <v>3.5</v>
      </c>
      <c r="DJ23" s="375">
        <v>0</v>
      </c>
      <c r="DK23" s="375">
        <f t="shared" si="68"/>
        <v>0</v>
      </c>
      <c r="DL23" s="375">
        <v>0</v>
      </c>
      <c r="DM23" s="375">
        <f t="shared" si="69"/>
        <v>0</v>
      </c>
      <c r="DN23" s="375">
        <f t="shared" si="70"/>
        <v>3.5</v>
      </c>
      <c r="DO23" s="376">
        <f t="shared" si="71"/>
        <v>38.5</v>
      </c>
      <c r="DP23" s="373">
        <f t="shared" si="72"/>
        <v>1.4638645833333335</v>
      </c>
      <c r="DQ23" s="374" t="str">
        <f t="shared" si="73"/>
        <v>(0.14)</v>
      </c>
      <c r="DR23" s="375">
        <v>2</v>
      </c>
      <c r="DS23" s="375">
        <f t="shared" si="74"/>
        <v>3.5</v>
      </c>
      <c r="DT23" s="375">
        <v>0</v>
      </c>
      <c r="DU23" s="375">
        <f t="shared" si="75"/>
        <v>0</v>
      </c>
      <c r="DV23" s="375">
        <v>0</v>
      </c>
      <c r="DW23" s="375">
        <f t="shared" si="76"/>
        <v>0</v>
      </c>
      <c r="DX23" s="375">
        <f t="shared" si="77"/>
        <v>3.5</v>
      </c>
      <c r="DY23" s="376">
        <f t="shared" si="78"/>
        <v>44.5</v>
      </c>
      <c r="DZ23" s="373">
        <f t="shared" si="79"/>
        <v>1.62834375</v>
      </c>
      <c r="EA23" s="374" t="str">
        <f t="shared" si="80"/>
        <v>(0.15)</v>
      </c>
      <c r="EB23" s="375">
        <v>2</v>
      </c>
      <c r="EC23" s="375">
        <f t="shared" si="81"/>
        <v>3.5</v>
      </c>
      <c r="ED23" s="375">
        <v>0</v>
      </c>
      <c r="EE23" s="375">
        <f t="shared" si="82"/>
        <v>0</v>
      </c>
      <c r="EF23" s="375">
        <v>1</v>
      </c>
      <c r="EG23" s="375">
        <f t="shared" si="83"/>
        <v>1</v>
      </c>
      <c r="EH23" s="375">
        <f t="shared" si="84"/>
        <v>4.5</v>
      </c>
      <c r="EI23" s="376">
        <f t="shared" si="85"/>
        <v>49.5</v>
      </c>
      <c r="EJ23" s="373">
        <f t="shared" si="86"/>
        <v>1.8257187500000001</v>
      </c>
      <c r="EK23" s="374" t="str">
        <f t="shared" si="87"/>
        <v>(0.17)</v>
      </c>
      <c r="EL23" s="375">
        <v>2</v>
      </c>
      <c r="EM23" s="375">
        <f t="shared" si="88"/>
        <v>3.5</v>
      </c>
      <c r="EN23" s="375">
        <v>0</v>
      </c>
      <c r="EO23" s="375">
        <f t="shared" si="89"/>
        <v>0</v>
      </c>
      <c r="EP23" s="375">
        <v>1</v>
      </c>
      <c r="EQ23" s="375">
        <f t="shared" si="90"/>
        <v>1</v>
      </c>
      <c r="ER23" s="375">
        <f t="shared" si="91"/>
        <v>4.5</v>
      </c>
      <c r="ES23" s="376">
        <f t="shared" si="92"/>
        <v>55.5</v>
      </c>
      <c r="ET23" s="373">
        <f t="shared" si="93"/>
        <v>2.0230937500000001</v>
      </c>
      <c r="EU23" s="374" t="str">
        <f t="shared" si="94"/>
        <v>(0.19)</v>
      </c>
      <c r="EV23" s="375">
        <v>2</v>
      </c>
      <c r="EW23" s="375">
        <f t="shared" si="95"/>
        <v>3.5</v>
      </c>
      <c r="EX23" s="375">
        <v>0</v>
      </c>
      <c r="EY23" s="375">
        <f t="shared" si="96"/>
        <v>0</v>
      </c>
      <c r="EZ23" s="375">
        <v>1</v>
      </c>
      <c r="FA23" s="375">
        <f t="shared" si="97"/>
        <v>1</v>
      </c>
      <c r="FB23" s="375">
        <f t="shared" si="98"/>
        <v>4.5</v>
      </c>
      <c r="FC23" s="376">
        <f t="shared" si="99"/>
        <v>61.5</v>
      </c>
      <c r="FD23" s="373">
        <f t="shared" si="100"/>
        <v>2.2163567708333334</v>
      </c>
      <c r="FE23" s="374" t="str">
        <f t="shared" si="101"/>
        <v>(0.21)</v>
      </c>
      <c r="FF23" s="375">
        <v>2</v>
      </c>
      <c r="FG23" s="375">
        <f t="shared" si="102"/>
        <v>3.5</v>
      </c>
      <c r="FH23" s="375">
        <v>1</v>
      </c>
      <c r="FI23" s="375">
        <f t="shared" si="103"/>
        <v>1.125</v>
      </c>
      <c r="FJ23" s="375">
        <v>0</v>
      </c>
      <c r="FK23" s="375">
        <f t="shared" si="104"/>
        <v>0</v>
      </c>
      <c r="FL23" s="375">
        <f t="shared" si="105"/>
        <v>4.625</v>
      </c>
      <c r="FM23" s="376">
        <f t="shared" si="106"/>
        <v>67.375</v>
      </c>
      <c r="FN23" s="373">
        <f t="shared" si="107"/>
        <v>2.4137317708333335</v>
      </c>
      <c r="FO23" s="374" t="str">
        <f t="shared" si="108"/>
        <v>(0.22)</v>
      </c>
      <c r="FP23" s="375">
        <v>2</v>
      </c>
      <c r="FQ23" s="375">
        <f t="shared" si="109"/>
        <v>3.5</v>
      </c>
      <c r="FR23" s="375">
        <v>1</v>
      </c>
      <c r="FS23" s="375">
        <f t="shared" si="110"/>
        <v>1.125</v>
      </c>
      <c r="FT23" s="375">
        <v>0</v>
      </c>
      <c r="FU23" s="375">
        <f t="shared" si="111"/>
        <v>0</v>
      </c>
      <c r="FV23" s="375">
        <f t="shared" si="112"/>
        <v>4.625</v>
      </c>
      <c r="FW23" s="376">
        <f t="shared" si="113"/>
        <v>73.375</v>
      </c>
      <c r="FX23" s="373">
        <f t="shared" si="114"/>
        <v>2.6111067708333331</v>
      </c>
      <c r="FY23" s="374" t="str">
        <f t="shared" si="115"/>
        <v>(0.24)</v>
      </c>
      <c r="FZ23" s="375">
        <v>2</v>
      </c>
      <c r="GA23" s="375">
        <f t="shared" si="116"/>
        <v>3.5</v>
      </c>
      <c r="GB23" s="375">
        <v>1</v>
      </c>
      <c r="GC23" s="375">
        <f t="shared" si="117"/>
        <v>1.125</v>
      </c>
      <c r="GD23" s="375">
        <v>0</v>
      </c>
      <c r="GE23" s="375">
        <f t="shared" si="118"/>
        <v>0</v>
      </c>
      <c r="GF23" s="375">
        <f t="shared" si="119"/>
        <v>4.625</v>
      </c>
      <c r="GG23" s="376">
        <f t="shared" si="120"/>
        <v>79.375</v>
      </c>
      <c r="GH23" s="373">
        <f t="shared" si="121"/>
        <v>2.8084817708333336</v>
      </c>
      <c r="GI23" s="374" t="str">
        <f t="shared" si="122"/>
        <v>(0.26)</v>
      </c>
      <c r="GJ23" s="375">
        <v>2</v>
      </c>
      <c r="GK23" s="375">
        <f t="shared" si="123"/>
        <v>3.5</v>
      </c>
      <c r="GL23" s="375">
        <v>1</v>
      </c>
      <c r="GM23" s="375">
        <f t="shared" si="124"/>
        <v>1.125</v>
      </c>
      <c r="GN23" s="375">
        <v>0</v>
      </c>
      <c r="GO23" s="375">
        <f t="shared" si="125"/>
        <v>0</v>
      </c>
      <c r="GP23" s="375">
        <f t="shared" si="126"/>
        <v>4.625</v>
      </c>
      <c r="GQ23" s="376">
        <f t="shared" si="127"/>
        <v>85.375</v>
      </c>
      <c r="GR23" s="373">
        <f t="shared" si="128"/>
        <v>3.0058567708333337</v>
      </c>
      <c r="GS23" s="374" t="str">
        <f t="shared" si="129"/>
        <v>(0.28)</v>
      </c>
      <c r="GT23" s="375">
        <v>2</v>
      </c>
      <c r="GU23" s="375">
        <f t="shared" si="130"/>
        <v>3.5</v>
      </c>
      <c r="GV23" s="375">
        <v>1</v>
      </c>
      <c r="GW23" s="375">
        <f t="shared" si="131"/>
        <v>1.125</v>
      </c>
      <c r="GX23" s="375">
        <v>0</v>
      </c>
      <c r="GY23" s="375">
        <f t="shared" si="132"/>
        <v>0</v>
      </c>
      <c r="GZ23" s="375">
        <f t="shared" si="133"/>
        <v>4.625</v>
      </c>
      <c r="HA23" s="376">
        <f t="shared" si="134"/>
        <v>91.375</v>
      </c>
      <c r="HB23" s="373">
        <f t="shared" si="135"/>
        <v>3.2032317708333333</v>
      </c>
      <c r="HC23" s="374" t="str">
        <f t="shared" si="136"/>
        <v>(0.30)</v>
      </c>
      <c r="HD23" s="375">
        <v>2</v>
      </c>
      <c r="HE23" s="375">
        <f t="shared" si="137"/>
        <v>3.5</v>
      </c>
      <c r="HF23" s="375">
        <v>1</v>
      </c>
      <c r="HG23" s="375">
        <f t="shared" si="138"/>
        <v>1.125</v>
      </c>
      <c r="HH23" s="375">
        <v>0</v>
      </c>
      <c r="HI23" s="375">
        <f t="shared" si="139"/>
        <v>0</v>
      </c>
      <c r="HJ23" s="375">
        <f t="shared" si="140"/>
        <v>4.625</v>
      </c>
      <c r="HK23" s="376">
        <f t="shared" si="141"/>
        <v>97.375</v>
      </c>
      <c r="HL23" s="373">
        <f t="shared" si="142"/>
        <v>3.3348151041666667</v>
      </c>
      <c r="HM23" s="374" t="str">
        <f t="shared" si="143"/>
        <v>(0.31)</v>
      </c>
      <c r="HN23" s="375">
        <v>2</v>
      </c>
      <c r="HO23" s="375">
        <f t="shared" si="144"/>
        <v>3.5</v>
      </c>
      <c r="HP23" s="375">
        <v>1</v>
      </c>
      <c r="HQ23" s="375">
        <f t="shared" si="145"/>
        <v>1.125</v>
      </c>
      <c r="HR23" s="375">
        <v>2</v>
      </c>
      <c r="HS23" s="375">
        <f t="shared" si="146"/>
        <v>2</v>
      </c>
      <c r="HT23" s="375">
        <f t="shared" si="147"/>
        <v>6.625</v>
      </c>
      <c r="HU23" s="376">
        <f t="shared" si="148"/>
        <v>101.375</v>
      </c>
      <c r="HV23" s="373">
        <f t="shared" si="149"/>
        <v>3.5321901041666668</v>
      </c>
      <c r="HW23" s="374" t="str">
        <f t="shared" si="150"/>
        <v>(0.33)</v>
      </c>
      <c r="HX23" s="375">
        <v>2</v>
      </c>
      <c r="HY23" s="375">
        <f t="shared" si="151"/>
        <v>3.5</v>
      </c>
      <c r="HZ23" s="375">
        <v>1</v>
      </c>
      <c r="IA23" s="375">
        <f t="shared" si="152"/>
        <v>1.125</v>
      </c>
      <c r="IB23" s="375">
        <v>2</v>
      </c>
      <c r="IC23" s="375">
        <f t="shared" si="153"/>
        <v>2</v>
      </c>
      <c r="ID23" s="375">
        <f t="shared" si="154"/>
        <v>6.625</v>
      </c>
      <c r="IE23" s="376">
        <f t="shared" si="155"/>
        <v>107.375</v>
      </c>
      <c r="IF23" s="373">
        <f t="shared" si="156"/>
        <v>3.7295651041666664</v>
      </c>
      <c r="IG23" s="374" t="str">
        <f t="shared" si="157"/>
        <v>(0.35)</v>
      </c>
      <c r="IH23" s="22">
        <v>2</v>
      </c>
      <c r="II23" s="22">
        <f t="shared" si="158"/>
        <v>3.5</v>
      </c>
      <c r="IJ23" s="22">
        <v>1</v>
      </c>
      <c r="IK23" s="22">
        <f t="shared" si="159"/>
        <v>1.125</v>
      </c>
      <c r="IL23" s="22">
        <v>2</v>
      </c>
      <c r="IM23" s="22">
        <f t="shared" si="160"/>
        <v>2</v>
      </c>
      <c r="IN23" s="22">
        <f t="shared" si="161"/>
        <v>6.625</v>
      </c>
      <c r="IO23" s="23">
        <f t="shared" si="162"/>
        <v>113.375</v>
      </c>
      <c r="IP23" s="24"/>
      <c r="IQ23" s="25">
        <v>1</v>
      </c>
      <c r="IR23" s="26">
        <v>2.645</v>
      </c>
      <c r="IS23" s="26">
        <v>2.645</v>
      </c>
      <c r="IT23" s="26">
        <v>2.0920000000000001</v>
      </c>
      <c r="IU23" s="26">
        <v>1.75</v>
      </c>
      <c r="IV23" s="26">
        <v>1</v>
      </c>
      <c r="IW23" s="26">
        <v>1.125</v>
      </c>
      <c r="IX23" s="8"/>
    </row>
    <row r="24" spans="2:258" ht="15.75" thickBot="1" x14ac:dyDescent="0.3">
      <c r="B24" s="103">
        <f t="shared" si="21"/>
        <v>36</v>
      </c>
      <c r="C24" s="226">
        <v>7</v>
      </c>
      <c r="D24" s="98">
        <f t="shared" si="1"/>
        <v>0.3498101851851852</v>
      </c>
      <c r="E24" s="96">
        <f t="shared" si="2"/>
        <v>0.4054618055555555</v>
      </c>
      <c r="F24" s="96">
        <f t="shared" si="3"/>
        <v>0.46111342592592586</v>
      </c>
      <c r="G24" s="96">
        <f t="shared" si="4"/>
        <v>0.48893923611111106</v>
      </c>
      <c r="H24" s="96">
        <f t="shared" si="5"/>
        <v>0.50563472222222228</v>
      </c>
      <c r="I24" s="96">
        <f t="shared" si="6"/>
        <v>0.51676504629629627</v>
      </c>
      <c r="J24" s="96">
        <f t="shared" si="7"/>
        <v>0.52471527777777782</v>
      </c>
      <c r="K24" s="96">
        <f t="shared" si="8"/>
        <v>0.53067795138888885</v>
      </c>
      <c r="L24" s="96">
        <f t="shared" si="9"/>
        <v>0.52471527777777771</v>
      </c>
      <c r="M24" s="96">
        <f t="shared" si="10"/>
        <v>0.5294854166666666</v>
      </c>
      <c r="N24" s="96">
        <f t="shared" si="11"/>
        <v>0.53338825757575759</v>
      </c>
      <c r="O24" s="96">
        <f t="shared" si="12"/>
        <v>0.53564684606481483</v>
      </c>
      <c r="P24" s="96">
        <f t="shared" si="13"/>
        <v>0.53847529380341874</v>
      </c>
      <c r="Q24" s="96">
        <f t="shared" si="14"/>
        <v>0.54089967757936508</v>
      </c>
      <c r="R24" s="96">
        <f t="shared" si="15"/>
        <v>0.5430008101851852</v>
      </c>
      <c r="S24" s="96">
        <f t="shared" si="16"/>
        <v>0.54483930121527779</v>
      </c>
      <c r="T24" s="96">
        <f t="shared" si="17"/>
        <v>0.54646149918300646</v>
      </c>
      <c r="U24" s="96">
        <f t="shared" si="18"/>
        <v>0.53730314429012338</v>
      </c>
      <c r="V24" s="96">
        <f t="shared" si="19"/>
        <v>0.53915122441520469</v>
      </c>
      <c r="W24" s="96">
        <f t="shared" si="20"/>
        <v>0.5408144965277778</v>
      </c>
      <c r="X24" s="96"/>
      <c r="Y24" s="65"/>
      <c r="AA24" s="83"/>
      <c r="AT24" s="4"/>
      <c r="AU24" s="14">
        <f t="shared" ref="AU24:AU41" si="163">AU23+6</f>
        <v>18</v>
      </c>
      <c r="AV24" s="12" t="str">
        <f t="shared" si="22"/>
        <v>(450)</v>
      </c>
      <c r="AW24" s="19"/>
      <c r="AX24" s="20">
        <f t="shared" si="23"/>
        <v>0.33676041666666667</v>
      </c>
      <c r="AY24" s="21" t="str">
        <f t="shared" si="24"/>
        <v>(0.03)</v>
      </c>
      <c r="AZ24" s="22">
        <v>2</v>
      </c>
      <c r="BA24" s="22">
        <f t="shared" si="25"/>
        <v>3.5</v>
      </c>
      <c r="BB24" s="22">
        <v>0</v>
      </c>
      <c r="BC24" s="22">
        <f t="shared" si="26"/>
        <v>0</v>
      </c>
      <c r="BD24" s="22">
        <v>0</v>
      </c>
      <c r="BE24" s="22">
        <f t="shared" si="27"/>
        <v>0</v>
      </c>
      <c r="BF24" s="22">
        <f t="shared" si="28"/>
        <v>3.5</v>
      </c>
      <c r="BG24" s="23">
        <f t="shared" si="29"/>
        <v>5.5</v>
      </c>
      <c r="BH24" s="373">
        <f t="shared" si="30"/>
        <v>0.52044791666666668</v>
      </c>
      <c r="BI24" s="374" t="str">
        <f t="shared" si="31"/>
        <v>(0.05)</v>
      </c>
      <c r="BJ24" s="375">
        <v>2</v>
      </c>
      <c r="BK24" s="375">
        <f t="shared" si="32"/>
        <v>3.5</v>
      </c>
      <c r="BL24" s="375">
        <v>0</v>
      </c>
      <c r="BM24" s="375">
        <f t="shared" si="33"/>
        <v>0</v>
      </c>
      <c r="BN24" s="375">
        <v>0</v>
      </c>
      <c r="BO24" s="375">
        <f t="shared" si="34"/>
        <v>0</v>
      </c>
      <c r="BP24" s="375">
        <f t="shared" si="35"/>
        <v>3.5</v>
      </c>
      <c r="BQ24" s="376">
        <f t="shared" si="36"/>
        <v>8.5</v>
      </c>
      <c r="BR24" s="373">
        <f t="shared" si="37"/>
        <v>0.88782291666666668</v>
      </c>
      <c r="BS24" s="374" t="str">
        <f t="shared" si="38"/>
        <v>(0.08)</v>
      </c>
      <c r="BT24" s="375">
        <v>2</v>
      </c>
      <c r="BU24" s="375">
        <f t="shared" si="39"/>
        <v>3.5</v>
      </c>
      <c r="BV24" s="375">
        <v>0</v>
      </c>
      <c r="BW24" s="375">
        <f t="shared" si="40"/>
        <v>0</v>
      </c>
      <c r="BX24" s="375">
        <v>0</v>
      </c>
      <c r="BY24" s="375">
        <f t="shared" si="41"/>
        <v>0</v>
      </c>
      <c r="BZ24" s="375">
        <f t="shared" si="42"/>
        <v>3.5</v>
      </c>
      <c r="CA24" s="376">
        <f t="shared" si="43"/>
        <v>14.5</v>
      </c>
      <c r="CB24" s="373">
        <f t="shared" si="44"/>
        <v>1.2551979166666667</v>
      </c>
      <c r="CC24" s="374" t="str">
        <f t="shared" si="45"/>
        <v>(0.12)</v>
      </c>
      <c r="CD24" s="375">
        <v>2</v>
      </c>
      <c r="CE24" s="375">
        <f t="shared" si="46"/>
        <v>3.5</v>
      </c>
      <c r="CF24" s="375">
        <v>0</v>
      </c>
      <c r="CG24" s="375">
        <f t="shared" si="47"/>
        <v>0</v>
      </c>
      <c r="CH24" s="375">
        <v>0</v>
      </c>
      <c r="CI24" s="375">
        <f t="shared" si="48"/>
        <v>0</v>
      </c>
      <c r="CJ24" s="375">
        <f t="shared" si="49"/>
        <v>3.5</v>
      </c>
      <c r="CK24" s="376">
        <f t="shared" si="50"/>
        <v>20.5</v>
      </c>
      <c r="CL24" s="373">
        <f t="shared" si="51"/>
        <v>1.6225729166666667</v>
      </c>
      <c r="CM24" s="374" t="str">
        <f t="shared" si="52"/>
        <v>(0.15)</v>
      </c>
      <c r="CN24" s="375">
        <v>2</v>
      </c>
      <c r="CO24" s="375">
        <f t="shared" si="53"/>
        <v>3.5</v>
      </c>
      <c r="CP24" s="375">
        <v>0</v>
      </c>
      <c r="CQ24" s="375">
        <f t="shared" si="54"/>
        <v>0</v>
      </c>
      <c r="CR24" s="375">
        <v>0</v>
      </c>
      <c r="CS24" s="375">
        <f t="shared" si="55"/>
        <v>0</v>
      </c>
      <c r="CT24" s="375">
        <f t="shared" si="56"/>
        <v>3.5</v>
      </c>
      <c r="CU24" s="376">
        <f t="shared" si="57"/>
        <v>26.5</v>
      </c>
      <c r="CV24" s="373">
        <f t="shared" si="58"/>
        <v>1.9899479166666667</v>
      </c>
      <c r="CW24" s="374" t="str">
        <f t="shared" si="59"/>
        <v>(0.18)</v>
      </c>
      <c r="CX24" s="375">
        <v>2</v>
      </c>
      <c r="CY24" s="375">
        <f t="shared" si="60"/>
        <v>3.5</v>
      </c>
      <c r="CZ24" s="375">
        <v>0</v>
      </c>
      <c r="DA24" s="375">
        <f t="shared" si="61"/>
        <v>0</v>
      </c>
      <c r="DB24" s="375">
        <v>0</v>
      </c>
      <c r="DC24" s="375">
        <f t="shared" si="62"/>
        <v>0</v>
      </c>
      <c r="DD24" s="375">
        <f t="shared" si="63"/>
        <v>3.5</v>
      </c>
      <c r="DE24" s="376">
        <f t="shared" si="64"/>
        <v>32.5</v>
      </c>
      <c r="DF24" s="373">
        <f t="shared" si="65"/>
        <v>2.3573229166666665</v>
      </c>
      <c r="DG24" s="374" t="str">
        <f t="shared" si="66"/>
        <v>(0.22)</v>
      </c>
      <c r="DH24" s="375">
        <v>2</v>
      </c>
      <c r="DI24" s="375">
        <f t="shared" si="67"/>
        <v>3.5</v>
      </c>
      <c r="DJ24" s="375">
        <v>0</v>
      </c>
      <c r="DK24" s="375">
        <f t="shared" si="68"/>
        <v>0</v>
      </c>
      <c r="DL24" s="375">
        <v>0</v>
      </c>
      <c r="DM24" s="375">
        <f t="shared" si="69"/>
        <v>0</v>
      </c>
      <c r="DN24" s="375">
        <f t="shared" si="70"/>
        <v>3.5</v>
      </c>
      <c r="DO24" s="376">
        <f t="shared" si="71"/>
        <v>38.5</v>
      </c>
      <c r="DP24" s="373">
        <f t="shared" si="72"/>
        <v>2.7246979166666665</v>
      </c>
      <c r="DQ24" s="374" t="str">
        <f t="shared" si="73"/>
        <v>(0.25)</v>
      </c>
      <c r="DR24" s="375">
        <v>2</v>
      </c>
      <c r="DS24" s="375">
        <f t="shared" si="74"/>
        <v>3.5</v>
      </c>
      <c r="DT24" s="375">
        <v>0</v>
      </c>
      <c r="DU24" s="375">
        <f t="shared" si="75"/>
        <v>0</v>
      </c>
      <c r="DV24" s="375">
        <v>0</v>
      </c>
      <c r="DW24" s="375">
        <f t="shared" si="76"/>
        <v>0</v>
      </c>
      <c r="DX24" s="375">
        <f t="shared" si="77"/>
        <v>3.5</v>
      </c>
      <c r="DY24" s="376">
        <f t="shared" si="78"/>
        <v>44.5</v>
      </c>
      <c r="DZ24" s="373">
        <f t="shared" si="79"/>
        <v>3.0308437500000003</v>
      </c>
      <c r="EA24" s="374" t="str">
        <f t="shared" si="80"/>
        <v>(0.28)</v>
      </c>
      <c r="EB24" s="375">
        <v>2</v>
      </c>
      <c r="EC24" s="375">
        <f t="shared" si="81"/>
        <v>3.5</v>
      </c>
      <c r="ED24" s="375">
        <v>0</v>
      </c>
      <c r="EE24" s="375">
        <f t="shared" si="82"/>
        <v>0</v>
      </c>
      <c r="EF24" s="375">
        <v>1</v>
      </c>
      <c r="EG24" s="375">
        <f t="shared" si="83"/>
        <v>1</v>
      </c>
      <c r="EH24" s="375">
        <f t="shared" si="84"/>
        <v>4.5</v>
      </c>
      <c r="EI24" s="376">
        <f t="shared" si="85"/>
        <v>49.5</v>
      </c>
      <c r="EJ24" s="373">
        <f t="shared" si="86"/>
        <v>3.3982187499999998</v>
      </c>
      <c r="EK24" s="374" t="str">
        <f t="shared" si="87"/>
        <v>(0.32)</v>
      </c>
      <c r="EL24" s="375">
        <v>2</v>
      </c>
      <c r="EM24" s="375">
        <f t="shared" si="88"/>
        <v>3.5</v>
      </c>
      <c r="EN24" s="375">
        <v>0</v>
      </c>
      <c r="EO24" s="375">
        <f t="shared" si="89"/>
        <v>0</v>
      </c>
      <c r="EP24" s="375">
        <v>1</v>
      </c>
      <c r="EQ24" s="375">
        <f t="shared" si="90"/>
        <v>1</v>
      </c>
      <c r="ER24" s="375">
        <f t="shared" si="91"/>
        <v>4.5</v>
      </c>
      <c r="ES24" s="376">
        <f t="shared" si="92"/>
        <v>55.5</v>
      </c>
      <c r="ET24" s="373">
        <f t="shared" si="93"/>
        <v>3.7655937499999999</v>
      </c>
      <c r="EU24" s="374" t="str">
        <f t="shared" si="94"/>
        <v>(0.35)</v>
      </c>
      <c r="EV24" s="375">
        <v>2</v>
      </c>
      <c r="EW24" s="375">
        <f t="shared" si="95"/>
        <v>3.5</v>
      </c>
      <c r="EX24" s="375">
        <v>0</v>
      </c>
      <c r="EY24" s="375">
        <f t="shared" si="96"/>
        <v>0</v>
      </c>
      <c r="EZ24" s="375">
        <v>1</v>
      </c>
      <c r="FA24" s="375">
        <f t="shared" si="97"/>
        <v>1</v>
      </c>
      <c r="FB24" s="375">
        <f t="shared" si="98"/>
        <v>4.5</v>
      </c>
      <c r="FC24" s="376">
        <f t="shared" si="99"/>
        <v>61.5</v>
      </c>
      <c r="FD24" s="373">
        <f t="shared" si="100"/>
        <v>4.1253151041666669</v>
      </c>
      <c r="FE24" s="374" t="str">
        <f t="shared" si="101"/>
        <v>(0.38)</v>
      </c>
      <c r="FF24" s="375">
        <v>2</v>
      </c>
      <c r="FG24" s="375">
        <f t="shared" si="102"/>
        <v>3.5</v>
      </c>
      <c r="FH24" s="375">
        <v>1</v>
      </c>
      <c r="FI24" s="375">
        <f t="shared" si="103"/>
        <v>1.125</v>
      </c>
      <c r="FJ24" s="375">
        <v>0</v>
      </c>
      <c r="FK24" s="375">
        <f t="shared" si="104"/>
        <v>0</v>
      </c>
      <c r="FL24" s="375">
        <f t="shared" si="105"/>
        <v>4.625</v>
      </c>
      <c r="FM24" s="376">
        <f t="shared" si="106"/>
        <v>67.375</v>
      </c>
      <c r="FN24" s="373">
        <f t="shared" si="107"/>
        <v>4.492690104166666</v>
      </c>
      <c r="FO24" s="374" t="str">
        <f t="shared" si="108"/>
        <v>(0.42)</v>
      </c>
      <c r="FP24" s="375">
        <v>2</v>
      </c>
      <c r="FQ24" s="375">
        <f t="shared" si="109"/>
        <v>3.5</v>
      </c>
      <c r="FR24" s="375">
        <v>1</v>
      </c>
      <c r="FS24" s="375">
        <f t="shared" si="110"/>
        <v>1.125</v>
      </c>
      <c r="FT24" s="375">
        <v>0</v>
      </c>
      <c r="FU24" s="375">
        <f t="shared" si="111"/>
        <v>0</v>
      </c>
      <c r="FV24" s="375">
        <f t="shared" si="112"/>
        <v>4.625</v>
      </c>
      <c r="FW24" s="376">
        <f t="shared" si="113"/>
        <v>73.375</v>
      </c>
      <c r="FX24" s="373">
        <f t="shared" si="114"/>
        <v>4.8600651041666669</v>
      </c>
      <c r="FY24" s="374" t="str">
        <f t="shared" si="115"/>
        <v>(0.45)</v>
      </c>
      <c r="FZ24" s="375">
        <v>2</v>
      </c>
      <c r="GA24" s="375">
        <f t="shared" si="116"/>
        <v>3.5</v>
      </c>
      <c r="GB24" s="375">
        <v>1</v>
      </c>
      <c r="GC24" s="375">
        <f t="shared" si="117"/>
        <v>1.125</v>
      </c>
      <c r="GD24" s="375">
        <v>0</v>
      </c>
      <c r="GE24" s="375">
        <f t="shared" si="118"/>
        <v>0</v>
      </c>
      <c r="GF24" s="375">
        <f t="shared" si="119"/>
        <v>4.625</v>
      </c>
      <c r="GG24" s="376">
        <f t="shared" si="120"/>
        <v>79.375</v>
      </c>
      <c r="GH24" s="373">
        <f t="shared" si="121"/>
        <v>5.2274401041666669</v>
      </c>
      <c r="GI24" s="374" t="str">
        <f t="shared" si="122"/>
        <v>(0.49)</v>
      </c>
      <c r="GJ24" s="375">
        <v>2</v>
      </c>
      <c r="GK24" s="375">
        <f t="shared" si="123"/>
        <v>3.5</v>
      </c>
      <c r="GL24" s="375">
        <v>1</v>
      </c>
      <c r="GM24" s="375">
        <f t="shared" si="124"/>
        <v>1.125</v>
      </c>
      <c r="GN24" s="375">
        <v>0</v>
      </c>
      <c r="GO24" s="375">
        <f t="shared" si="125"/>
        <v>0</v>
      </c>
      <c r="GP24" s="375">
        <f t="shared" si="126"/>
        <v>4.625</v>
      </c>
      <c r="GQ24" s="376">
        <f t="shared" si="127"/>
        <v>85.375</v>
      </c>
      <c r="GR24" s="373">
        <f t="shared" si="128"/>
        <v>5.5948151041666669</v>
      </c>
      <c r="GS24" s="374" t="str">
        <f t="shared" si="129"/>
        <v>(0.52)</v>
      </c>
      <c r="GT24" s="375">
        <v>2</v>
      </c>
      <c r="GU24" s="375">
        <f t="shared" si="130"/>
        <v>3.5</v>
      </c>
      <c r="GV24" s="375">
        <v>1</v>
      </c>
      <c r="GW24" s="375">
        <f t="shared" si="131"/>
        <v>1.125</v>
      </c>
      <c r="GX24" s="375">
        <v>0</v>
      </c>
      <c r="GY24" s="375">
        <f t="shared" si="132"/>
        <v>0</v>
      </c>
      <c r="GZ24" s="375">
        <f t="shared" si="133"/>
        <v>4.625</v>
      </c>
      <c r="HA24" s="376">
        <f t="shared" si="134"/>
        <v>91.375</v>
      </c>
      <c r="HB24" s="373">
        <f t="shared" si="135"/>
        <v>5.9621901041666669</v>
      </c>
      <c r="HC24" s="374" t="str">
        <f t="shared" si="136"/>
        <v>(0.55)</v>
      </c>
      <c r="HD24" s="375">
        <v>2</v>
      </c>
      <c r="HE24" s="375">
        <f t="shared" si="137"/>
        <v>3.5</v>
      </c>
      <c r="HF24" s="375">
        <v>1</v>
      </c>
      <c r="HG24" s="375">
        <f t="shared" si="138"/>
        <v>1.125</v>
      </c>
      <c r="HH24" s="375">
        <v>0</v>
      </c>
      <c r="HI24" s="375">
        <f t="shared" si="139"/>
        <v>0</v>
      </c>
      <c r="HJ24" s="375">
        <f t="shared" si="140"/>
        <v>4.625</v>
      </c>
      <c r="HK24" s="376">
        <f t="shared" si="141"/>
        <v>97.375</v>
      </c>
      <c r="HL24" s="373">
        <f t="shared" si="142"/>
        <v>6.2071067708333336</v>
      </c>
      <c r="HM24" s="374" t="str">
        <f t="shared" si="143"/>
        <v>(0.58)</v>
      </c>
      <c r="HN24" s="375">
        <v>2</v>
      </c>
      <c r="HO24" s="375">
        <f t="shared" si="144"/>
        <v>3.5</v>
      </c>
      <c r="HP24" s="375">
        <v>1</v>
      </c>
      <c r="HQ24" s="375">
        <f t="shared" si="145"/>
        <v>1.125</v>
      </c>
      <c r="HR24" s="375">
        <v>2</v>
      </c>
      <c r="HS24" s="375">
        <f t="shared" si="146"/>
        <v>2</v>
      </c>
      <c r="HT24" s="375">
        <f t="shared" si="147"/>
        <v>6.625</v>
      </c>
      <c r="HU24" s="376">
        <f t="shared" si="148"/>
        <v>101.375</v>
      </c>
      <c r="HV24" s="373">
        <f t="shared" si="149"/>
        <v>6.5744817708333336</v>
      </c>
      <c r="HW24" s="374" t="str">
        <f t="shared" si="150"/>
        <v>(0.61)</v>
      </c>
      <c r="HX24" s="375">
        <v>2</v>
      </c>
      <c r="HY24" s="375">
        <f t="shared" si="151"/>
        <v>3.5</v>
      </c>
      <c r="HZ24" s="375">
        <v>1</v>
      </c>
      <c r="IA24" s="375">
        <f t="shared" si="152"/>
        <v>1.125</v>
      </c>
      <c r="IB24" s="375">
        <v>2</v>
      </c>
      <c r="IC24" s="375">
        <f t="shared" si="153"/>
        <v>2</v>
      </c>
      <c r="ID24" s="375">
        <f t="shared" si="154"/>
        <v>6.625</v>
      </c>
      <c r="IE24" s="376">
        <f t="shared" si="155"/>
        <v>107.375</v>
      </c>
      <c r="IF24" s="373">
        <f t="shared" si="156"/>
        <v>6.9418567708333336</v>
      </c>
      <c r="IG24" s="374" t="str">
        <f t="shared" si="157"/>
        <v>(0.64)</v>
      </c>
      <c r="IH24" s="22">
        <v>2</v>
      </c>
      <c r="II24" s="22">
        <f t="shared" si="158"/>
        <v>3.5</v>
      </c>
      <c r="IJ24" s="22">
        <v>1</v>
      </c>
      <c r="IK24" s="22">
        <f t="shared" si="159"/>
        <v>1.125</v>
      </c>
      <c r="IL24" s="22">
        <v>2</v>
      </c>
      <c r="IM24" s="22">
        <f t="shared" si="160"/>
        <v>2</v>
      </c>
      <c r="IN24" s="22">
        <f t="shared" si="161"/>
        <v>6.625</v>
      </c>
      <c r="IO24" s="23">
        <f t="shared" si="162"/>
        <v>113.375</v>
      </c>
      <c r="IP24" s="24"/>
      <c r="IQ24" s="25">
        <v>3</v>
      </c>
      <c r="IR24" s="26">
        <v>2.645</v>
      </c>
      <c r="IS24" s="26">
        <v>2.645</v>
      </c>
      <c r="IT24" s="26">
        <v>0.88200000000000001</v>
      </c>
      <c r="IU24" s="26">
        <v>1.75</v>
      </c>
      <c r="IV24" s="26">
        <v>1</v>
      </c>
      <c r="IW24" s="26">
        <v>1.125</v>
      </c>
      <c r="IX24" s="8"/>
    </row>
    <row r="25" spans="2:258" ht="15.75" thickBot="1" x14ac:dyDescent="0.3">
      <c r="B25" s="103">
        <f t="shared" si="21"/>
        <v>42</v>
      </c>
      <c r="C25" s="221">
        <v>8</v>
      </c>
      <c r="D25" s="98">
        <f t="shared" si="1"/>
        <v>0.359202380952381</v>
      </c>
      <c r="E25" s="96">
        <f t="shared" si="2"/>
        <v>0.41634821428571428</v>
      </c>
      <c r="F25" s="96">
        <f t="shared" si="3"/>
        <v>0.47349404761904762</v>
      </c>
      <c r="G25" s="96">
        <f t="shared" si="4"/>
        <v>0.50206696428571429</v>
      </c>
      <c r="H25" s="96">
        <f t="shared" si="5"/>
        <v>0.5192107142857143</v>
      </c>
      <c r="I25" s="96">
        <f t="shared" si="6"/>
        <v>0.5306398809523809</v>
      </c>
      <c r="J25" s="96">
        <f t="shared" si="7"/>
        <v>0.53880357142857149</v>
      </c>
      <c r="K25" s="96">
        <f t="shared" si="8"/>
        <v>0.54492633928571432</v>
      </c>
      <c r="L25" s="96">
        <f t="shared" si="9"/>
        <v>0.53880357142857149</v>
      </c>
      <c r="M25" s="96">
        <f t="shared" si="10"/>
        <v>0.54370178571428573</v>
      </c>
      <c r="N25" s="96">
        <f t="shared" si="11"/>
        <v>0.54770941558441555</v>
      </c>
      <c r="O25" s="96">
        <f t="shared" si="12"/>
        <v>0.55002864583333333</v>
      </c>
      <c r="P25" s="96">
        <f t="shared" si="13"/>
        <v>0.55293303571428576</v>
      </c>
      <c r="Q25" s="96">
        <f t="shared" si="14"/>
        <v>0.55542251275510202</v>
      </c>
      <c r="R25" s="96">
        <f t="shared" si="15"/>
        <v>0.55758005952380951</v>
      </c>
      <c r="S25" s="96">
        <f t="shared" si="16"/>
        <v>0.55946791294642861</v>
      </c>
      <c r="T25" s="96">
        <f t="shared" si="17"/>
        <v>0.5611336659663867</v>
      </c>
      <c r="U25" s="96">
        <f t="shared" si="18"/>
        <v>0.55172941468253967</v>
      </c>
      <c r="V25" s="96">
        <f t="shared" si="19"/>
        <v>0.55362711466165415</v>
      </c>
      <c r="W25" s="96">
        <f t="shared" si="20"/>
        <v>0.5553350446428571</v>
      </c>
      <c r="X25" s="96"/>
      <c r="Y25" s="65"/>
      <c r="AA25" s="83"/>
      <c r="AT25" s="4"/>
      <c r="AU25" s="14">
        <f t="shared" si="163"/>
        <v>24</v>
      </c>
      <c r="AV25" s="12" t="str">
        <f t="shared" si="22"/>
        <v>(600)</v>
      </c>
      <c r="AW25" s="19"/>
      <c r="AX25" s="20">
        <f t="shared" si="23"/>
        <v>0.48399999999999999</v>
      </c>
      <c r="AY25" s="21" t="str">
        <f t="shared" si="24"/>
        <v>(0.04)</v>
      </c>
      <c r="AZ25" s="22">
        <v>2</v>
      </c>
      <c r="BA25" s="22">
        <f t="shared" si="25"/>
        <v>3.5</v>
      </c>
      <c r="BB25" s="22">
        <v>0</v>
      </c>
      <c r="BC25" s="22">
        <f t="shared" si="26"/>
        <v>0</v>
      </c>
      <c r="BD25" s="22">
        <v>0</v>
      </c>
      <c r="BE25" s="22">
        <f t="shared" si="27"/>
        <v>0</v>
      </c>
      <c r="BF25" s="22">
        <f t="shared" si="28"/>
        <v>3.5</v>
      </c>
      <c r="BG25" s="23">
        <f t="shared" si="29"/>
        <v>5.5</v>
      </c>
      <c r="BH25" s="373">
        <f>($IR25+(($IQ25-1)*$IS25)+$IT25)*BQ25/144</f>
        <v>0.748</v>
      </c>
      <c r="BI25" s="374" t="str">
        <f t="shared" si="31"/>
        <v>(0.07)</v>
      </c>
      <c r="BJ25" s="375">
        <v>2</v>
      </c>
      <c r="BK25" s="375">
        <f t="shared" si="32"/>
        <v>3.5</v>
      </c>
      <c r="BL25" s="375">
        <v>0</v>
      </c>
      <c r="BM25" s="375">
        <f t="shared" si="33"/>
        <v>0</v>
      </c>
      <c r="BN25" s="375">
        <v>0</v>
      </c>
      <c r="BO25" s="375">
        <f t="shared" si="34"/>
        <v>0</v>
      </c>
      <c r="BP25" s="375">
        <f t="shared" si="35"/>
        <v>3.5</v>
      </c>
      <c r="BQ25" s="376">
        <f t="shared" si="36"/>
        <v>8.5</v>
      </c>
      <c r="BR25" s="373">
        <f t="shared" si="37"/>
        <v>1.276</v>
      </c>
      <c r="BS25" s="374" t="str">
        <f t="shared" si="38"/>
        <v>(0.12)</v>
      </c>
      <c r="BT25" s="375">
        <v>2</v>
      </c>
      <c r="BU25" s="375">
        <f t="shared" si="39"/>
        <v>3.5</v>
      </c>
      <c r="BV25" s="375">
        <v>0</v>
      </c>
      <c r="BW25" s="375">
        <f t="shared" si="40"/>
        <v>0</v>
      </c>
      <c r="BX25" s="375">
        <v>0</v>
      </c>
      <c r="BY25" s="375">
        <f t="shared" si="41"/>
        <v>0</v>
      </c>
      <c r="BZ25" s="375">
        <f t="shared" si="42"/>
        <v>3.5</v>
      </c>
      <c r="CA25" s="376">
        <f t="shared" si="43"/>
        <v>14.5</v>
      </c>
      <c r="CB25" s="373">
        <f t="shared" si="44"/>
        <v>1.804</v>
      </c>
      <c r="CC25" s="374" t="str">
        <f t="shared" si="45"/>
        <v>(0.17)</v>
      </c>
      <c r="CD25" s="375">
        <v>2</v>
      </c>
      <c r="CE25" s="375">
        <f t="shared" si="46"/>
        <v>3.5</v>
      </c>
      <c r="CF25" s="375">
        <v>0</v>
      </c>
      <c r="CG25" s="375">
        <f t="shared" si="47"/>
        <v>0</v>
      </c>
      <c r="CH25" s="375">
        <v>0</v>
      </c>
      <c r="CI25" s="375">
        <f t="shared" si="48"/>
        <v>0</v>
      </c>
      <c r="CJ25" s="375">
        <f t="shared" si="49"/>
        <v>3.5</v>
      </c>
      <c r="CK25" s="376">
        <f t="shared" si="50"/>
        <v>20.5</v>
      </c>
      <c r="CL25" s="373">
        <f t="shared" si="51"/>
        <v>2.3319999999999999</v>
      </c>
      <c r="CM25" s="374" t="str">
        <f t="shared" si="52"/>
        <v>(0.22)</v>
      </c>
      <c r="CN25" s="375">
        <v>2</v>
      </c>
      <c r="CO25" s="375">
        <f t="shared" si="53"/>
        <v>3.5</v>
      </c>
      <c r="CP25" s="375">
        <v>0</v>
      </c>
      <c r="CQ25" s="375">
        <f t="shared" si="54"/>
        <v>0</v>
      </c>
      <c r="CR25" s="375">
        <v>0</v>
      </c>
      <c r="CS25" s="375">
        <f t="shared" si="55"/>
        <v>0</v>
      </c>
      <c r="CT25" s="375">
        <f t="shared" si="56"/>
        <v>3.5</v>
      </c>
      <c r="CU25" s="376">
        <f t="shared" si="57"/>
        <v>26.5</v>
      </c>
      <c r="CV25" s="373">
        <f t="shared" si="58"/>
        <v>2.8600000000000003</v>
      </c>
      <c r="CW25" s="374" t="str">
        <f t="shared" si="59"/>
        <v>(0.27)</v>
      </c>
      <c r="CX25" s="375">
        <v>2</v>
      </c>
      <c r="CY25" s="375">
        <f t="shared" si="60"/>
        <v>3.5</v>
      </c>
      <c r="CZ25" s="375">
        <v>0</v>
      </c>
      <c r="DA25" s="375">
        <f t="shared" si="61"/>
        <v>0</v>
      </c>
      <c r="DB25" s="375">
        <v>0</v>
      </c>
      <c r="DC25" s="375">
        <f t="shared" si="62"/>
        <v>0</v>
      </c>
      <c r="DD25" s="375">
        <f t="shared" si="63"/>
        <v>3.5</v>
      </c>
      <c r="DE25" s="376">
        <f t="shared" si="64"/>
        <v>32.5</v>
      </c>
      <c r="DF25" s="373">
        <f t="shared" si="65"/>
        <v>3.3879999999999999</v>
      </c>
      <c r="DG25" s="374" t="str">
        <f t="shared" si="66"/>
        <v>(0.31)</v>
      </c>
      <c r="DH25" s="375">
        <v>2</v>
      </c>
      <c r="DI25" s="375">
        <f t="shared" si="67"/>
        <v>3.5</v>
      </c>
      <c r="DJ25" s="375">
        <v>0</v>
      </c>
      <c r="DK25" s="375">
        <f t="shared" si="68"/>
        <v>0</v>
      </c>
      <c r="DL25" s="375">
        <v>0</v>
      </c>
      <c r="DM25" s="375">
        <f t="shared" si="69"/>
        <v>0</v>
      </c>
      <c r="DN25" s="375">
        <f t="shared" si="70"/>
        <v>3.5</v>
      </c>
      <c r="DO25" s="376">
        <f t="shared" si="71"/>
        <v>38.5</v>
      </c>
      <c r="DP25" s="373">
        <f t="shared" si="72"/>
        <v>3.9159999999999999</v>
      </c>
      <c r="DQ25" s="374" t="str">
        <f t="shared" si="73"/>
        <v>(0.36)</v>
      </c>
      <c r="DR25" s="375">
        <v>2</v>
      </c>
      <c r="DS25" s="375">
        <f t="shared" si="74"/>
        <v>3.5</v>
      </c>
      <c r="DT25" s="375">
        <v>0</v>
      </c>
      <c r="DU25" s="375">
        <f t="shared" si="75"/>
        <v>0</v>
      </c>
      <c r="DV25" s="375">
        <v>0</v>
      </c>
      <c r="DW25" s="375">
        <f t="shared" si="76"/>
        <v>0</v>
      </c>
      <c r="DX25" s="375">
        <f t="shared" si="77"/>
        <v>3.5</v>
      </c>
      <c r="DY25" s="376">
        <f t="shared" si="78"/>
        <v>44.5</v>
      </c>
      <c r="DZ25" s="373">
        <f t="shared" si="79"/>
        <v>4.3559999999999999</v>
      </c>
      <c r="EA25" s="374" t="str">
        <f t="shared" si="80"/>
        <v>(0.40)</v>
      </c>
      <c r="EB25" s="375">
        <v>2</v>
      </c>
      <c r="EC25" s="375">
        <f t="shared" si="81"/>
        <v>3.5</v>
      </c>
      <c r="ED25" s="375">
        <v>0</v>
      </c>
      <c r="EE25" s="375">
        <f t="shared" si="82"/>
        <v>0</v>
      </c>
      <c r="EF25" s="375">
        <v>1</v>
      </c>
      <c r="EG25" s="375">
        <f t="shared" si="83"/>
        <v>1</v>
      </c>
      <c r="EH25" s="375">
        <f t="shared" si="84"/>
        <v>4.5</v>
      </c>
      <c r="EI25" s="376">
        <f t="shared" si="85"/>
        <v>49.5</v>
      </c>
      <c r="EJ25" s="373">
        <f t="shared" si="86"/>
        <v>4.8840000000000003</v>
      </c>
      <c r="EK25" s="374" t="str">
        <f t="shared" si="87"/>
        <v>(0.45)</v>
      </c>
      <c r="EL25" s="375">
        <v>2</v>
      </c>
      <c r="EM25" s="375">
        <f t="shared" si="88"/>
        <v>3.5</v>
      </c>
      <c r="EN25" s="375">
        <v>0</v>
      </c>
      <c r="EO25" s="375">
        <f t="shared" si="89"/>
        <v>0</v>
      </c>
      <c r="EP25" s="375">
        <v>1</v>
      </c>
      <c r="EQ25" s="375">
        <f t="shared" si="90"/>
        <v>1</v>
      </c>
      <c r="ER25" s="375">
        <f t="shared" si="91"/>
        <v>4.5</v>
      </c>
      <c r="ES25" s="376">
        <f t="shared" si="92"/>
        <v>55.5</v>
      </c>
      <c r="ET25" s="373">
        <f t="shared" si="93"/>
        <v>5.4120000000000008</v>
      </c>
      <c r="EU25" s="374" t="str">
        <f t="shared" si="94"/>
        <v>(0.50)</v>
      </c>
      <c r="EV25" s="375">
        <v>2</v>
      </c>
      <c r="EW25" s="375">
        <f t="shared" si="95"/>
        <v>3.5</v>
      </c>
      <c r="EX25" s="375">
        <v>0</v>
      </c>
      <c r="EY25" s="375">
        <f t="shared" si="96"/>
        <v>0</v>
      </c>
      <c r="EZ25" s="375">
        <v>1</v>
      </c>
      <c r="FA25" s="375">
        <f t="shared" si="97"/>
        <v>1</v>
      </c>
      <c r="FB25" s="375">
        <f t="shared" si="98"/>
        <v>4.5</v>
      </c>
      <c r="FC25" s="376">
        <f t="shared" si="99"/>
        <v>61.5</v>
      </c>
      <c r="FD25" s="373">
        <f t="shared" si="100"/>
        <v>5.9290000000000003</v>
      </c>
      <c r="FE25" s="374" t="str">
        <f t="shared" si="101"/>
        <v>(0.55)</v>
      </c>
      <c r="FF25" s="375">
        <v>2</v>
      </c>
      <c r="FG25" s="375">
        <f t="shared" si="102"/>
        <v>3.5</v>
      </c>
      <c r="FH25" s="375">
        <v>1</v>
      </c>
      <c r="FI25" s="375">
        <f t="shared" si="103"/>
        <v>1.125</v>
      </c>
      <c r="FJ25" s="375">
        <v>0</v>
      </c>
      <c r="FK25" s="375">
        <f t="shared" si="104"/>
        <v>0</v>
      </c>
      <c r="FL25" s="375">
        <f t="shared" si="105"/>
        <v>4.625</v>
      </c>
      <c r="FM25" s="376">
        <f t="shared" si="106"/>
        <v>67.375</v>
      </c>
      <c r="FN25" s="373">
        <f t="shared" si="107"/>
        <v>6.4569999999999999</v>
      </c>
      <c r="FO25" s="374" t="str">
        <f t="shared" si="108"/>
        <v>(0.60)</v>
      </c>
      <c r="FP25" s="375">
        <v>2</v>
      </c>
      <c r="FQ25" s="375">
        <f t="shared" si="109"/>
        <v>3.5</v>
      </c>
      <c r="FR25" s="375">
        <v>1</v>
      </c>
      <c r="FS25" s="375">
        <f t="shared" si="110"/>
        <v>1.125</v>
      </c>
      <c r="FT25" s="375">
        <v>0</v>
      </c>
      <c r="FU25" s="375">
        <f t="shared" si="111"/>
        <v>0</v>
      </c>
      <c r="FV25" s="375">
        <f t="shared" si="112"/>
        <v>4.625</v>
      </c>
      <c r="FW25" s="376">
        <f t="shared" si="113"/>
        <v>73.375</v>
      </c>
      <c r="FX25" s="373">
        <f t="shared" si="114"/>
        <v>6.9850000000000003</v>
      </c>
      <c r="FY25" s="374" t="str">
        <f t="shared" si="115"/>
        <v>(0.65)</v>
      </c>
      <c r="FZ25" s="375">
        <v>2</v>
      </c>
      <c r="GA25" s="375">
        <f t="shared" si="116"/>
        <v>3.5</v>
      </c>
      <c r="GB25" s="375">
        <v>1</v>
      </c>
      <c r="GC25" s="375">
        <f t="shared" si="117"/>
        <v>1.125</v>
      </c>
      <c r="GD25" s="375">
        <v>0</v>
      </c>
      <c r="GE25" s="375">
        <f t="shared" si="118"/>
        <v>0</v>
      </c>
      <c r="GF25" s="375">
        <f t="shared" si="119"/>
        <v>4.625</v>
      </c>
      <c r="GG25" s="376">
        <f t="shared" si="120"/>
        <v>79.375</v>
      </c>
      <c r="GH25" s="373">
        <f t="shared" si="121"/>
        <v>7.5130000000000008</v>
      </c>
      <c r="GI25" s="374" t="str">
        <f t="shared" si="122"/>
        <v>(0.70)</v>
      </c>
      <c r="GJ25" s="375">
        <v>2</v>
      </c>
      <c r="GK25" s="375">
        <f t="shared" si="123"/>
        <v>3.5</v>
      </c>
      <c r="GL25" s="375">
        <v>1</v>
      </c>
      <c r="GM25" s="375">
        <f t="shared" si="124"/>
        <v>1.125</v>
      </c>
      <c r="GN25" s="375">
        <v>0</v>
      </c>
      <c r="GO25" s="375">
        <f t="shared" si="125"/>
        <v>0</v>
      </c>
      <c r="GP25" s="375">
        <f t="shared" si="126"/>
        <v>4.625</v>
      </c>
      <c r="GQ25" s="376">
        <f t="shared" si="127"/>
        <v>85.375</v>
      </c>
      <c r="GR25" s="373">
        <f t="shared" si="128"/>
        <v>8.0410000000000004</v>
      </c>
      <c r="GS25" s="374" t="str">
        <f t="shared" si="129"/>
        <v>(0.75)</v>
      </c>
      <c r="GT25" s="375">
        <v>2</v>
      </c>
      <c r="GU25" s="375">
        <f t="shared" si="130"/>
        <v>3.5</v>
      </c>
      <c r="GV25" s="375">
        <v>1</v>
      </c>
      <c r="GW25" s="375">
        <f t="shared" si="131"/>
        <v>1.125</v>
      </c>
      <c r="GX25" s="375">
        <v>0</v>
      </c>
      <c r="GY25" s="375">
        <f t="shared" si="132"/>
        <v>0</v>
      </c>
      <c r="GZ25" s="375">
        <f t="shared" si="133"/>
        <v>4.625</v>
      </c>
      <c r="HA25" s="376">
        <f t="shared" si="134"/>
        <v>91.375</v>
      </c>
      <c r="HB25" s="373">
        <f t="shared" si="135"/>
        <v>8.5690000000000008</v>
      </c>
      <c r="HC25" s="374" t="str">
        <f t="shared" si="136"/>
        <v>(0.80)</v>
      </c>
      <c r="HD25" s="375">
        <v>2</v>
      </c>
      <c r="HE25" s="375">
        <f t="shared" si="137"/>
        <v>3.5</v>
      </c>
      <c r="HF25" s="375">
        <v>1</v>
      </c>
      <c r="HG25" s="375">
        <f t="shared" si="138"/>
        <v>1.125</v>
      </c>
      <c r="HH25" s="375">
        <v>0</v>
      </c>
      <c r="HI25" s="375">
        <f t="shared" si="139"/>
        <v>0</v>
      </c>
      <c r="HJ25" s="375">
        <f t="shared" si="140"/>
        <v>4.625</v>
      </c>
      <c r="HK25" s="376">
        <f t="shared" si="141"/>
        <v>97.375</v>
      </c>
      <c r="HL25" s="373">
        <f t="shared" si="142"/>
        <v>8.9209999999999994</v>
      </c>
      <c r="HM25" s="374" t="str">
        <f t="shared" si="143"/>
        <v>(0.83)</v>
      </c>
      <c r="HN25" s="375">
        <v>2</v>
      </c>
      <c r="HO25" s="375">
        <f t="shared" si="144"/>
        <v>3.5</v>
      </c>
      <c r="HP25" s="375">
        <v>1</v>
      </c>
      <c r="HQ25" s="375">
        <f t="shared" si="145"/>
        <v>1.125</v>
      </c>
      <c r="HR25" s="375">
        <v>2</v>
      </c>
      <c r="HS25" s="375">
        <f t="shared" si="146"/>
        <v>2</v>
      </c>
      <c r="HT25" s="375">
        <f t="shared" si="147"/>
        <v>6.625</v>
      </c>
      <c r="HU25" s="376">
        <f t="shared" si="148"/>
        <v>101.375</v>
      </c>
      <c r="HV25" s="373">
        <f t="shared" si="149"/>
        <v>9.4490000000000016</v>
      </c>
      <c r="HW25" s="374" t="str">
        <f t="shared" si="150"/>
        <v>(0.88)</v>
      </c>
      <c r="HX25" s="375">
        <v>2</v>
      </c>
      <c r="HY25" s="375">
        <f t="shared" si="151"/>
        <v>3.5</v>
      </c>
      <c r="HZ25" s="375">
        <v>1</v>
      </c>
      <c r="IA25" s="375">
        <f t="shared" si="152"/>
        <v>1.125</v>
      </c>
      <c r="IB25" s="375">
        <v>2</v>
      </c>
      <c r="IC25" s="375">
        <f t="shared" si="153"/>
        <v>2</v>
      </c>
      <c r="ID25" s="375">
        <f t="shared" si="154"/>
        <v>6.625</v>
      </c>
      <c r="IE25" s="376">
        <f t="shared" si="155"/>
        <v>107.375</v>
      </c>
      <c r="IF25" s="373">
        <f t="shared" si="156"/>
        <v>9.9770000000000003</v>
      </c>
      <c r="IG25" s="374" t="str">
        <f t="shared" si="157"/>
        <v>(0.93)</v>
      </c>
      <c r="IH25" s="22">
        <v>2</v>
      </c>
      <c r="II25" s="22">
        <f t="shared" si="158"/>
        <v>3.5</v>
      </c>
      <c r="IJ25" s="22">
        <v>1</v>
      </c>
      <c r="IK25" s="22">
        <f t="shared" si="159"/>
        <v>1.125</v>
      </c>
      <c r="IL25" s="22">
        <v>2</v>
      </c>
      <c r="IM25" s="22">
        <f t="shared" si="160"/>
        <v>2</v>
      </c>
      <c r="IN25" s="22">
        <f t="shared" si="161"/>
        <v>6.625</v>
      </c>
      <c r="IO25" s="23">
        <f t="shared" si="162"/>
        <v>113.375</v>
      </c>
      <c r="IP25" s="24"/>
      <c r="IQ25" s="25">
        <v>4</v>
      </c>
      <c r="IR25" s="26">
        <v>2.645</v>
      </c>
      <c r="IS25" s="26">
        <v>2.645</v>
      </c>
      <c r="IT25" s="26">
        <v>2.0920000000000001</v>
      </c>
      <c r="IU25" s="26">
        <v>1.75</v>
      </c>
      <c r="IV25" s="26">
        <v>1</v>
      </c>
      <c r="IW25" s="26">
        <v>1.125</v>
      </c>
      <c r="IX25" s="8"/>
    </row>
    <row r="26" spans="2:258" ht="15.75" thickBot="1" x14ac:dyDescent="0.3">
      <c r="B26" s="103">
        <f t="shared" si="21"/>
        <v>48</v>
      </c>
      <c r="C26" s="226">
        <v>9</v>
      </c>
      <c r="D26" s="98">
        <f t="shared" si="1"/>
        <v>0.36338194444444444</v>
      </c>
      <c r="E26" s="96">
        <f t="shared" si="2"/>
        <v>0.42119270833333328</v>
      </c>
      <c r="F26" s="96">
        <f t="shared" si="3"/>
        <v>0.47900347222222223</v>
      </c>
      <c r="G26" s="96">
        <f t="shared" si="4"/>
        <v>0.50790885416666665</v>
      </c>
      <c r="H26" s="96">
        <f>CL29/((H$17*$B26)/144)</f>
        <v>0.52525208333333329</v>
      </c>
      <c r="I26" s="96">
        <f t="shared" si="6"/>
        <v>0.53681423611111112</v>
      </c>
      <c r="J26" s="96">
        <f t="shared" si="7"/>
        <v>0.54507291666666668</v>
      </c>
      <c r="K26" s="96">
        <f t="shared" si="8"/>
        <v>0.55126692708333325</v>
      </c>
      <c r="L26" s="96">
        <f t="shared" si="9"/>
        <v>0.54507291666666668</v>
      </c>
      <c r="M26" s="96">
        <f t="shared" si="10"/>
        <v>0.55002812499999998</v>
      </c>
      <c r="N26" s="96">
        <f t="shared" si="11"/>
        <v>0.55408238636363627</v>
      </c>
      <c r="O26" s="96">
        <f t="shared" si="12"/>
        <v>0.55642860243055547</v>
      </c>
      <c r="P26" s="96">
        <f t="shared" si="13"/>
        <v>0.55936678685897434</v>
      </c>
      <c r="Q26" s="96">
        <f t="shared" si="14"/>
        <v>0.56188523065476181</v>
      </c>
      <c r="R26" s="96">
        <f t="shared" si="15"/>
        <v>0.56406788194444435</v>
      </c>
      <c r="S26" s="96">
        <f t="shared" si="16"/>
        <v>0.56597770182291662</v>
      </c>
      <c r="T26" s="96">
        <f t="shared" si="17"/>
        <v>0.5676628370098038</v>
      </c>
      <c r="U26" s="96">
        <f t="shared" si="18"/>
        <v>0.55814916087962951</v>
      </c>
      <c r="V26" s="96">
        <f t="shared" si="19"/>
        <v>0.5600689418859649</v>
      </c>
      <c r="W26" s="96">
        <f t="shared" si="20"/>
        <v>0.56179674479166652</v>
      </c>
      <c r="X26" s="96"/>
      <c r="Y26" s="65"/>
      <c r="AA26" s="83"/>
      <c r="AT26" s="4"/>
      <c r="AU26" s="27">
        <f t="shared" si="163"/>
        <v>30</v>
      </c>
      <c r="AV26" s="28" t="str">
        <f t="shared" si="22"/>
        <v>(750)</v>
      </c>
      <c r="AW26" s="19"/>
      <c r="AX26" s="20">
        <f t="shared" si="23"/>
        <v>0.63983333333333325</v>
      </c>
      <c r="AY26" s="29" t="str">
        <f t="shared" si="24"/>
        <v>(0.06)</v>
      </c>
      <c r="AZ26" s="22">
        <v>2</v>
      </c>
      <c r="BA26" s="22">
        <f t="shared" si="25"/>
        <v>3.5</v>
      </c>
      <c r="BB26" s="30">
        <v>0</v>
      </c>
      <c r="BC26" s="22">
        <f t="shared" si="26"/>
        <v>0</v>
      </c>
      <c r="BD26" s="30">
        <v>0</v>
      </c>
      <c r="BE26" s="22">
        <f t="shared" si="27"/>
        <v>0</v>
      </c>
      <c r="BF26" s="22">
        <f t="shared" si="28"/>
        <v>3.5</v>
      </c>
      <c r="BG26" s="23">
        <f t="shared" si="29"/>
        <v>5.5</v>
      </c>
      <c r="BH26" s="373">
        <f t="shared" si="30"/>
        <v>0.98883333333333334</v>
      </c>
      <c r="BI26" s="374" t="str">
        <f t="shared" si="31"/>
        <v>(0.09)</v>
      </c>
      <c r="BJ26" s="375">
        <v>2</v>
      </c>
      <c r="BK26" s="375">
        <f t="shared" si="32"/>
        <v>3.5</v>
      </c>
      <c r="BL26" s="375">
        <v>0</v>
      </c>
      <c r="BM26" s="375">
        <f t="shared" si="33"/>
        <v>0</v>
      </c>
      <c r="BN26" s="375">
        <v>0</v>
      </c>
      <c r="BO26" s="375">
        <f t="shared" si="34"/>
        <v>0</v>
      </c>
      <c r="BP26" s="375">
        <f t="shared" si="35"/>
        <v>3.5</v>
      </c>
      <c r="BQ26" s="376">
        <f t="shared" si="36"/>
        <v>8.5</v>
      </c>
      <c r="BR26" s="373">
        <f t="shared" si="37"/>
        <v>1.6868333333333334</v>
      </c>
      <c r="BS26" s="374" t="str">
        <f t="shared" si="38"/>
        <v>(0.16)</v>
      </c>
      <c r="BT26" s="375">
        <v>2</v>
      </c>
      <c r="BU26" s="375">
        <f t="shared" si="39"/>
        <v>3.5</v>
      </c>
      <c r="BV26" s="375">
        <v>0</v>
      </c>
      <c r="BW26" s="375">
        <f t="shared" si="40"/>
        <v>0</v>
      </c>
      <c r="BX26" s="375">
        <v>0</v>
      </c>
      <c r="BY26" s="375">
        <f t="shared" si="41"/>
        <v>0</v>
      </c>
      <c r="BZ26" s="375">
        <f t="shared" si="42"/>
        <v>3.5</v>
      </c>
      <c r="CA26" s="376">
        <f t="shared" si="43"/>
        <v>14.5</v>
      </c>
      <c r="CB26" s="373">
        <f t="shared" si="44"/>
        <v>2.3848333333333334</v>
      </c>
      <c r="CC26" s="374" t="str">
        <f t="shared" si="45"/>
        <v>(0.22)</v>
      </c>
      <c r="CD26" s="375">
        <v>2</v>
      </c>
      <c r="CE26" s="375">
        <f t="shared" si="46"/>
        <v>3.5</v>
      </c>
      <c r="CF26" s="375">
        <v>0</v>
      </c>
      <c r="CG26" s="375">
        <f t="shared" si="47"/>
        <v>0</v>
      </c>
      <c r="CH26" s="375">
        <v>0</v>
      </c>
      <c r="CI26" s="375">
        <f t="shared" si="48"/>
        <v>0</v>
      </c>
      <c r="CJ26" s="375">
        <f t="shared" si="49"/>
        <v>3.5</v>
      </c>
      <c r="CK26" s="376">
        <f t="shared" si="50"/>
        <v>20.5</v>
      </c>
      <c r="CL26" s="373">
        <f t="shared" si="51"/>
        <v>3.0828333333333333</v>
      </c>
      <c r="CM26" s="374" t="str">
        <f t="shared" si="52"/>
        <v>(0.29)</v>
      </c>
      <c r="CN26" s="375">
        <v>2</v>
      </c>
      <c r="CO26" s="375">
        <f t="shared" si="53"/>
        <v>3.5</v>
      </c>
      <c r="CP26" s="375">
        <v>0</v>
      </c>
      <c r="CQ26" s="375">
        <f t="shared" si="54"/>
        <v>0</v>
      </c>
      <c r="CR26" s="375">
        <v>0</v>
      </c>
      <c r="CS26" s="375">
        <f t="shared" si="55"/>
        <v>0</v>
      </c>
      <c r="CT26" s="375">
        <f t="shared" si="56"/>
        <v>3.5</v>
      </c>
      <c r="CU26" s="376">
        <f t="shared" si="57"/>
        <v>26.5</v>
      </c>
      <c r="CV26" s="373">
        <f t="shared" si="58"/>
        <v>3.7808333333333328</v>
      </c>
      <c r="CW26" s="374" t="str">
        <f t="shared" si="59"/>
        <v>(0.35)</v>
      </c>
      <c r="CX26" s="375">
        <v>2</v>
      </c>
      <c r="CY26" s="375">
        <f t="shared" si="60"/>
        <v>3.5</v>
      </c>
      <c r="CZ26" s="375">
        <v>0</v>
      </c>
      <c r="DA26" s="375">
        <f t="shared" si="61"/>
        <v>0</v>
      </c>
      <c r="DB26" s="375">
        <v>0</v>
      </c>
      <c r="DC26" s="375">
        <f t="shared" si="62"/>
        <v>0</v>
      </c>
      <c r="DD26" s="375">
        <f t="shared" si="63"/>
        <v>3.5</v>
      </c>
      <c r="DE26" s="376">
        <f t="shared" si="64"/>
        <v>32.5</v>
      </c>
      <c r="DF26" s="373">
        <f t="shared" si="65"/>
        <v>4.4788333333333332</v>
      </c>
      <c r="DG26" s="374" t="str">
        <f t="shared" si="66"/>
        <v>(0.42)</v>
      </c>
      <c r="DH26" s="375">
        <v>2</v>
      </c>
      <c r="DI26" s="375">
        <f t="shared" si="67"/>
        <v>3.5</v>
      </c>
      <c r="DJ26" s="375">
        <v>0</v>
      </c>
      <c r="DK26" s="375">
        <f t="shared" si="68"/>
        <v>0</v>
      </c>
      <c r="DL26" s="375">
        <v>0</v>
      </c>
      <c r="DM26" s="375">
        <f t="shared" si="69"/>
        <v>0</v>
      </c>
      <c r="DN26" s="375">
        <f t="shared" si="70"/>
        <v>3.5</v>
      </c>
      <c r="DO26" s="376">
        <f t="shared" si="71"/>
        <v>38.5</v>
      </c>
      <c r="DP26" s="373">
        <f t="shared" si="72"/>
        <v>5.1768333333333327</v>
      </c>
      <c r="DQ26" s="374" t="str">
        <f t="shared" si="73"/>
        <v>(0.48)</v>
      </c>
      <c r="DR26" s="375">
        <v>2</v>
      </c>
      <c r="DS26" s="375">
        <f t="shared" si="74"/>
        <v>3.5</v>
      </c>
      <c r="DT26" s="375">
        <v>0</v>
      </c>
      <c r="DU26" s="375">
        <f t="shared" si="75"/>
        <v>0</v>
      </c>
      <c r="DV26" s="375">
        <v>0</v>
      </c>
      <c r="DW26" s="375">
        <f t="shared" si="76"/>
        <v>0</v>
      </c>
      <c r="DX26" s="375">
        <f t="shared" si="77"/>
        <v>3.5</v>
      </c>
      <c r="DY26" s="376">
        <f t="shared" si="78"/>
        <v>44.5</v>
      </c>
      <c r="DZ26" s="373">
        <f t="shared" si="79"/>
        <v>5.7584999999999997</v>
      </c>
      <c r="EA26" s="374" t="str">
        <f t="shared" si="80"/>
        <v>(0.53)</v>
      </c>
      <c r="EB26" s="375">
        <v>2</v>
      </c>
      <c r="EC26" s="375">
        <f t="shared" si="81"/>
        <v>3.5</v>
      </c>
      <c r="ED26" s="375">
        <v>0</v>
      </c>
      <c r="EE26" s="375">
        <f t="shared" si="82"/>
        <v>0</v>
      </c>
      <c r="EF26" s="375">
        <v>1</v>
      </c>
      <c r="EG26" s="375">
        <f t="shared" si="83"/>
        <v>1</v>
      </c>
      <c r="EH26" s="375">
        <f t="shared" si="84"/>
        <v>4.5</v>
      </c>
      <c r="EI26" s="376">
        <f t="shared" si="85"/>
        <v>49.5</v>
      </c>
      <c r="EJ26" s="373">
        <f t="shared" si="86"/>
        <v>6.4565000000000001</v>
      </c>
      <c r="EK26" s="374" t="str">
        <f t="shared" si="87"/>
        <v>(0.60)</v>
      </c>
      <c r="EL26" s="375">
        <v>2</v>
      </c>
      <c r="EM26" s="375">
        <f t="shared" si="88"/>
        <v>3.5</v>
      </c>
      <c r="EN26" s="375">
        <v>0</v>
      </c>
      <c r="EO26" s="375">
        <f t="shared" si="89"/>
        <v>0</v>
      </c>
      <c r="EP26" s="375">
        <v>1</v>
      </c>
      <c r="EQ26" s="375">
        <f t="shared" si="90"/>
        <v>1</v>
      </c>
      <c r="ER26" s="375">
        <f t="shared" si="91"/>
        <v>4.5</v>
      </c>
      <c r="ES26" s="376">
        <f t="shared" si="92"/>
        <v>55.5</v>
      </c>
      <c r="ET26" s="373">
        <f t="shared" si="93"/>
        <v>7.1544999999999987</v>
      </c>
      <c r="EU26" s="374" t="str">
        <f t="shared" si="94"/>
        <v>(0.66)</v>
      </c>
      <c r="EV26" s="375">
        <v>2</v>
      </c>
      <c r="EW26" s="375">
        <f t="shared" si="95"/>
        <v>3.5</v>
      </c>
      <c r="EX26" s="375">
        <v>0</v>
      </c>
      <c r="EY26" s="375">
        <f t="shared" si="96"/>
        <v>0</v>
      </c>
      <c r="EZ26" s="375">
        <v>1</v>
      </c>
      <c r="FA26" s="375">
        <f t="shared" si="97"/>
        <v>1</v>
      </c>
      <c r="FB26" s="375">
        <f t="shared" si="98"/>
        <v>4.5</v>
      </c>
      <c r="FC26" s="376">
        <f t="shared" si="99"/>
        <v>61.5</v>
      </c>
      <c r="FD26" s="373">
        <f t="shared" si="100"/>
        <v>7.8379583333333329</v>
      </c>
      <c r="FE26" s="374" t="str">
        <f t="shared" si="101"/>
        <v>(0.73)</v>
      </c>
      <c r="FF26" s="375">
        <v>2</v>
      </c>
      <c r="FG26" s="375">
        <f t="shared" si="102"/>
        <v>3.5</v>
      </c>
      <c r="FH26" s="375">
        <v>1</v>
      </c>
      <c r="FI26" s="375">
        <f t="shared" si="103"/>
        <v>1.125</v>
      </c>
      <c r="FJ26" s="375">
        <v>0</v>
      </c>
      <c r="FK26" s="375">
        <f t="shared" si="104"/>
        <v>0</v>
      </c>
      <c r="FL26" s="375">
        <f t="shared" si="105"/>
        <v>4.625</v>
      </c>
      <c r="FM26" s="376">
        <f t="shared" si="106"/>
        <v>67.375</v>
      </c>
      <c r="FN26" s="373">
        <f t="shared" si="107"/>
        <v>8.5359583333333333</v>
      </c>
      <c r="FO26" s="374" t="str">
        <f t="shared" si="108"/>
        <v>(0.79)</v>
      </c>
      <c r="FP26" s="375">
        <v>2</v>
      </c>
      <c r="FQ26" s="375">
        <f t="shared" si="109"/>
        <v>3.5</v>
      </c>
      <c r="FR26" s="375">
        <v>1</v>
      </c>
      <c r="FS26" s="375">
        <f t="shared" si="110"/>
        <v>1.125</v>
      </c>
      <c r="FT26" s="375">
        <v>0</v>
      </c>
      <c r="FU26" s="375">
        <f t="shared" si="111"/>
        <v>0</v>
      </c>
      <c r="FV26" s="375">
        <f t="shared" si="112"/>
        <v>4.625</v>
      </c>
      <c r="FW26" s="376">
        <f t="shared" si="113"/>
        <v>73.375</v>
      </c>
      <c r="FX26" s="373">
        <f t="shared" si="114"/>
        <v>9.2339583333333319</v>
      </c>
      <c r="FY26" s="374" t="str">
        <f t="shared" si="115"/>
        <v>(0.86)</v>
      </c>
      <c r="FZ26" s="375">
        <v>2</v>
      </c>
      <c r="GA26" s="375">
        <f t="shared" si="116"/>
        <v>3.5</v>
      </c>
      <c r="GB26" s="375">
        <v>1</v>
      </c>
      <c r="GC26" s="375">
        <f t="shared" si="117"/>
        <v>1.125</v>
      </c>
      <c r="GD26" s="375">
        <v>0</v>
      </c>
      <c r="GE26" s="375">
        <f t="shared" si="118"/>
        <v>0</v>
      </c>
      <c r="GF26" s="375">
        <f t="shared" si="119"/>
        <v>4.625</v>
      </c>
      <c r="GG26" s="376">
        <f t="shared" si="120"/>
        <v>79.375</v>
      </c>
      <c r="GH26" s="373">
        <f t="shared" si="121"/>
        <v>9.9319583333333341</v>
      </c>
      <c r="GI26" s="374" t="str">
        <f t="shared" si="122"/>
        <v>(0.92)</v>
      </c>
      <c r="GJ26" s="375">
        <v>2</v>
      </c>
      <c r="GK26" s="375">
        <f t="shared" si="123"/>
        <v>3.5</v>
      </c>
      <c r="GL26" s="375">
        <v>1</v>
      </c>
      <c r="GM26" s="375">
        <f t="shared" si="124"/>
        <v>1.125</v>
      </c>
      <c r="GN26" s="375">
        <v>0</v>
      </c>
      <c r="GO26" s="375">
        <f t="shared" si="125"/>
        <v>0</v>
      </c>
      <c r="GP26" s="375">
        <f t="shared" si="126"/>
        <v>4.625</v>
      </c>
      <c r="GQ26" s="376">
        <f t="shared" si="127"/>
        <v>85.375</v>
      </c>
      <c r="GR26" s="373">
        <f t="shared" si="128"/>
        <v>10.629958333333333</v>
      </c>
      <c r="GS26" s="374" t="str">
        <f t="shared" si="129"/>
        <v>(0.99)</v>
      </c>
      <c r="GT26" s="375">
        <v>2</v>
      </c>
      <c r="GU26" s="375">
        <f t="shared" si="130"/>
        <v>3.5</v>
      </c>
      <c r="GV26" s="375">
        <v>1</v>
      </c>
      <c r="GW26" s="375">
        <f t="shared" si="131"/>
        <v>1.125</v>
      </c>
      <c r="GX26" s="375">
        <v>0</v>
      </c>
      <c r="GY26" s="375">
        <f t="shared" si="132"/>
        <v>0</v>
      </c>
      <c r="GZ26" s="375">
        <f t="shared" si="133"/>
        <v>4.625</v>
      </c>
      <c r="HA26" s="376">
        <f t="shared" si="134"/>
        <v>91.375</v>
      </c>
      <c r="HB26" s="373">
        <f t="shared" si="135"/>
        <v>11.327958333333333</v>
      </c>
      <c r="HC26" s="374" t="str">
        <f t="shared" si="136"/>
        <v>(1.05)</v>
      </c>
      <c r="HD26" s="375">
        <v>2</v>
      </c>
      <c r="HE26" s="375">
        <f t="shared" si="137"/>
        <v>3.5</v>
      </c>
      <c r="HF26" s="375">
        <v>1</v>
      </c>
      <c r="HG26" s="375">
        <f t="shared" si="138"/>
        <v>1.125</v>
      </c>
      <c r="HH26" s="375">
        <v>0</v>
      </c>
      <c r="HI26" s="375">
        <f t="shared" si="139"/>
        <v>0</v>
      </c>
      <c r="HJ26" s="375">
        <f t="shared" si="140"/>
        <v>4.625</v>
      </c>
      <c r="HK26" s="376">
        <f t="shared" si="141"/>
        <v>97.375</v>
      </c>
      <c r="HL26" s="373">
        <f t="shared" si="142"/>
        <v>11.793291666666667</v>
      </c>
      <c r="HM26" s="374" t="str">
        <f t="shared" si="143"/>
        <v>(1.10)</v>
      </c>
      <c r="HN26" s="375">
        <v>2</v>
      </c>
      <c r="HO26" s="375">
        <f t="shared" si="144"/>
        <v>3.5</v>
      </c>
      <c r="HP26" s="375">
        <v>1</v>
      </c>
      <c r="HQ26" s="375">
        <f t="shared" si="145"/>
        <v>1.125</v>
      </c>
      <c r="HR26" s="375">
        <v>2</v>
      </c>
      <c r="HS26" s="375">
        <f t="shared" si="146"/>
        <v>2</v>
      </c>
      <c r="HT26" s="375">
        <f t="shared" si="147"/>
        <v>6.625</v>
      </c>
      <c r="HU26" s="376">
        <f t="shared" si="148"/>
        <v>101.375</v>
      </c>
      <c r="HV26" s="373">
        <f t="shared" si="149"/>
        <v>12.491291666666665</v>
      </c>
      <c r="HW26" s="374" t="str">
        <f t="shared" si="150"/>
        <v>(1.16)</v>
      </c>
      <c r="HX26" s="375">
        <v>2</v>
      </c>
      <c r="HY26" s="375">
        <f t="shared" si="151"/>
        <v>3.5</v>
      </c>
      <c r="HZ26" s="375">
        <v>1</v>
      </c>
      <c r="IA26" s="375">
        <f t="shared" si="152"/>
        <v>1.125</v>
      </c>
      <c r="IB26" s="375">
        <v>2</v>
      </c>
      <c r="IC26" s="375">
        <f t="shared" si="153"/>
        <v>2</v>
      </c>
      <c r="ID26" s="375">
        <f t="shared" si="154"/>
        <v>6.625</v>
      </c>
      <c r="IE26" s="376">
        <f t="shared" si="155"/>
        <v>107.375</v>
      </c>
      <c r="IF26" s="373">
        <f t="shared" si="156"/>
        <v>13.189291666666666</v>
      </c>
      <c r="IG26" s="374" t="str">
        <f t="shared" si="157"/>
        <v>(1.23)</v>
      </c>
      <c r="IH26" s="22">
        <v>2</v>
      </c>
      <c r="II26" s="22">
        <f t="shared" si="158"/>
        <v>3.5</v>
      </c>
      <c r="IJ26" s="30">
        <v>1</v>
      </c>
      <c r="IK26" s="22">
        <f t="shared" si="159"/>
        <v>1.125</v>
      </c>
      <c r="IL26" s="22">
        <v>2</v>
      </c>
      <c r="IM26" s="22">
        <f t="shared" si="160"/>
        <v>2</v>
      </c>
      <c r="IN26" s="22">
        <f t="shared" si="161"/>
        <v>6.625</v>
      </c>
      <c r="IO26" s="23">
        <f t="shared" si="162"/>
        <v>113.375</v>
      </c>
      <c r="IP26" s="24"/>
      <c r="IQ26" s="25">
        <v>6</v>
      </c>
      <c r="IR26" s="26">
        <v>2.645</v>
      </c>
      <c r="IS26" s="26">
        <v>2.645</v>
      </c>
      <c r="IT26" s="26">
        <v>0.88200000000000001</v>
      </c>
      <c r="IU26" s="26">
        <v>1.75</v>
      </c>
      <c r="IV26" s="26">
        <v>1</v>
      </c>
      <c r="IW26" s="26">
        <v>1.125</v>
      </c>
      <c r="IX26" s="8"/>
    </row>
    <row r="27" spans="2:258" ht="15.75" thickBot="1" x14ac:dyDescent="0.3">
      <c r="B27" s="103">
        <f t="shared" si="21"/>
        <v>54</v>
      </c>
      <c r="C27" s="221">
        <v>10</v>
      </c>
      <c r="D27" s="98">
        <f t="shared" si="1"/>
        <v>0.33924588477366258</v>
      </c>
      <c r="E27" s="96">
        <f t="shared" si="2"/>
        <v>0.39321682098765431</v>
      </c>
      <c r="F27" s="96">
        <f t="shared" si="3"/>
        <v>0.44718775720164605</v>
      </c>
      <c r="G27" s="96">
        <f t="shared" si="4"/>
        <v>0.47417322530864198</v>
      </c>
      <c r="H27" s="96">
        <f t="shared" si="5"/>
        <v>0.4903645061728395</v>
      </c>
      <c r="I27" s="96">
        <f t="shared" si="6"/>
        <v>0.5011586934156379</v>
      </c>
      <c r="J27" s="96">
        <f t="shared" si="7"/>
        <v>0.50886882716049375</v>
      </c>
      <c r="K27" s="96">
        <f t="shared" si="8"/>
        <v>0.51465142746913584</v>
      </c>
      <c r="L27" s="96">
        <f t="shared" si="9"/>
        <v>0.50886882716049386</v>
      </c>
      <c r="M27" s="96">
        <f t="shared" si="10"/>
        <v>0.51349490740740744</v>
      </c>
      <c r="N27" s="96">
        <f t="shared" si="11"/>
        <v>0.51727988215488208</v>
      </c>
      <c r="O27" s="96">
        <f t="shared" si="12"/>
        <v>0.51947026105967087</v>
      </c>
      <c r="P27" s="96">
        <f t="shared" si="13"/>
        <v>0.52221328941120604</v>
      </c>
      <c r="Q27" s="96">
        <f t="shared" si="14"/>
        <v>0.52456445656966488</v>
      </c>
      <c r="R27" s="96">
        <f t="shared" si="15"/>
        <v>0.52660213477366258</v>
      </c>
      <c r="S27" s="96">
        <f t="shared" si="16"/>
        <v>0.52838510320216048</v>
      </c>
      <c r="T27" s="96">
        <f t="shared" si="17"/>
        <v>0.52995831063907051</v>
      </c>
      <c r="U27" s="96">
        <f t="shared" si="18"/>
        <v>0.52107653892318251</v>
      </c>
      <c r="V27" s="96">
        <f t="shared" si="19"/>
        <v>0.52286880685510073</v>
      </c>
      <c r="W27" s="96">
        <f t="shared" si="20"/>
        <v>0.52448184799382713</v>
      </c>
      <c r="X27" s="96"/>
      <c r="Y27" s="65"/>
      <c r="AA27" s="83"/>
      <c r="AT27" s="4"/>
      <c r="AU27" s="14">
        <f t="shared" si="163"/>
        <v>36</v>
      </c>
      <c r="AV27" s="12" t="str">
        <f t="shared" si="22"/>
        <v>(900)</v>
      </c>
      <c r="AW27" s="19"/>
      <c r="AX27" s="20">
        <f t="shared" si="23"/>
        <v>0.78707291666666668</v>
      </c>
      <c r="AY27" s="21" t="str">
        <f t="shared" si="24"/>
        <v>(0.07)</v>
      </c>
      <c r="AZ27" s="22">
        <v>2</v>
      </c>
      <c r="BA27" s="22">
        <f t="shared" si="25"/>
        <v>3.5</v>
      </c>
      <c r="BB27" s="22">
        <v>0</v>
      </c>
      <c r="BC27" s="22">
        <f t="shared" si="26"/>
        <v>0</v>
      </c>
      <c r="BD27" s="22">
        <v>0</v>
      </c>
      <c r="BE27" s="22">
        <f t="shared" si="27"/>
        <v>0</v>
      </c>
      <c r="BF27" s="22">
        <f t="shared" si="28"/>
        <v>3.5</v>
      </c>
      <c r="BG27" s="23">
        <f t="shared" si="29"/>
        <v>5.5</v>
      </c>
      <c r="BH27" s="373">
        <f t="shared" si="30"/>
        <v>1.2163854166666666</v>
      </c>
      <c r="BI27" s="374" t="str">
        <f t="shared" si="31"/>
        <v>(0.11)</v>
      </c>
      <c r="BJ27" s="375">
        <v>2</v>
      </c>
      <c r="BK27" s="375">
        <f t="shared" si="32"/>
        <v>3.5</v>
      </c>
      <c r="BL27" s="375">
        <v>0</v>
      </c>
      <c r="BM27" s="375">
        <f t="shared" si="33"/>
        <v>0</v>
      </c>
      <c r="BN27" s="375">
        <v>0</v>
      </c>
      <c r="BO27" s="375">
        <f t="shared" si="34"/>
        <v>0</v>
      </c>
      <c r="BP27" s="375">
        <f t="shared" si="35"/>
        <v>3.5</v>
      </c>
      <c r="BQ27" s="376">
        <f t="shared" si="36"/>
        <v>8.5</v>
      </c>
      <c r="BR27" s="373">
        <f t="shared" si="37"/>
        <v>2.0750104166666663</v>
      </c>
      <c r="BS27" s="374" t="str">
        <f t="shared" si="38"/>
        <v>(0.19)</v>
      </c>
      <c r="BT27" s="375">
        <v>2</v>
      </c>
      <c r="BU27" s="375">
        <f t="shared" si="39"/>
        <v>3.5</v>
      </c>
      <c r="BV27" s="375">
        <v>0</v>
      </c>
      <c r="BW27" s="375">
        <f t="shared" si="40"/>
        <v>0</v>
      </c>
      <c r="BX27" s="375">
        <v>0</v>
      </c>
      <c r="BY27" s="375">
        <f t="shared" si="41"/>
        <v>0</v>
      </c>
      <c r="BZ27" s="375">
        <f t="shared" si="42"/>
        <v>3.5</v>
      </c>
      <c r="CA27" s="376">
        <f t="shared" si="43"/>
        <v>14.5</v>
      </c>
      <c r="CB27" s="373">
        <f t="shared" si="44"/>
        <v>2.9336354166666663</v>
      </c>
      <c r="CC27" s="374" t="str">
        <f t="shared" si="45"/>
        <v>(0.27)</v>
      </c>
      <c r="CD27" s="375">
        <v>2</v>
      </c>
      <c r="CE27" s="375">
        <f t="shared" si="46"/>
        <v>3.5</v>
      </c>
      <c r="CF27" s="375">
        <v>0</v>
      </c>
      <c r="CG27" s="375">
        <f t="shared" si="47"/>
        <v>0</v>
      </c>
      <c r="CH27" s="375">
        <v>0</v>
      </c>
      <c r="CI27" s="375">
        <f t="shared" si="48"/>
        <v>0</v>
      </c>
      <c r="CJ27" s="375">
        <f t="shared" si="49"/>
        <v>3.5</v>
      </c>
      <c r="CK27" s="376">
        <f t="shared" si="50"/>
        <v>20.5</v>
      </c>
      <c r="CL27" s="373">
        <f t="shared" si="51"/>
        <v>3.7922604166666667</v>
      </c>
      <c r="CM27" s="374" t="str">
        <f t="shared" si="52"/>
        <v>(0.35)</v>
      </c>
      <c r="CN27" s="375">
        <v>2</v>
      </c>
      <c r="CO27" s="375">
        <f t="shared" si="53"/>
        <v>3.5</v>
      </c>
      <c r="CP27" s="375">
        <v>0</v>
      </c>
      <c r="CQ27" s="375">
        <f t="shared" si="54"/>
        <v>0</v>
      </c>
      <c r="CR27" s="375">
        <v>0</v>
      </c>
      <c r="CS27" s="375">
        <f t="shared" si="55"/>
        <v>0</v>
      </c>
      <c r="CT27" s="375">
        <f t="shared" si="56"/>
        <v>3.5</v>
      </c>
      <c r="CU27" s="376">
        <f t="shared" si="57"/>
        <v>26.5</v>
      </c>
      <c r="CV27" s="373">
        <f t="shared" si="58"/>
        <v>4.6508854166666662</v>
      </c>
      <c r="CW27" s="374" t="str">
        <f t="shared" si="59"/>
        <v>(0.43)</v>
      </c>
      <c r="CX27" s="375">
        <v>2</v>
      </c>
      <c r="CY27" s="375">
        <f t="shared" si="60"/>
        <v>3.5</v>
      </c>
      <c r="CZ27" s="375">
        <v>0</v>
      </c>
      <c r="DA27" s="375">
        <f t="shared" si="61"/>
        <v>0</v>
      </c>
      <c r="DB27" s="375">
        <v>0</v>
      </c>
      <c r="DC27" s="375">
        <f t="shared" si="62"/>
        <v>0</v>
      </c>
      <c r="DD27" s="375">
        <f t="shared" si="63"/>
        <v>3.5</v>
      </c>
      <c r="DE27" s="376">
        <f t="shared" si="64"/>
        <v>32.5</v>
      </c>
      <c r="DF27" s="373">
        <f t="shared" si="65"/>
        <v>5.5095104166666671</v>
      </c>
      <c r="DG27" s="374" t="str">
        <f t="shared" si="66"/>
        <v>(0.51)</v>
      </c>
      <c r="DH27" s="375">
        <v>2</v>
      </c>
      <c r="DI27" s="375">
        <f t="shared" si="67"/>
        <v>3.5</v>
      </c>
      <c r="DJ27" s="375">
        <v>0</v>
      </c>
      <c r="DK27" s="375">
        <f t="shared" si="68"/>
        <v>0</v>
      </c>
      <c r="DL27" s="375">
        <v>0</v>
      </c>
      <c r="DM27" s="375">
        <f t="shared" si="69"/>
        <v>0</v>
      </c>
      <c r="DN27" s="375">
        <f t="shared" si="70"/>
        <v>3.5</v>
      </c>
      <c r="DO27" s="376">
        <f t="shared" si="71"/>
        <v>38.5</v>
      </c>
      <c r="DP27" s="373">
        <f t="shared" si="72"/>
        <v>6.3681354166666662</v>
      </c>
      <c r="DQ27" s="374" t="str">
        <f t="shared" si="73"/>
        <v>(0.59)</v>
      </c>
      <c r="DR27" s="375">
        <v>2</v>
      </c>
      <c r="DS27" s="375">
        <f t="shared" si="74"/>
        <v>3.5</v>
      </c>
      <c r="DT27" s="375">
        <v>0</v>
      </c>
      <c r="DU27" s="375">
        <f t="shared" si="75"/>
        <v>0</v>
      </c>
      <c r="DV27" s="375">
        <v>0</v>
      </c>
      <c r="DW27" s="375">
        <f t="shared" si="76"/>
        <v>0</v>
      </c>
      <c r="DX27" s="375">
        <f t="shared" si="77"/>
        <v>3.5</v>
      </c>
      <c r="DY27" s="376">
        <f t="shared" si="78"/>
        <v>44.5</v>
      </c>
      <c r="DZ27" s="373">
        <f t="shared" si="79"/>
        <v>7.0836562499999998</v>
      </c>
      <c r="EA27" s="374" t="str">
        <f t="shared" si="80"/>
        <v>(0.66)</v>
      </c>
      <c r="EB27" s="375">
        <v>2</v>
      </c>
      <c r="EC27" s="375">
        <f t="shared" si="81"/>
        <v>3.5</v>
      </c>
      <c r="ED27" s="375">
        <v>0</v>
      </c>
      <c r="EE27" s="375">
        <f t="shared" si="82"/>
        <v>0</v>
      </c>
      <c r="EF27" s="375">
        <v>1</v>
      </c>
      <c r="EG27" s="375">
        <f t="shared" si="83"/>
        <v>1</v>
      </c>
      <c r="EH27" s="375">
        <f t="shared" si="84"/>
        <v>4.5</v>
      </c>
      <c r="EI27" s="376">
        <f t="shared" si="85"/>
        <v>49.5</v>
      </c>
      <c r="EJ27" s="373">
        <f t="shared" si="86"/>
        <v>7.9422812499999997</v>
      </c>
      <c r="EK27" s="374" t="str">
        <f t="shared" si="87"/>
        <v>(0.74)</v>
      </c>
      <c r="EL27" s="375">
        <v>2</v>
      </c>
      <c r="EM27" s="375">
        <f t="shared" si="88"/>
        <v>3.5</v>
      </c>
      <c r="EN27" s="375">
        <v>0</v>
      </c>
      <c r="EO27" s="375">
        <f t="shared" si="89"/>
        <v>0</v>
      </c>
      <c r="EP27" s="375">
        <v>1</v>
      </c>
      <c r="EQ27" s="375">
        <f t="shared" si="90"/>
        <v>1</v>
      </c>
      <c r="ER27" s="375">
        <f t="shared" si="91"/>
        <v>4.5</v>
      </c>
      <c r="ES27" s="376">
        <f t="shared" si="92"/>
        <v>55.5</v>
      </c>
      <c r="ET27" s="373">
        <f t="shared" si="93"/>
        <v>8.8009062500000006</v>
      </c>
      <c r="EU27" s="374" t="str">
        <f t="shared" si="94"/>
        <v>(0.82)</v>
      </c>
      <c r="EV27" s="375">
        <v>2</v>
      </c>
      <c r="EW27" s="375">
        <f t="shared" si="95"/>
        <v>3.5</v>
      </c>
      <c r="EX27" s="375">
        <v>0</v>
      </c>
      <c r="EY27" s="375">
        <f t="shared" si="96"/>
        <v>0</v>
      </c>
      <c r="EZ27" s="375">
        <v>1</v>
      </c>
      <c r="FA27" s="375">
        <f t="shared" si="97"/>
        <v>1</v>
      </c>
      <c r="FB27" s="375">
        <f t="shared" si="98"/>
        <v>4.5</v>
      </c>
      <c r="FC27" s="376">
        <f t="shared" si="99"/>
        <v>61.5</v>
      </c>
      <c r="FD27" s="373">
        <f t="shared" si="100"/>
        <v>9.6416432291666663</v>
      </c>
      <c r="FE27" s="374" t="str">
        <f t="shared" si="101"/>
        <v>(0.90)</v>
      </c>
      <c r="FF27" s="375">
        <v>2</v>
      </c>
      <c r="FG27" s="375">
        <f t="shared" si="102"/>
        <v>3.5</v>
      </c>
      <c r="FH27" s="375">
        <v>1</v>
      </c>
      <c r="FI27" s="375">
        <f t="shared" si="103"/>
        <v>1.125</v>
      </c>
      <c r="FJ27" s="375">
        <v>0</v>
      </c>
      <c r="FK27" s="375">
        <f t="shared" si="104"/>
        <v>0</v>
      </c>
      <c r="FL27" s="375">
        <f t="shared" si="105"/>
        <v>4.625</v>
      </c>
      <c r="FM27" s="376">
        <f t="shared" si="106"/>
        <v>67.375</v>
      </c>
      <c r="FN27" s="373">
        <f t="shared" si="107"/>
        <v>10.500268229166666</v>
      </c>
      <c r="FO27" s="374" t="str">
        <f t="shared" si="108"/>
        <v>(0.98)</v>
      </c>
      <c r="FP27" s="375">
        <v>2</v>
      </c>
      <c r="FQ27" s="375">
        <f t="shared" si="109"/>
        <v>3.5</v>
      </c>
      <c r="FR27" s="375">
        <v>1</v>
      </c>
      <c r="FS27" s="375">
        <f t="shared" si="110"/>
        <v>1.125</v>
      </c>
      <c r="FT27" s="375">
        <v>0</v>
      </c>
      <c r="FU27" s="375">
        <f t="shared" si="111"/>
        <v>0</v>
      </c>
      <c r="FV27" s="375">
        <f t="shared" si="112"/>
        <v>4.625</v>
      </c>
      <c r="FW27" s="376">
        <f t="shared" si="113"/>
        <v>73.375</v>
      </c>
      <c r="FX27" s="373">
        <f t="shared" si="114"/>
        <v>11.358893229166666</v>
      </c>
      <c r="FY27" s="374" t="str">
        <f t="shared" si="115"/>
        <v>(1.06)</v>
      </c>
      <c r="FZ27" s="375">
        <v>2</v>
      </c>
      <c r="GA27" s="375">
        <f t="shared" si="116"/>
        <v>3.5</v>
      </c>
      <c r="GB27" s="375">
        <v>1</v>
      </c>
      <c r="GC27" s="375">
        <f t="shared" si="117"/>
        <v>1.125</v>
      </c>
      <c r="GD27" s="375">
        <v>0</v>
      </c>
      <c r="GE27" s="375">
        <f t="shared" si="118"/>
        <v>0</v>
      </c>
      <c r="GF27" s="375">
        <f t="shared" si="119"/>
        <v>4.625</v>
      </c>
      <c r="GG27" s="376">
        <f t="shared" si="120"/>
        <v>79.375</v>
      </c>
      <c r="GH27" s="373">
        <f t="shared" si="121"/>
        <v>12.217518229166666</v>
      </c>
      <c r="GI27" s="374" t="str">
        <f t="shared" si="122"/>
        <v>(1.14)</v>
      </c>
      <c r="GJ27" s="375">
        <v>2</v>
      </c>
      <c r="GK27" s="375">
        <f t="shared" si="123"/>
        <v>3.5</v>
      </c>
      <c r="GL27" s="375">
        <v>1</v>
      </c>
      <c r="GM27" s="375">
        <f t="shared" si="124"/>
        <v>1.125</v>
      </c>
      <c r="GN27" s="375">
        <v>0</v>
      </c>
      <c r="GO27" s="375">
        <f t="shared" si="125"/>
        <v>0</v>
      </c>
      <c r="GP27" s="375">
        <f t="shared" si="126"/>
        <v>4.625</v>
      </c>
      <c r="GQ27" s="376">
        <f t="shared" si="127"/>
        <v>85.375</v>
      </c>
      <c r="GR27" s="373">
        <f t="shared" si="128"/>
        <v>13.076143229166666</v>
      </c>
      <c r="GS27" s="374" t="str">
        <f t="shared" si="129"/>
        <v>(1.21)</v>
      </c>
      <c r="GT27" s="375">
        <v>2</v>
      </c>
      <c r="GU27" s="375">
        <f t="shared" si="130"/>
        <v>3.5</v>
      </c>
      <c r="GV27" s="375">
        <v>1</v>
      </c>
      <c r="GW27" s="375">
        <f t="shared" si="131"/>
        <v>1.125</v>
      </c>
      <c r="GX27" s="375">
        <v>0</v>
      </c>
      <c r="GY27" s="375">
        <f t="shared" si="132"/>
        <v>0</v>
      </c>
      <c r="GZ27" s="375">
        <f t="shared" si="133"/>
        <v>4.625</v>
      </c>
      <c r="HA27" s="376">
        <f t="shared" si="134"/>
        <v>91.375</v>
      </c>
      <c r="HB27" s="373">
        <f t="shared" si="135"/>
        <v>13.934768229166666</v>
      </c>
      <c r="HC27" s="374" t="str">
        <f t="shared" si="136"/>
        <v>(1.29)</v>
      </c>
      <c r="HD27" s="375">
        <v>2</v>
      </c>
      <c r="HE27" s="375">
        <f t="shared" si="137"/>
        <v>3.5</v>
      </c>
      <c r="HF27" s="375">
        <v>1</v>
      </c>
      <c r="HG27" s="375">
        <f t="shared" si="138"/>
        <v>1.125</v>
      </c>
      <c r="HH27" s="375">
        <v>0</v>
      </c>
      <c r="HI27" s="375">
        <f t="shared" si="139"/>
        <v>0</v>
      </c>
      <c r="HJ27" s="375">
        <f t="shared" si="140"/>
        <v>4.625</v>
      </c>
      <c r="HK27" s="376">
        <f t="shared" si="141"/>
        <v>97.375</v>
      </c>
      <c r="HL27" s="373">
        <f t="shared" si="142"/>
        <v>14.507184895833332</v>
      </c>
      <c r="HM27" s="374" t="str">
        <f t="shared" si="143"/>
        <v>(1.35)</v>
      </c>
      <c r="HN27" s="375">
        <v>2</v>
      </c>
      <c r="HO27" s="375">
        <f t="shared" si="144"/>
        <v>3.5</v>
      </c>
      <c r="HP27" s="375">
        <v>1</v>
      </c>
      <c r="HQ27" s="375">
        <f t="shared" si="145"/>
        <v>1.125</v>
      </c>
      <c r="HR27" s="375">
        <v>2</v>
      </c>
      <c r="HS27" s="375">
        <f t="shared" si="146"/>
        <v>2</v>
      </c>
      <c r="HT27" s="375">
        <f t="shared" si="147"/>
        <v>6.625</v>
      </c>
      <c r="HU27" s="376">
        <f t="shared" si="148"/>
        <v>101.375</v>
      </c>
      <c r="HV27" s="373">
        <f t="shared" si="149"/>
        <v>15.365809895833333</v>
      </c>
      <c r="HW27" s="374" t="str">
        <f t="shared" si="150"/>
        <v>(1.43)</v>
      </c>
      <c r="HX27" s="375">
        <v>2</v>
      </c>
      <c r="HY27" s="375">
        <f t="shared" si="151"/>
        <v>3.5</v>
      </c>
      <c r="HZ27" s="375">
        <v>1</v>
      </c>
      <c r="IA27" s="375">
        <f t="shared" si="152"/>
        <v>1.125</v>
      </c>
      <c r="IB27" s="375">
        <v>2</v>
      </c>
      <c r="IC27" s="375">
        <f t="shared" si="153"/>
        <v>2</v>
      </c>
      <c r="ID27" s="375">
        <f t="shared" si="154"/>
        <v>6.625</v>
      </c>
      <c r="IE27" s="376">
        <f t="shared" si="155"/>
        <v>107.375</v>
      </c>
      <c r="IF27" s="373">
        <f t="shared" si="156"/>
        <v>16.224434895833333</v>
      </c>
      <c r="IG27" s="374" t="str">
        <f t="shared" si="157"/>
        <v>(1.51)</v>
      </c>
      <c r="IH27" s="22">
        <v>2</v>
      </c>
      <c r="II27" s="22">
        <f t="shared" si="158"/>
        <v>3.5</v>
      </c>
      <c r="IJ27" s="22">
        <v>1</v>
      </c>
      <c r="IK27" s="22">
        <f t="shared" si="159"/>
        <v>1.125</v>
      </c>
      <c r="IL27" s="22">
        <v>2</v>
      </c>
      <c r="IM27" s="22">
        <f t="shared" si="160"/>
        <v>2</v>
      </c>
      <c r="IN27" s="22">
        <f t="shared" si="161"/>
        <v>6.625</v>
      </c>
      <c r="IO27" s="23">
        <f t="shared" si="162"/>
        <v>113.375</v>
      </c>
      <c r="IP27" s="24"/>
      <c r="IQ27" s="25">
        <v>7</v>
      </c>
      <c r="IR27" s="26">
        <v>2.645</v>
      </c>
      <c r="IS27" s="26">
        <v>2.645</v>
      </c>
      <c r="IT27" s="26">
        <v>2.0920000000000001</v>
      </c>
      <c r="IU27" s="26">
        <v>1.75</v>
      </c>
      <c r="IV27" s="26">
        <v>1</v>
      </c>
      <c r="IW27" s="26">
        <v>1.125</v>
      </c>
      <c r="IX27" s="8"/>
    </row>
    <row r="28" spans="2:258" ht="15.75" thickBot="1" x14ac:dyDescent="0.3">
      <c r="B28" s="103">
        <f t="shared" si="21"/>
        <v>60</v>
      </c>
      <c r="C28" s="226">
        <v>11</v>
      </c>
      <c r="D28" s="98">
        <f t="shared" si="1"/>
        <v>0.37152500000000005</v>
      </c>
      <c r="E28" s="96">
        <f t="shared" si="2"/>
        <v>0.43063125000000008</v>
      </c>
      <c r="F28" s="96">
        <f t="shared" si="3"/>
        <v>0.48973750000000005</v>
      </c>
      <c r="G28" s="96">
        <f t="shared" si="4"/>
        <v>0.51929062500000012</v>
      </c>
      <c r="H28" s="96">
        <f t="shared" si="5"/>
        <v>0.53702250000000007</v>
      </c>
      <c r="I28" s="96">
        <f t="shared" si="6"/>
        <v>0.54884374999999996</v>
      </c>
      <c r="J28" s="96">
        <f t="shared" si="7"/>
        <v>0.55728750000000005</v>
      </c>
      <c r="K28" s="96">
        <f t="shared" si="8"/>
        <v>0.56362031250000011</v>
      </c>
      <c r="L28" s="96">
        <f t="shared" si="9"/>
        <v>0.55728750000000005</v>
      </c>
      <c r="M28" s="96">
        <f t="shared" si="10"/>
        <v>0.5623537500000001</v>
      </c>
      <c r="N28" s="96">
        <f t="shared" si="11"/>
        <v>0.56649886363636359</v>
      </c>
      <c r="O28" s="96">
        <f t="shared" si="12"/>
        <v>0.56889765625000011</v>
      </c>
      <c r="P28" s="96">
        <f t="shared" si="13"/>
        <v>0.57190168269230779</v>
      </c>
      <c r="Q28" s="96">
        <f t="shared" si="14"/>
        <v>0.57447656250000012</v>
      </c>
      <c r="R28" s="96">
        <f t="shared" si="15"/>
        <v>0.57670812500000002</v>
      </c>
      <c r="S28" s="96">
        <f t="shared" si="16"/>
        <v>0.57866074218750008</v>
      </c>
      <c r="T28" s="96">
        <f t="shared" si="17"/>
        <v>0.58038363970588236</v>
      </c>
      <c r="U28" s="96">
        <f t="shared" si="18"/>
        <v>0.57065677083333333</v>
      </c>
      <c r="V28" s="96">
        <f t="shared" si="19"/>
        <v>0.57261957236842109</v>
      </c>
      <c r="W28" s="96">
        <f t="shared" si="20"/>
        <v>0.57438609375000005</v>
      </c>
      <c r="X28" s="96"/>
      <c r="Y28" s="65"/>
      <c r="AA28" s="83"/>
      <c r="AT28" s="4"/>
      <c r="AU28" s="14">
        <f t="shared" si="163"/>
        <v>42</v>
      </c>
      <c r="AV28" s="12" t="str">
        <f t="shared" si="22"/>
        <v>(1050)</v>
      </c>
      <c r="AW28" s="19"/>
      <c r="AX28" s="20">
        <f t="shared" si="23"/>
        <v>0.94290625000000006</v>
      </c>
      <c r="AY28" s="21" t="str">
        <f t="shared" si="24"/>
        <v>(0.09)</v>
      </c>
      <c r="AZ28" s="22">
        <v>2</v>
      </c>
      <c r="BA28" s="22">
        <f t="shared" si="25"/>
        <v>3.5</v>
      </c>
      <c r="BB28" s="22">
        <v>0</v>
      </c>
      <c r="BC28" s="22">
        <f t="shared" si="26"/>
        <v>0</v>
      </c>
      <c r="BD28" s="22">
        <v>0</v>
      </c>
      <c r="BE28" s="22">
        <f t="shared" si="27"/>
        <v>0</v>
      </c>
      <c r="BF28" s="22">
        <f t="shared" si="28"/>
        <v>3.5</v>
      </c>
      <c r="BG28" s="23">
        <f t="shared" si="29"/>
        <v>5.5</v>
      </c>
      <c r="BH28" s="373">
        <f t="shared" si="30"/>
        <v>1.45721875</v>
      </c>
      <c r="BI28" s="374" t="str">
        <f t="shared" si="31"/>
        <v>(0.14)</v>
      </c>
      <c r="BJ28" s="375">
        <v>2</v>
      </c>
      <c r="BK28" s="375">
        <f t="shared" si="32"/>
        <v>3.5</v>
      </c>
      <c r="BL28" s="375">
        <v>0</v>
      </c>
      <c r="BM28" s="375">
        <f t="shared" si="33"/>
        <v>0</v>
      </c>
      <c r="BN28" s="375">
        <v>0</v>
      </c>
      <c r="BO28" s="375">
        <f t="shared" si="34"/>
        <v>0</v>
      </c>
      <c r="BP28" s="375">
        <f t="shared" si="35"/>
        <v>3.5</v>
      </c>
      <c r="BQ28" s="376">
        <f t="shared" si="36"/>
        <v>8.5</v>
      </c>
      <c r="BR28" s="373">
        <f t="shared" si="37"/>
        <v>2.4858437499999999</v>
      </c>
      <c r="BS28" s="374" t="str">
        <f t="shared" si="38"/>
        <v>(0.23)</v>
      </c>
      <c r="BT28" s="375">
        <v>2</v>
      </c>
      <c r="BU28" s="375">
        <f t="shared" si="39"/>
        <v>3.5</v>
      </c>
      <c r="BV28" s="375">
        <v>0</v>
      </c>
      <c r="BW28" s="375">
        <f t="shared" si="40"/>
        <v>0</v>
      </c>
      <c r="BX28" s="375">
        <v>0</v>
      </c>
      <c r="BY28" s="375">
        <f t="shared" si="41"/>
        <v>0</v>
      </c>
      <c r="BZ28" s="375">
        <f t="shared" si="42"/>
        <v>3.5</v>
      </c>
      <c r="CA28" s="376">
        <f t="shared" si="43"/>
        <v>14.5</v>
      </c>
      <c r="CB28" s="373">
        <f t="shared" si="44"/>
        <v>3.5144687500000003</v>
      </c>
      <c r="CC28" s="374" t="str">
        <f t="shared" si="45"/>
        <v>(0.33)</v>
      </c>
      <c r="CD28" s="375">
        <v>2</v>
      </c>
      <c r="CE28" s="375">
        <f t="shared" si="46"/>
        <v>3.5</v>
      </c>
      <c r="CF28" s="375">
        <v>0</v>
      </c>
      <c r="CG28" s="375">
        <f t="shared" si="47"/>
        <v>0</v>
      </c>
      <c r="CH28" s="375">
        <v>0</v>
      </c>
      <c r="CI28" s="375">
        <f t="shared" si="48"/>
        <v>0</v>
      </c>
      <c r="CJ28" s="375">
        <f t="shared" si="49"/>
        <v>3.5</v>
      </c>
      <c r="CK28" s="376">
        <f t="shared" si="50"/>
        <v>20.5</v>
      </c>
      <c r="CL28" s="373">
        <f t="shared" si="51"/>
        <v>4.5430937500000006</v>
      </c>
      <c r="CM28" s="374" t="str">
        <f t="shared" si="52"/>
        <v>(0.42)</v>
      </c>
      <c r="CN28" s="375">
        <v>2</v>
      </c>
      <c r="CO28" s="375">
        <f t="shared" si="53"/>
        <v>3.5</v>
      </c>
      <c r="CP28" s="375">
        <v>0</v>
      </c>
      <c r="CQ28" s="375">
        <f t="shared" si="54"/>
        <v>0</v>
      </c>
      <c r="CR28" s="375">
        <v>0</v>
      </c>
      <c r="CS28" s="375">
        <f t="shared" si="55"/>
        <v>0</v>
      </c>
      <c r="CT28" s="375">
        <f t="shared" si="56"/>
        <v>3.5</v>
      </c>
      <c r="CU28" s="376">
        <f t="shared" si="57"/>
        <v>26.5</v>
      </c>
      <c r="CV28" s="373">
        <f t="shared" si="58"/>
        <v>5.5717187499999996</v>
      </c>
      <c r="CW28" s="374" t="str">
        <f t="shared" si="59"/>
        <v>(0.52)</v>
      </c>
      <c r="CX28" s="375">
        <v>2</v>
      </c>
      <c r="CY28" s="375">
        <f t="shared" si="60"/>
        <v>3.5</v>
      </c>
      <c r="CZ28" s="375">
        <v>0</v>
      </c>
      <c r="DA28" s="375">
        <f t="shared" si="61"/>
        <v>0</v>
      </c>
      <c r="DB28" s="375">
        <v>0</v>
      </c>
      <c r="DC28" s="375">
        <f t="shared" si="62"/>
        <v>0</v>
      </c>
      <c r="DD28" s="375">
        <f t="shared" si="63"/>
        <v>3.5</v>
      </c>
      <c r="DE28" s="376">
        <f t="shared" si="64"/>
        <v>32.5</v>
      </c>
      <c r="DF28" s="373">
        <f t="shared" si="65"/>
        <v>6.6003437500000004</v>
      </c>
      <c r="DG28" s="374" t="str">
        <f t="shared" si="66"/>
        <v>(0.61)</v>
      </c>
      <c r="DH28" s="375">
        <v>2</v>
      </c>
      <c r="DI28" s="375">
        <f t="shared" si="67"/>
        <v>3.5</v>
      </c>
      <c r="DJ28" s="375">
        <v>0</v>
      </c>
      <c r="DK28" s="375">
        <f t="shared" si="68"/>
        <v>0</v>
      </c>
      <c r="DL28" s="375">
        <v>0</v>
      </c>
      <c r="DM28" s="375">
        <f t="shared" si="69"/>
        <v>0</v>
      </c>
      <c r="DN28" s="375">
        <f t="shared" si="70"/>
        <v>3.5</v>
      </c>
      <c r="DO28" s="376">
        <f t="shared" si="71"/>
        <v>38.5</v>
      </c>
      <c r="DP28" s="373">
        <f t="shared" si="72"/>
        <v>7.6289687500000003</v>
      </c>
      <c r="DQ28" s="374" t="str">
        <f t="shared" si="73"/>
        <v>(0.71)</v>
      </c>
      <c r="DR28" s="375">
        <v>2</v>
      </c>
      <c r="DS28" s="375">
        <f t="shared" si="74"/>
        <v>3.5</v>
      </c>
      <c r="DT28" s="375">
        <v>0</v>
      </c>
      <c r="DU28" s="375">
        <f t="shared" si="75"/>
        <v>0</v>
      </c>
      <c r="DV28" s="375">
        <v>0</v>
      </c>
      <c r="DW28" s="375">
        <f t="shared" si="76"/>
        <v>0</v>
      </c>
      <c r="DX28" s="375">
        <f t="shared" si="77"/>
        <v>3.5</v>
      </c>
      <c r="DY28" s="376">
        <f t="shared" si="78"/>
        <v>44.5</v>
      </c>
      <c r="DZ28" s="373">
        <f t="shared" si="79"/>
        <v>8.4861562500000005</v>
      </c>
      <c r="EA28" s="374" t="str">
        <f t="shared" si="80"/>
        <v>(0.79)</v>
      </c>
      <c r="EB28" s="375">
        <v>2</v>
      </c>
      <c r="EC28" s="375">
        <f t="shared" si="81"/>
        <v>3.5</v>
      </c>
      <c r="ED28" s="375">
        <v>0</v>
      </c>
      <c r="EE28" s="375">
        <f t="shared" si="82"/>
        <v>0</v>
      </c>
      <c r="EF28" s="375">
        <v>1</v>
      </c>
      <c r="EG28" s="375">
        <f t="shared" si="83"/>
        <v>1</v>
      </c>
      <c r="EH28" s="375">
        <f t="shared" si="84"/>
        <v>4.5</v>
      </c>
      <c r="EI28" s="376">
        <f t="shared" si="85"/>
        <v>49.5</v>
      </c>
      <c r="EJ28" s="373">
        <f t="shared" si="86"/>
        <v>9.5147812500000004</v>
      </c>
      <c r="EK28" s="374" t="str">
        <f t="shared" si="87"/>
        <v>(0.88)</v>
      </c>
      <c r="EL28" s="375">
        <v>2</v>
      </c>
      <c r="EM28" s="375">
        <f t="shared" si="88"/>
        <v>3.5</v>
      </c>
      <c r="EN28" s="375">
        <v>0</v>
      </c>
      <c r="EO28" s="375">
        <f t="shared" si="89"/>
        <v>0</v>
      </c>
      <c r="EP28" s="375">
        <v>1</v>
      </c>
      <c r="EQ28" s="375">
        <f t="shared" si="90"/>
        <v>1</v>
      </c>
      <c r="ER28" s="375">
        <f t="shared" si="91"/>
        <v>4.5</v>
      </c>
      <c r="ES28" s="376">
        <f t="shared" si="92"/>
        <v>55.5</v>
      </c>
      <c r="ET28" s="373">
        <f t="shared" si="93"/>
        <v>10.54340625</v>
      </c>
      <c r="EU28" s="374" t="str">
        <f t="shared" si="94"/>
        <v>(0.98)</v>
      </c>
      <c r="EV28" s="375">
        <v>2</v>
      </c>
      <c r="EW28" s="375">
        <f t="shared" si="95"/>
        <v>3.5</v>
      </c>
      <c r="EX28" s="375">
        <v>0</v>
      </c>
      <c r="EY28" s="375">
        <f t="shared" si="96"/>
        <v>0</v>
      </c>
      <c r="EZ28" s="375">
        <v>1</v>
      </c>
      <c r="FA28" s="375">
        <f t="shared" si="97"/>
        <v>1</v>
      </c>
      <c r="FB28" s="375">
        <f t="shared" si="98"/>
        <v>4.5</v>
      </c>
      <c r="FC28" s="376">
        <f t="shared" si="99"/>
        <v>61.5</v>
      </c>
      <c r="FD28" s="373">
        <f t="shared" si="100"/>
        <v>11.550601562500001</v>
      </c>
      <c r="FE28" s="374" t="str">
        <f t="shared" si="101"/>
        <v>(1.07)</v>
      </c>
      <c r="FF28" s="375">
        <v>2</v>
      </c>
      <c r="FG28" s="375">
        <f t="shared" si="102"/>
        <v>3.5</v>
      </c>
      <c r="FH28" s="375">
        <v>1</v>
      </c>
      <c r="FI28" s="375">
        <f t="shared" si="103"/>
        <v>1.125</v>
      </c>
      <c r="FJ28" s="375">
        <v>0</v>
      </c>
      <c r="FK28" s="375">
        <f t="shared" si="104"/>
        <v>0</v>
      </c>
      <c r="FL28" s="375">
        <f t="shared" si="105"/>
        <v>4.625</v>
      </c>
      <c r="FM28" s="376">
        <f t="shared" si="106"/>
        <v>67.375</v>
      </c>
      <c r="FN28" s="373">
        <f t="shared" si="107"/>
        <v>12.579226562500001</v>
      </c>
      <c r="FO28" s="374" t="str">
        <f t="shared" si="108"/>
        <v>(1.17)</v>
      </c>
      <c r="FP28" s="375">
        <v>2</v>
      </c>
      <c r="FQ28" s="375">
        <f t="shared" si="109"/>
        <v>3.5</v>
      </c>
      <c r="FR28" s="375">
        <v>1</v>
      </c>
      <c r="FS28" s="375">
        <f t="shared" si="110"/>
        <v>1.125</v>
      </c>
      <c r="FT28" s="375">
        <v>0</v>
      </c>
      <c r="FU28" s="375">
        <f t="shared" si="111"/>
        <v>0</v>
      </c>
      <c r="FV28" s="375">
        <f t="shared" si="112"/>
        <v>4.625</v>
      </c>
      <c r="FW28" s="376">
        <f t="shared" si="113"/>
        <v>73.375</v>
      </c>
      <c r="FX28" s="373">
        <f t="shared" si="114"/>
        <v>13.6078515625</v>
      </c>
      <c r="FY28" s="374" t="str">
        <f t="shared" si="115"/>
        <v>(1.26)</v>
      </c>
      <c r="FZ28" s="375">
        <v>2</v>
      </c>
      <c r="GA28" s="375">
        <f t="shared" si="116"/>
        <v>3.5</v>
      </c>
      <c r="GB28" s="375">
        <v>1</v>
      </c>
      <c r="GC28" s="375">
        <f t="shared" si="117"/>
        <v>1.125</v>
      </c>
      <c r="GD28" s="375">
        <v>0</v>
      </c>
      <c r="GE28" s="375">
        <f t="shared" si="118"/>
        <v>0</v>
      </c>
      <c r="GF28" s="375">
        <f t="shared" si="119"/>
        <v>4.625</v>
      </c>
      <c r="GG28" s="376">
        <f t="shared" si="120"/>
        <v>79.375</v>
      </c>
      <c r="GH28" s="373">
        <f t="shared" si="121"/>
        <v>14.6364765625</v>
      </c>
      <c r="GI28" s="374" t="str">
        <f t="shared" si="122"/>
        <v>(1.36)</v>
      </c>
      <c r="GJ28" s="375">
        <v>2</v>
      </c>
      <c r="GK28" s="375">
        <f t="shared" si="123"/>
        <v>3.5</v>
      </c>
      <c r="GL28" s="375">
        <v>1</v>
      </c>
      <c r="GM28" s="375">
        <f t="shared" si="124"/>
        <v>1.125</v>
      </c>
      <c r="GN28" s="375">
        <v>0</v>
      </c>
      <c r="GO28" s="375">
        <f t="shared" si="125"/>
        <v>0</v>
      </c>
      <c r="GP28" s="375">
        <f t="shared" si="126"/>
        <v>4.625</v>
      </c>
      <c r="GQ28" s="376">
        <f t="shared" si="127"/>
        <v>85.375</v>
      </c>
      <c r="GR28" s="373">
        <f t="shared" si="128"/>
        <v>15.6651015625</v>
      </c>
      <c r="GS28" s="374" t="str">
        <f t="shared" si="129"/>
        <v>(1.46)</v>
      </c>
      <c r="GT28" s="375">
        <v>2</v>
      </c>
      <c r="GU28" s="375">
        <f t="shared" si="130"/>
        <v>3.5</v>
      </c>
      <c r="GV28" s="375">
        <v>1</v>
      </c>
      <c r="GW28" s="375">
        <f t="shared" si="131"/>
        <v>1.125</v>
      </c>
      <c r="GX28" s="375">
        <v>0</v>
      </c>
      <c r="GY28" s="375">
        <f t="shared" si="132"/>
        <v>0</v>
      </c>
      <c r="GZ28" s="375">
        <f t="shared" si="133"/>
        <v>4.625</v>
      </c>
      <c r="HA28" s="376">
        <f t="shared" si="134"/>
        <v>91.375</v>
      </c>
      <c r="HB28" s="373">
        <f t="shared" si="135"/>
        <v>16.693726562500004</v>
      </c>
      <c r="HC28" s="374" t="str">
        <f t="shared" si="136"/>
        <v>(1.55)</v>
      </c>
      <c r="HD28" s="375">
        <v>2</v>
      </c>
      <c r="HE28" s="375">
        <f t="shared" si="137"/>
        <v>3.5</v>
      </c>
      <c r="HF28" s="375">
        <v>1</v>
      </c>
      <c r="HG28" s="375">
        <f t="shared" si="138"/>
        <v>1.125</v>
      </c>
      <c r="HH28" s="375">
        <v>0</v>
      </c>
      <c r="HI28" s="375">
        <f t="shared" si="139"/>
        <v>0</v>
      </c>
      <c r="HJ28" s="375">
        <f t="shared" si="140"/>
        <v>4.625</v>
      </c>
      <c r="HK28" s="376">
        <f t="shared" si="141"/>
        <v>97.375</v>
      </c>
      <c r="HL28" s="373">
        <f t="shared" si="142"/>
        <v>17.379476562499999</v>
      </c>
      <c r="HM28" s="374" t="str">
        <f t="shared" si="143"/>
        <v>(1.61)</v>
      </c>
      <c r="HN28" s="375">
        <v>2</v>
      </c>
      <c r="HO28" s="375">
        <f t="shared" si="144"/>
        <v>3.5</v>
      </c>
      <c r="HP28" s="375">
        <v>1</v>
      </c>
      <c r="HQ28" s="375">
        <f t="shared" si="145"/>
        <v>1.125</v>
      </c>
      <c r="HR28" s="375">
        <v>2</v>
      </c>
      <c r="HS28" s="375">
        <f t="shared" si="146"/>
        <v>2</v>
      </c>
      <c r="HT28" s="375">
        <f t="shared" si="147"/>
        <v>6.625</v>
      </c>
      <c r="HU28" s="376">
        <f t="shared" si="148"/>
        <v>101.375</v>
      </c>
      <c r="HV28" s="373">
        <f t="shared" si="149"/>
        <v>18.408101562500001</v>
      </c>
      <c r="HW28" s="374" t="str">
        <f t="shared" si="150"/>
        <v>(1.71)</v>
      </c>
      <c r="HX28" s="375">
        <v>2</v>
      </c>
      <c r="HY28" s="375">
        <f t="shared" si="151"/>
        <v>3.5</v>
      </c>
      <c r="HZ28" s="375">
        <v>1</v>
      </c>
      <c r="IA28" s="375">
        <f t="shared" si="152"/>
        <v>1.125</v>
      </c>
      <c r="IB28" s="375">
        <v>2</v>
      </c>
      <c r="IC28" s="375">
        <f t="shared" si="153"/>
        <v>2</v>
      </c>
      <c r="ID28" s="375">
        <f t="shared" si="154"/>
        <v>6.625</v>
      </c>
      <c r="IE28" s="376">
        <f t="shared" si="155"/>
        <v>107.375</v>
      </c>
      <c r="IF28" s="373">
        <f t="shared" si="156"/>
        <v>19.436726562499999</v>
      </c>
      <c r="IG28" s="374" t="str">
        <f t="shared" si="157"/>
        <v>(1.81)</v>
      </c>
      <c r="IH28" s="22">
        <v>2</v>
      </c>
      <c r="II28" s="22">
        <f t="shared" si="158"/>
        <v>3.5</v>
      </c>
      <c r="IJ28" s="22">
        <v>1</v>
      </c>
      <c r="IK28" s="22">
        <f t="shared" si="159"/>
        <v>1.125</v>
      </c>
      <c r="IL28" s="22">
        <v>2</v>
      </c>
      <c r="IM28" s="22">
        <f t="shared" si="160"/>
        <v>2</v>
      </c>
      <c r="IN28" s="22">
        <f t="shared" si="161"/>
        <v>6.625</v>
      </c>
      <c r="IO28" s="23">
        <f t="shared" si="162"/>
        <v>113.375</v>
      </c>
      <c r="IP28" s="24"/>
      <c r="IQ28" s="25">
        <v>9</v>
      </c>
      <c r="IR28" s="26">
        <v>2.645</v>
      </c>
      <c r="IS28" s="26">
        <v>2.645</v>
      </c>
      <c r="IT28" s="26">
        <v>0.88200000000000001</v>
      </c>
      <c r="IU28" s="26">
        <v>1.75</v>
      </c>
      <c r="IV28" s="26">
        <v>1</v>
      </c>
      <c r="IW28" s="26">
        <v>1.125</v>
      </c>
      <c r="IX28" s="8"/>
    </row>
    <row r="29" spans="2:258" ht="15.75" thickBot="1" x14ac:dyDescent="0.3">
      <c r="B29" s="103">
        <f t="shared" si="21"/>
        <v>66</v>
      </c>
      <c r="C29" s="221">
        <v>12</v>
      </c>
      <c r="D29" s="98">
        <f t="shared" si="1"/>
        <v>0.37552777777777779</v>
      </c>
      <c r="E29" s="96">
        <f t="shared" si="2"/>
        <v>0.43527083333333338</v>
      </c>
      <c r="F29" s="96">
        <f t="shared" si="3"/>
        <v>0.49501388888888892</v>
      </c>
      <c r="G29" s="96">
        <f t="shared" si="4"/>
        <v>0.52488541666666666</v>
      </c>
      <c r="H29" s="96">
        <f t="shared" si="5"/>
        <v>0.54280833333333345</v>
      </c>
      <c r="I29" s="96">
        <f t="shared" si="6"/>
        <v>0.55475694444444434</v>
      </c>
      <c r="J29" s="96">
        <f t="shared" si="7"/>
        <v>0.56329166666666663</v>
      </c>
      <c r="K29" s="96">
        <f t="shared" si="8"/>
        <v>0.5696927083333333</v>
      </c>
      <c r="L29" s="96">
        <f t="shared" si="9"/>
        <v>0.56329166666666663</v>
      </c>
      <c r="M29" s="96">
        <f t="shared" si="10"/>
        <v>0.56841249999999999</v>
      </c>
      <c r="N29" s="96">
        <f t="shared" si="11"/>
        <v>0.57260227272727271</v>
      </c>
      <c r="O29" s="96">
        <f t="shared" si="12"/>
        <v>0.57502690972222226</v>
      </c>
      <c r="P29" s="96">
        <f t="shared" si="13"/>
        <v>0.5780633012820513</v>
      </c>
      <c r="Q29" s="96">
        <f t="shared" si="14"/>
        <v>0.58066592261904759</v>
      </c>
      <c r="R29" s="96">
        <f t="shared" si="15"/>
        <v>0.58292152777777773</v>
      </c>
      <c r="S29" s="96">
        <f t="shared" si="16"/>
        <v>0.5848951822916667</v>
      </c>
      <c r="T29" s="96">
        <f t="shared" si="17"/>
        <v>0.58663664215686273</v>
      </c>
      <c r="U29" s="96">
        <f t="shared" si="18"/>
        <v>0.57680497685185184</v>
      </c>
      <c r="V29" s="96">
        <f t="shared" si="19"/>
        <v>0.57878892543859661</v>
      </c>
      <c r="W29" s="96">
        <f t="shared" si="20"/>
        <v>0.58057447916666671</v>
      </c>
      <c r="X29" s="96"/>
      <c r="Y29" s="65"/>
      <c r="AA29" s="83"/>
      <c r="AT29" s="4"/>
      <c r="AU29" s="14">
        <f t="shared" si="163"/>
        <v>48</v>
      </c>
      <c r="AV29" s="12" t="str">
        <f t="shared" si="22"/>
        <v>(1200)</v>
      </c>
      <c r="AW29" s="19"/>
      <c r="AX29" s="20">
        <f t="shared" si="23"/>
        <v>1.0901458333333334</v>
      </c>
      <c r="AY29" s="21" t="str">
        <f t="shared" si="24"/>
        <v>(0.10)</v>
      </c>
      <c r="AZ29" s="22">
        <v>2</v>
      </c>
      <c r="BA29" s="22">
        <f t="shared" si="25"/>
        <v>3.5</v>
      </c>
      <c r="BB29" s="22">
        <v>0</v>
      </c>
      <c r="BC29" s="22">
        <f t="shared" si="26"/>
        <v>0</v>
      </c>
      <c r="BD29" s="22">
        <v>0</v>
      </c>
      <c r="BE29" s="22">
        <f t="shared" si="27"/>
        <v>0</v>
      </c>
      <c r="BF29" s="22">
        <f t="shared" si="28"/>
        <v>3.5</v>
      </c>
      <c r="BG29" s="23">
        <f t="shared" si="29"/>
        <v>5.5</v>
      </c>
      <c r="BH29" s="373">
        <f t="shared" si="30"/>
        <v>1.6847708333333331</v>
      </c>
      <c r="BI29" s="374" t="str">
        <f t="shared" si="31"/>
        <v>(0.16)</v>
      </c>
      <c r="BJ29" s="375">
        <v>2</v>
      </c>
      <c r="BK29" s="375">
        <f t="shared" si="32"/>
        <v>3.5</v>
      </c>
      <c r="BL29" s="375">
        <v>0</v>
      </c>
      <c r="BM29" s="375">
        <f t="shared" si="33"/>
        <v>0</v>
      </c>
      <c r="BN29" s="375">
        <v>0</v>
      </c>
      <c r="BO29" s="375">
        <f t="shared" si="34"/>
        <v>0</v>
      </c>
      <c r="BP29" s="375">
        <f t="shared" si="35"/>
        <v>3.5</v>
      </c>
      <c r="BQ29" s="376">
        <f t="shared" si="36"/>
        <v>8.5</v>
      </c>
      <c r="BR29" s="373">
        <f t="shared" si="37"/>
        <v>2.8740208333333332</v>
      </c>
      <c r="BS29" s="374" t="str">
        <f t="shared" si="38"/>
        <v>(0.27)</v>
      </c>
      <c r="BT29" s="375">
        <v>2</v>
      </c>
      <c r="BU29" s="375">
        <f t="shared" si="39"/>
        <v>3.5</v>
      </c>
      <c r="BV29" s="375">
        <v>0</v>
      </c>
      <c r="BW29" s="375">
        <f t="shared" si="40"/>
        <v>0</v>
      </c>
      <c r="BX29" s="375">
        <v>0</v>
      </c>
      <c r="BY29" s="375">
        <f t="shared" si="41"/>
        <v>0</v>
      </c>
      <c r="BZ29" s="375">
        <f t="shared" si="42"/>
        <v>3.5</v>
      </c>
      <c r="CA29" s="376">
        <f t="shared" si="43"/>
        <v>14.5</v>
      </c>
      <c r="CB29" s="373">
        <f t="shared" si="44"/>
        <v>4.0632708333333332</v>
      </c>
      <c r="CC29" s="374" t="str">
        <f t="shared" si="45"/>
        <v>(0.38)</v>
      </c>
      <c r="CD29" s="375">
        <v>2</v>
      </c>
      <c r="CE29" s="375">
        <f t="shared" si="46"/>
        <v>3.5</v>
      </c>
      <c r="CF29" s="375">
        <v>0</v>
      </c>
      <c r="CG29" s="375">
        <f t="shared" si="47"/>
        <v>0</v>
      </c>
      <c r="CH29" s="375">
        <v>0</v>
      </c>
      <c r="CI29" s="375">
        <f t="shared" si="48"/>
        <v>0</v>
      </c>
      <c r="CJ29" s="375">
        <f t="shared" si="49"/>
        <v>3.5</v>
      </c>
      <c r="CK29" s="376">
        <f t="shared" si="50"/>
        <v>20.5</v>
      </c>
      <c r="CL29" s="373">
        <f t="shared" si="51"/>
        <v>5.2525208333333326</v>
      </c>
      <c r="CM29" s="374" t="str">
        <f t="shared" si="52"/>
        <v>(0.49)</v>
      </c>
      <c r="CN29" s="375">
        <v>2</v>
      </c>
      <c r="CO29" s="375">
        <f t="shared" si="53"/>
        <v>3.5</v>
      </c>
      <c r="CP29" s="375">
        <v>0</v>
      </c>
      <c r="CQ29" s="375">
        <f t="shared" si="54"/>
        <v>0</v>
      </c>
      <c r="CR29" s="375">
        <v>0</v>
      </c>
      <c r="CS29" s="375">
        <f t="shared" si="55"/>
        <v>0</v>
      </c>
      <c r="CT29" s="375">
        <f t="shared" si="56"/>
        <v>3.5</v>
      </c>
      <c r="CU29" s="376">
        <f t="shared" si="57"/>
        <v>26.5</v>
      </c>
      <c r="CV29" s="373">
        <f t="shared" si="58"/>
        <v>6.441770833333333</v>
      </c>
      <c r="CW29" s="374" t="str">
        <f t="shared" si="59"/>
        <v>(0.6)</v>
      </c>
      <c r="CX29" s="375">
        <v>2</v>
      </c>
      <c r="CY29" s="375">
        <f t="shared" si="60"/>
        <v>3.5</v>
      </c>
      <c r="CZ29" s="375">
        <v>0</v>
      </c>
      <c r="DA29" s="375">
        <f t="shared" si="61"/>
        <v>0</v>
      </c>
      <c r="DB29" s="375">
        <v>0</v>
      </c>
      <c r="DC29" s="375">
        <f t="shared" si="62"/>
        <v>0</v>
      </c>
      <c r="DD29" s="375">
        <f t="shared" si="63"/>
        <v>3.5</v>
      </c>
      <c r="DE29" s="376">
        <f t="shared" si="64"/>
        <v>32.5</v>
      </c>
      <c r="DF29" s="373">
        <f t="shared" si="65"/>
        <v>7.6310208333333334</v>
      </c>
      <c r="DG29" s="374" t="str">
        <f t="shared" si="66"/>
        <v>(0.71)</v>
      </c>
      <c r="DH29" s="375">
        <v>2</v>
      </c>
      <c r="DI29" s="375">
        <f t="shared" si="67"/>
        <v>3.5</v>
      </c>
      <c r="DJ29" s="375">
        <v>0</v>
      </c>
      <c r="DK29" s="375">
        <f t="shared" si="68"/>
        <v>0</v>
      </c>
      <c r="DL29" s="375">
        <v>0</v>
      </c>
      <c r="DM29" s="375">
        <f t="shared" si="69"/>
        <v>0</v>
      </c>
      <c r="DN29" s="375">
        <f t="shared" si="70"/>
        <v>3.5</v>
      </c>
      <c r="DO29" s="376">
        <f t="shared" si="71"/>
        <v>38.5</v>
      </c>
      <c r="DP29" s="377">
        <f t="shared" si="72"/>
        <v>8.820270833333332</v>
      </c>
      <c r="DQ29" s="378" t="str">
        <f t="shared" si="73"/>
        <v>(0.82)</v>
      </c>
      <c r="DR29" s="375">
        <v>2</v>
      </c>
      <c r="DS29" s="375">
        <f t="shared" si="74"/>
        <v>3.5</v>
      </c>
      <c r="DT29" s="375">
        <v>0</v>
      </c>
      <c r="DU29" s="375">
        <f t="shared" si="75"/>
        <v>0</v>
      </c>
      <c r="DV29" s="375">
        <v>0</v>
      </c>
      <c r="DW29" s="375">
        <f t="shared" si="76"/>
        <v>0</v>
      </c>
      <c r="DX29" s="375">
        <f t="shared" si="77"/>
        <v>3.5</v>
      </c>
      <c r="DY29" s="376">
        <f t="shared" si="78"/>
        <v>44.5</v>
      </c>
      <c r="DZ29" s="373">
        <f t="shared" si="79"/>
        <v>9.8113124999999997</v>
      </c>
      <c r="EA29" s="374" t="str">
        <f t="shared" si="80"/>
        <v>(0.91)</v>
      </c>
      <c r="EB29" s="375">
        <v>2</v>
      </c>
      <c r="EC29" s="375">
        <f t="shared" si="81"/>
        <v>3.5</v>
      </c>
      <c r="ED29" s="375">
        <v>0</v>
      </c>
      <c r="EE29" s="375">
        <f t="shared" si="82"/>
        <v>0</v>
      </c>
      <c r="EF29" s="375">
        <v>1</v>
      </c>
      <c r="EG29" s="375">
        <f t="shared" si="83"/>
        <v>1</v>
      </c>
      <c r="EH29" s="375">
        <f t="shared" si="84"/>
        <v>4.5</v>
      </c>
      <c r="EI29" s="376">
        <f t="shared" si="85"/>
        <v>49.5</v>
      </c>
      <c r="EJ29" s="373">
        <f t="shared" si="86"/>
        <v>11.000562499999999</v>
      </c>
      <c r="EK29" s="374" t="str">
        <f t="shared" si="87"/>
        <v>(1.02)</v>
      </c>
      <c r="EL29" s="375">
        <v>2</v>
      </c>
      <c r="EM29" s="375">
        <f t="shared" si="88"/>
        <v>3.5</v>
      </c>
      <c r="EN29" s="375">
        <v>0</v>
      </c>
      <c r="EO29" s="375">
        <f t="shared" si="89"/>
        <v>0</v>
      </c>
      <c r="EP29" s="375">
        <v>1</v>
      </c>
      <c r="EQ29" s="375">
        <f t="shared" si="90"/>
        <v>1</v>
      </c>
      <c r="ER29" s="375">
        <f t="shared" si="91"/>
        <v>4.5</v>
      </c>
      <c r="ES29" s="376">
        <f t="shared" si="92"/>
        <v>55.5</v>
      </c>
      <c r="ET29" s="373">
        <f t="shared" si="93"/>
        <v>12.189812499999999</v>
      </c>
      <c r="EU29" s="374" t="str">
        <f t="shared" si="94"/>
        <v>(1.13)</v>
      </c>
      <c r="EV29" s="375">
        <v>2</v>
      </c>
      <c r="EW29" s="375">
        <f t="shared" si="95"/>
        <v>3.5</v>
      </c>
      <c r="EX29" s="375">
        <v>0</v>
      </c>
      <c r="EY29" s="375">
        <f t="shared" si="96"/>
        <v>0</v>
      </c>
      <c r="EZ29" s="375">
        <v>1</v>
      </c>
      <c r="FA29" s="375">
        <f t="shared" si="97"/>
        <v>1</v>
      </c>
      <c r="FB29" s="375">
        <f t="shared" si="98"/>
        <v>4.5</v>
      </c>
      <c r="FC29" s="376">
        <f t="shared" si="99"/>
        <v>61.5</v>
      </c>
      <c r="FD29" s="373">
        <f t="shared" si="100"/>
        <v>13.354286458333332</v>
      </c>
      <c r="FE29" s="374" t="str">
        <f t="shared" si="101"/>
        <v>(1.24)</v>
      </c>
      <c r="FF29" s="375">
        <v>2</v>
      </c>
      <c r="FG29" s="375">
        <f t="shared" si="102"/>
        <v>3.5</v>
      </c>
      <c r="FH29" s="375">
        <v>1</v>
      </c>
      <c r="FI29" s="375">
        <f t="shared" si="103"/>
        <v>1.125</v>
      </c>
      <c r="FJ29" s="375">
        <v>0</v>
      </c>
      <c r="FK29" s="375">
        <f t="shared" si="104"/>
        <v>0</v>
      </c>
      <c r="FL29" s="375">
        <f t="shared" si="105"/>
        <v>4.625</v>
      </c>
      <c r="FM29" s="376">
        <f t="shared" si="106"/>
        <v>67.375</v>
      </c>
      <c r="FN29" s="373">
        <f t="shared" si="107"/>
        <v>14.543536458333332</v>
      </c>
      <c r="FO29" s="374" t="str">
        <f t="shared" si="108"/>
        <v>(1.35)</v>
      </c>
      <c r="FP29" s="375">
        <v>2</v>
      </c>
      <c r="FQ29" s="375">
        <f t="shared" si="109"/>
        <v>3.5</v>
      </c>
      <c r="FR29" s="375">
        <v>1</v>
      </c>
      <c r="FS29" s="375">
        <f t="shared" si="110"/>
        <v>1.125</v>
      </c>
      <c r="FT29" s="375">
        <v>0</v>
      </c>
      <c r="FU29" s="375">
        <f t="shared" si="111"/>
        <v>0</v>
      </c>
      <c r="FV29" s="375">
        <f t="shared" si="112"/>
        <v>4.625</v>
      </c>
      <c r="FW29" s="376">
        <f t="shared" si="113"/>
        <v>73.375</v>
      </c>
      <c r="FX29" s="373">
        <f t="shared" si="114"/>
        <v>15.732786458333331</v>
      </c>
      <c r="FY29" s="374" t="str">
        <f t="shared" si="115"/>
        <v>(1.46)</v>
      </c>
      <c r="FZ29" s="375">
        <v>2</v>
      </c>
      <c r="GA29" s="375">
        <f t="shared" si="116"/>
        <v>3.5</v>
      </c>
      <c r="GB29" s="375">
        <v>1</v>
      </c>
      <c r="GC29" s="375">
        <f t="shared" si="117"/>
        <v>1.125</v>
      </c>
      <c r="GD29" s="375">
        <v>0</v>
      </c>
      <c r="GE29" s="375">
        <f t="shared" si="118"/>
        <v>0</v>
      </c>
      <c r="GF29" s="375">
        <f t="shared" si="119"/>
        <v>4.625</v>
      </c>
      <c r="GG29" s="376">
        <f t="shared" si="120"/>
        <v>79.375</v>
      </c>
      <c r="GH29" s="373">
        <f t="shared" si="121"/>
        <v>16.922036458333331</v>
      </c>
      <c r="GI29" s="374" t="str">
        <f t="shared" si="122"/>
        <v>(1.57)</v>
      </c>
      <c r="GJ29" s="375">
        <v>2</v>
      </c>
      <c r="GK29" s="375">
        <f t="shared" si="123"/>
        <v>3.5</v>
      </c>
      <c r="GL29" s="375">
        <v>1</v>
      </c>
      <c r="GM29" s="375">
        <f t="shared" si="124"/>
        <v>1.125</v>
      </c>
      <c r="GN29" s="375">
        <v>0</v>
      </c>
      <c r="GO29" s="375">
        <f t="shared" si="125"/>
        <v>0</v>
      </c>
      <c r="GP29" s="375">
        <f t="shared" si="126"/>
        <v>4.625</v>
      </c>
      <c r="GQ29" s="376">
        <f t="shared" si="127"/>
        <v>85.375</v>
      </c>
      <c r="GR29" s="373">
        <f t="shared" si="128"/>
        <v>18.111286458333332</v>
      </c>
      <c r="GS29" s="374" t="str">
        <f t="shared" si="129"/>
        <v>(1.68)</v>
      </c>
      <c r="GT29" s="375">
        <v>2</v>
      </c>
      <c r="GU29" s="375">
        <f t="shared" si="130"/>
        <v>3.5</v>
      </c>
      <c r="GV29" s="375">
        <v>1</v>
      </c>
      <c r="GW29" s="375">
        <f t="shared" si="131"/>
        <v>1.125</v>
      </c>
      <c r="GX29" s="375">
        <v>0</v>
      </c>
      <c r="GY29" s="375">
        <f t="shared" si="132"/>
        <v>0</v>
      </c>
      <c r="GZ29" s="375">
        <f t="shared" si="133"/>
        <v>4.625</v>
      </c>
      <c r="HA29" s="376">
        <f t="shared" si="134"/>
        <v>91.375</v>
      </c>
      <c r="HB29" s="373">
        <f t="shared" si="135"/>
        <v>19.30053645833333</v>
      </c>
      <c r="HC29" s="374" t="str">
        <f t="shared" si="136"/>
        <v>(1.79)</v>
      </c>
      <c r="HD29" s="375">
        <v>2</v>
      </c>
      <c r="HE29" s="375">
        <f t="shared" si="137"/>
        <v>3.5</v>
      </c>
      <c r="HF29" s="375">
        <v>1</v>
      </c>
      <c r="HG29" s="375">
        <f t="shared" si="138"/>
        <v>1.125</v>
      </c>
      <c r="HH29" s="375">
        <v>0</v>
      </c>
      <c r="HI29" s="375">
        <f t="shared" si="139"/>
        <v>0</v>
      </c>
      <c r="HJ29" s="375">
        <f t="shared" si="140"/>
        <v>4.625</v>
      </c>
      <c r="HK29" s="376">
        <f t="shared" si="141"/>
        <v>97.375</v>
      </c>
      <c r="HL29" s="373">
        <f t="shared" si="142"/>
        <v>20.093369791666664</v>
      </c>
      <c r="HM29" s="374" t="str">
        <f t="shared" si="143"/>
        <v>(1.87)</v>
      </c>
      <c r="HN29" s="375">
        <v>2</v>
      </c>
      <c r="HO29" s="375">
        <f t="shared" si="144"/>
        <v>3.5</v>
      </c>
      <c r="HP29" s="375">
        <v>1</v>
      </c>
      <c r="HQ29" s="375">
        <f t="shared" si="145"/>
        <v>1.125</v>
      </c>
      <c r="HR29" s="375">
        <v>2</v>
      </c>
      <c r="HS29" s="375">
        <f t="shared" si="146"/>
        <v>2</v>
      </c>
      <c r="HT29" s="375">
        <f t="shared" si="147"/>
        <v>6.625</v>
      </c>
      <c r="HU29" s="376">
        <f t="shared" si="148"/>
        <v>101.375</v>
      </c>
      <c r="HV29" s="373">
        <f t="shared" si="149"/>
        <v>21.282619791666665</v>
      </c>
      <c r="HW29" s="374" t="str">
        <f t="shared" si="150"/>
        <v>(1.98)</v>
      </c>
      <c r="HX29" s="375">
        <v>2</v>
      </c>
      <c r="HY29" s="375">
        <f t="shared" si="151"/>
        <v>3.5</v>
      </c>
      <c r="HZ29" s="375">
        <v>1</v>
      </c>
      <c r="IA29" s="375">
        <f t="shared" si="152"/>
        <v>1.125</v>
      </c>
      <c r="IB29" s="375">
        <v>2</v>
      </c>
      <c r="IC29" s="375">
        <f t="shared" si="153"/>
        <v>2</v>
      </c>
      <c r="ID29" s="375">
        <f t="shared" si="154"/>
        <v>6.625</v>
      </c>
      <c r="IE29" s="376">
        <f t="shared" si="155"/>
        <v>107.375</v>
      </c>
      <c r="IF29" s="373">
        <f t="shared" si="156"/>
        <v>22.471869791666663</v>
      </c>
      <c r="IG29" s="374" t="str">
        <f t="shared" si="157"/>
        <v>(2.09)</v>
      </c>
      <c r="IH29" s="22">
        <v>2</v>
      </c>
      <c r="II29" s="22">
        <f t="shared" si="158"/>
        <v>3.5</v>
      </c>
      <c r="IJ29" s="22">
        <v>1</v>
      </c>
      <c r="IK29" s="22">
        <f t="shared" si="159"/>
        <v>1.125</v>
      </c>
      <c r="IL29" s="22">
        <v>2</v>
      </c>
      <c r="IM29" s="22">
        <f t="shared" si="160"/>
        <v>2</v>
      </c>
      <c r="IN29" s="22">
        <f t="shared" si="161"/>
        <v>6.625</v>
      </c>
      <c r="IO29" s="23">
        <f t="shared" si="162"/>
        <v>113.375</v>
      </c>
      <c r="IP29" s="24"/>
      <c r="IQ29" s="25">
        <v>10</v>
      </c>
      <c r="IR29" s="26">
        <v>2.645</v>
      </c>
      <c r="IS29" s="26">
        <v>2.645</v>
      </c>
      <c r="IT29" s="26">
        <v>2.0920000000000001</v>
      </c>
      <c r="IU29" s="26">
        <v>1.75</v>
      </c>
      <c r="IV29" s="26">
        <v>1</v>
      </c>
      <c r="IW29" s="26">
        <v>1.125</v>
      </c>
      <c r="IX29" s="8"/>
    </row>
    <row r="30" spans="2:258" ht="15.75" thickBot="1" x14ac:dyDescent="0.3">
      <c r="B30" s="103">
        <f t="shared" si="21"/>
        <v>72</v>
      </c>
      <c r="C30" s="226">
        <v>13</v>
      </c>
      <c r="D30" s="98">
        <f t="shared" si="1"/>
        <v>0.37695370370370368</v>
      </c>
      <c r="E30" s="96">
        <f t="shared" si="2"/>
        <v>0.43692361111111117</v>
      </c>
      <c r="F30" s="96">
        <f t="shared" si="3"/>
        <v>0.49689351851851843</v>
      </c>
      <c r="G30" s="96">
        <f t="shared" si="4"/>
        <v>0.52687847222222228</v>
      </c>
      <c r="H30" s="96">
        <f t="shared" si="5"/>
        <v>0.54486944444444441</v>
      </c>
      <c r="I30" s="96">
        <f t="shared" si="6"/>
        <v>0.55686342592592597</v>
      </c>
      <c r="J30" s="96">
        <f t="shared" si="7"/>
        <v>0.56543055555555544</v>
      </c>
      <c r="K30" s="96">
        <f t="shared" si="8"/>
        <v>0.57185590277777776</v>
      </c>
      <c r="L30" s="96">
        <f t="shared" si="9"/>
        <v>0.56543055555555544</v>
      </c>
      <c r="M30" s="96">
        <f t="shared" si="10"/>
        <v>0.57057083333333336</v>
      </c>
      <c r="N30" s="96">
        <f t="shared" si="11"/>
        <v>0.57477651515151507</v>
      </c>
      <c r="O30" s="96">
        <f t="shared" si="12"/>
        <v>0.57721035879629623</v>
      </c>
      <c r="P30" s="96">
        <f t="shared" si="13"/>
        <v>0.58025827991452994</v>
      </c>
      <c r="Q30" s="96">
        <f t="shared" si="14"/>
        <v>0.58287078373015877</v>
      </c>
      <c r="R30" s="96">
        <f t="shared" si="15"/>
        <v>0.58513495370370372</v>
      </c>
      <c r="S30" s="96">
        <f t="shared" si="16"/>
        <v>0.58711610243055556</v>
      </c>
      <c r="T30" s="96">
        <f t="shared" si="17"/>
        <v>0.58886417483660125</v>
      </c>
      <c r="U30" s="96">
        <f t="shared" si="18"/>
        <v>0.57899517746913576</v>
      </c>
      <c r="V30" s="96">
        <f t="shared" si="19"/>
        <v>0.58098665935672511</v>
      </c>
      <c r="W30" s="96">
        <f t="shared" si="20"/>
        <v>0.58277899305555558</v>
      </c>
      <c r="X30" s="96"/>
      <c r="Y30" s="65"/>
      <c r="AA30" s="83"/>
      <c r="AT30" s="4"/>
      <c r="AU30" s="14">
        <f t="shared" si="163"/>
        <v>54</v>
      </c>
      <c r="AV30" s="12" t="str">
        <f t="shared" si="22"/>
        <v>(1350)</v>
      </c>
      <c r="AW30" s="19"/>
      <c r="AX30" s="20">
        <f t="shared" si="23"/>
        <v>1.1449548611111111</v>
      </c>
      <c r="AY30" s="21" t="str">
        <f t="shared" si="24"/>
        <v>(0.11)</v>
      </c>
      <c r="AZ30" s="22">
        <v>2</v>
      </c>
      <c r="BA30" s="22">
        <f t="shared" si="25"/>
        <v>3.5</v>
      </c>
      <c r="BB30" s="22">
        <v>0</v>
      </c>
      <c r="BC30" s="22">
        <f t="shared" si="26"/>
        <v>0</v>
      </c>
      <c r="BD30" s="22">
        <v>0</v>
      </c>
      <c r="BE30" s="22">
        <f t="shared" si="27"/>
        <v>0</v>
      </c>
      <c r="BF30" s="22">
        <f t="shared" si="28"/>
        <v>3.5</v>
      </c>
      <c r="BG30" s="23">
        <f t="shared" si="29"/>
        <v>5.5</v>
      </c>
      <c r="BH30" s="373">
        <f t="shared" si="30"/>
        <v>1.7694756944444443</v>
      </c>
      <c r="BI30" s="374" t="str">
        <f t="shared" si="31"/>
        <v>(0.16)</v>
      </c>
      <c r="BJ30" s="375">
        <v>2</v>
      </c>
      <c r="BK30" s="375">
        <f t="shared" si="32"/>
        <v>3.5</v>
      </c>
      <c r="BL30" s="375">
        <v>0</v>
      </c>
      <c r="BM30" s="375">
        <f t="shared" si="33"/>
        <v>0</v>
      </c>
      <c r="BN30" s="375">
        <v>0</v>
      </c>
      <c r="BO30" s="375">
        <f t="shared" si="34"/>
        <v>0</v>
      </c>
      <c r="BP30" s="375">
        <f t="shared" si="35"/>
        <v>3.5</v>
      </c>
      <c r="BQ30" s="376">
        <f t="shared" si="36"/>
        <v>8.5</v>
      </c>
      <c r="BR30" s="373">
        <f t="shared" si="37"/>
        <v>3.0185173611111109</v>
      </c>
      <c r="BS30" s="374" t="str">
        <f t="shared" si="38"/>
        <v>(0.28)</v>
      </c>
      <c r="BT30" s="375">
        <v>2</v>
      </c>
      <c r="BU30" s="375">
        <f t="shared" si="39"/>
        <v>3.5</v>
      </c>
      <c r="BV30" s="375">
        <v>0</v>
      </c>
      <c r="BW30" s="375">
        <f t="shared" si="40"/>
        <v>0</v>
      </c>
      <c r="BX30" s="375">
        <v>0</v>
      </c>
      <c r="BY30" s="375">
        <f t="shared" si="41"/>
        <v>0</v>
      </c>
      <c r="BZ30" s="375">
        <f t="shared" si="42"/>
        <v>3.5</v>
      </c>
      <c r="CA30" s="376">
        <f t="shared" si="43"/>
        <v>14.5</v>
      </c>
      <c r="CB30" s="373">
        <f t="shared" si="44"/>
        <v>4.2675590277777777</v>
      </c>
      <c r="CC30" s="374" t="str">
        <f t="shared" si="45"/>
        <v>(0.4)</v>
      </c>
      <c r="CD30" s="375">
        <v>2</v>
      </c>
      <c r="CE30" s="375">
        <f t="shared" si="46"/>
        <v>3.5</v>
      </c>
      <c r="CF30" s="375">
        <v>0</v>
      </c>
      <c r="CG30" s="375">
        <f t="shared" si="47"/>
        <v>0</v>
      </c>
      <c r="CH30" s="375">
        <v>0</v>
      </c>
      <c r="CI30" s="375">
        <f t="shared" si="48"/>
        <v>0</v>
      </c>
      <c r="CJ30" s="375">
        <f t="shared" si="49"/>
        <v>3.5</v>
      </c>
      <c r="CK30" s="376">
        <f t="shared" si="50"/>
        <v>20.5</v>
      </c>
      <c r="CL30" s="373">
        <f t="shared" si="51"/>
        <v>5.5166006944444446</v>
      </c>
      <c r="CM30" s="374" t="str">
        <f t="shared" si="52"/>
        <v>(0.51)</v>
      </c>
      <c r="CN30" s="375">
        <v>2</v>
      </c>
      <c r="CO30" s="375">
        <f t="shared" si="53"/>
        <v>3.5</v>
      </c>
      <c r="CP30" s="375">
        <v>0</v>
      </c>
      <c r="CQ30" s="375">
        <f t="shared" si="54"/>
        <v>0</v>
      </c>
      <c r="CR30" s="375">
        <v>0</v>
      </c>
      <c r="CS30" s="375">
        <f t="shared" si="55"/>
        <v>0</v>
      </c>
      <c r="CT30" s="375">
        <f t="shared" si="56"/>
        <v>3.5</v>
      </c>
      <c r="CU30" s="376">
        <f t="shared" si="57"/>
        <v>26.5</v>
      </c>
      <c r="CV30" s="373">
        <f t="shared" si="58"/>
        <v>6.7656423611111114</v>
      </c>
      <c r="CW30" s="374" t="str">
        <f t="shared" si="59"/>
        <v>(0.63)</v>
      </c>
      <c r="CX30" s="375">
        <v>2</v>
      </c>
      <c r="CY30" s="375">
        <f t="shared" si="60"/>
        <v>3.5</v>
      </c>
      <c r="CZ30" s="375">
        <v>0</v>
      </c>
      <c r="DA30" s="375">
        <f t="shared" si="61"/>
        <v>0</v>
      </c>
      <c r="DB30" s="375">
        <v>0</v>
      </c>
      <c r="DC30" s="375">
        <f t="shared" si="62"/>
        <v>0</v>
      </c>
      <c r="DD30" s="375">
        <f t="shared" si="63"/>
        <v>3.5</v>
      </c>
      <c r="DE30" s="376">
        <f t="shared" si="64"/>
        <v>32.5</v>
      </c>
      <c r="DF30" s="373">
        <f t="shared" si="65"/>
        <v>8.0146840277777773</v>
      </c>
      <c r="DG30" s="374" t="str">
        <f t="shared" si="66"/>
        <v>(0.74)</v>
      </c>
      <c r="DH30" s="375">
        <v>2</v>
      </c>
      <c r="DI30" s="375">
        <f t="shared" si="67"/>
        <v>3.5</v>
      </c>
      <c r="DJ30" s="375">
        <v>0</v>
      </c>
      <c r="DK30" s="375">
        <f t="shared" si="68"/>
        <v>0</v>
      </c>
      <c r="DL30" s="375">
        <v>0</v>
      </c>
      <c r="DM30" s="375">
        <f t="shared" si="69"/>
        <v>0</v>
      </c>
      <c r="DN30" s="375">
        <f t="shared" si="70"/>
        <v>3.5</v>
      </c>
      <c r="DO30" s="376">
        <f t="shared" si="71"/>
        <v>38.5</v>
      </c>
      <c r="DP30" s="373">
        <f t="shared" si="72"/>
        <v>9.2637256944444442</v>
      </c>
      <c r="DQ30" s="374" t="str">
        <f t="shared" si="73"/>
        <v>(0.86)</v>
      </c>
      <c r="DR30" s="375">
        <v>2</v>
      </c>
      <c r="DS30" s="375">
        <f t="shared" si="74"/>
        <v>3.5</v>
      </c>
      <c r="DT30" s="375">
        <v>0</v>
      </c>
      <c r="DU30" s="375">
        <f t="shared" si="75"/>
        <v>0</v>
      </c>
      <c r="DV30" s="375">
        <v>0</v>
      </c>
      <c r="DW30" s="375">
        <f t="shared" si="76"/>
        <v>0</v>
      </c>
      <c r="DX30" s="375">
        <f t="shared" si="77"/>
        <v>3.5</v>
      </c>
      <c r="DY30" s="376">
        <f t="shared" si="78"/>
        <v>44.5</v>
      </c>
      <c r="DZ30" s="373">
        <f t="shared" si="79"/>
        <v>10.30459375</v>
      </c>
      <c r="EA30" s="374" t="str">
        <f t="shared" si="80"/>
        <v>(0.96)</v>
      </c>
      <c r="EB30" s="375">
        <v>2</v>
      </c>
      <c r="EC30" s="375">
        <f t="shared" si="81"/>
        <v>3.5</v>
      </c>
      <c r="ED30" s="375">
        <v>0</v>
      </c>
      <c r="EE30" s="375">
        <f t="shared" si="82"/>
        <v>0</v>
      </c>
      <c r="EF30" s="375">
        <v>1</v>
      </c>
      <c r="EG30" s="375">
        <f t="shared" si="83"/>
        <v>1</v>
      </c>
      <c r="EH30" s="375">
        <f t="shared" si="84"/>
        <v>4.5</v>
      </c>
      <c r="EI30" s="376">
        <f t="shared" si="85"/>
        <v>49.5</v>
      </c>
      <c r="EJ30" s="373">
        <f t="shared" si="86"/>
        <v>11.553635416666667</v>
      </c>
      <c r="EK30" s="374" t="str">
        <f t="shared" si="87"/>
        <v>(1.07)</v>
      </c>
      <c r="EL30" s="375">
        <v>2</v>
      </c>
      <c r="EM30" s="375">
        <f t="shared" si="88"/>
        <v>3.5</v>
      </c>
      <c r="EN30" s="375">
        <v>0</v>
      </c>
      <c r="EO30" s="375">
        <f t="shared" si="89"/>
        <v>0</v>
      </c>
      <c r="EP30" s="375">
        <v>1</v>
      </c>
      <c r="EQ30" s="375">
        <f t="shared" si="90"/>
        <v>1</v>
      </c>
      <c r="ER30" s="375">
        <f t="shared" si="91"/>
        <v>4.5</v>
      </c>
      <c r="ES30" s="376">
        <f t="shared" si="92"/>
        <v>55.5</v>
      </c>
      <c r="ET30" s="373">
        <f t="shared" si="93"/>
        <v>12.802677083333332</v>
      </c>
      <c r="EU30" s="374" t="str">
        <f t="shared" si="94"/>
        <v>(1.19)</v>
      </c>
      <c r="EV30" s="375">
        <v>2</v>
      </c>
      <c r="EW30" s="375">
        <f t="shared" si="95"/>
        <v>3.5</v>
      </c>
      <c r="EX30" s="375">
        <v>0</v>
      </c>
      <c r="EY30" s="375">
        <f t="shared" si="96"/>
        <v>0</v>
      </c>
      <c r="EZ30" s="375">
        <v>1</v>
      </c>
      <c r="FA30" s="375">
        <f t="shared" si="97"/>
        <v>1</v>
      </c>
      <c r="FB30" s="375">
        <f t="shared" si="98"/>
        <v>4.5</v>
      </c>
      <c r="FC30" s="376">
        <f t="shared" si="99"/>
        <v>61.5</v>
      </c>
      <c r="FD30" s="373">
        <f t="shared" si="100"/>
        <v>14.025697048611113</v>
      </c>
      <c r="FE30" s="374" t="str">
        <f t="shared" si="101"/>
        <v>(1.30)</v>
      </c>
      <c r="FF30" s="375">
        <v>2</v>
      </c>
      <c r="FG30" s="375">
        <f t="shared" si="102"/>
        <v>3.5</v>
      </c>
      <c r="FH30" s="375">
        <v>1</v>
      </c>
      <c r="FI30" s="375">
        <f t="shared" si="103"/>
        <v>1.125</v>
      </c>
      <c r="FJ30" s="375">
        <v>0</v>
      </c>
      <c r="FK30" s="375">
        <f t="shared" si="104"/>
        <v>0</v>
      </c>
      <c r="FL30" s="375">
        <f t="shared" si="105"/>
        <v>4.625</v>
      </c>
      <c r="FM30" s="376">
        <f t="shared" si="106"/>
        <v>67.375</v>
      </c>
      <c r="FN30" s="373">
        <f t="shared" si="107"/>
        <v>15.274738715277778</v>
      </c>
      <c r="FO30" s="374" t="str">
        <f t="shared" si="108"/>
        <v>(1.42)</v>
      </c>
      <c r="FP30" s="375">
        <v>2</v>
      </c>
      <c r="FQ30" s="375">
        <f t="shared" si="109"/>
        <v>3.5</v>
      </c>
      <c r="FR30" s="375">
        <v>1</v>
      </c>
      <c r="FS30" s="375">
        <f t="shared" si="110"/>
        <v>1.125</v>
      </c>
      <c r="FT30" s="375">
        <v>0</v>
      </c>
      <c r="FU30" s="375">
        <f t="shared" si="111"/>
        <v>0</v>
      </c>
      <c r="FV30" s="375">
        <f t="shared" si="112"/>
        <v>4.625</v>
      </c>
      <c r="FW30" s="376">
        <f t="shared" si="113"/>
        <v>73.375</v>
      </c>
      <c r="FX30" s="373">
        <f t="shared" si="114"/>
        <v>16.523780381944444</v>
      </c>
      <c r="FY30" s="374" t="str">
        <f t="shared" si="115"/>
        <v>(1.54)</v>
      </c>
      <c r="FZ30" s="375">
        <v>2</v>
      </c>
      <c r="GA30" s="375">
        <f t="shared" si="116"/>
        <v>3.5</v>
      </c>
      <c r="GB30" s="375">
        <v>1</v>
      </c>
      <c r="GC30" s="375">
        <f t="shared" si="117"/>
        <v>1.125</v>
      </c>
      <c r="GD30" s="375">
        <v>0</v>
      </c>
      <c r="GE30" s="375">
        <f t="shared" si="118"/>
        <v>0</v>
      </c>
      <c r="GF30" s="375">
        <f t="shared" si="119"/>
        <v>4.625</v>
      </c>
      <c r="GG30" s="376">
        <f t="shared" si="120"/>
        <v>79.375</v>
      </c>
      <c r="GH30" s="373">
        <f t="shared" si="121"/>
        <v>17.772822048611111</v>
      </c>
      <c r="GI30" s="374" t="str">
        <f t="shared" si="122"/>
        <v>(1.65)</v>
      </c>
      <c r="GJ30" s="375">
        <v>2</v>
      </c>
      <c r="GK30" s="375">
        <f t="shared" si="123"/>
        <v>3.5</v>
      </c>
      <c r="GL30" s="375">
        <v>1</v>
      </c>
      <c r="GM30" s="375">
        <f t="shared" si="124"/>
        <v>1.125</v>
      </c>
      <c r="GN30" s="375">
        <v>0</v>
      </c>
      <c r="GO30" s="375">
        <f t="shared" si="125"/>
        <v>0</v>
      </c>
      <c r="GP30" s="375">
        <f t="shared" si="126"/>
        <v>4.625</v>
      </c>
      <c r="GQ30" s="376">
        <f t="shared" si="127"/>
        <v>85.375</v>
      </c>
      <c r="GR30" s="373">
        <f t="shared" si="128"/>
        <v>19.021863715277778</v>
      </c>
      <c r="GS30" s="374" t="str">
        <f t="shared" si="129"/>
        <v>(1.77)</v>
      </c>
      <c r="GT30" s="375">
        <v>2</v>
      </c>
      <c r="GU30" s="375">
        <f t="shared" si="130"/>
        <v>3.5</v>
      </c>
      <c r="GV30" s="375">
        <v>1</v>
      </c>
      <c r="GW30" s="375">
        <f t="shared" si="131"/>
        <v>1.125</v>
      </c>
      <c r="GX30" s="375">
        <v>0</v>
      </c>
      <c r="GY30" s="375">
        <f t="shared" si="132"/>
        <v>0</v>
      </c>
      <c r="GZ30" s="375">
        <f t="shared" si="133"/>
        <v>4.625</v>
      </c>
      <c r="HA30" s="376">
        <f t="shared" si="134"/>
        <v>91.375</v>
      </c>
      <c r="HB30" s="373">
        <f t="shared" si="135"/>
        <v>20.270905381944445</v>
      </c>
      <c r="HC30" s="374" t="str">
        <f t="shared" si="136"/>
        <v>(1.88)</v>
      </c>
      <c r="HD30" s="375">
        <v>2</v>
      </c>
      <c r="HE30" s="375">
        <f t="shared" si="137"/>
        <v>3.5</v>
      </c>
      <c r="HF30" s="375">
        <v>1</v>
      </c>
      <c r="HG30" s="375">
        <f t="shared" si="138"/>
        <v>1.125</v>
      </c>
      <c r="HH30" s="375">
        <v>0</v>
      </c>
      <c r="HI30" s="375">
        <f t="shared" si="139"/>
        <v>0</v>
      </c>
      <c r="HJ30" s="375">
        <f t="shared" si="140"/>
        <v>4.625</v>
      </c>
      <c r="HK30" s="376">
        <f t="shared" si="141"/>
        <v>97.375</v>
      </c>
      <c r="HL30" s="373">
        <f t="shared" si="142"/>
        <v>21.103599826388891</v>
      </c>
      <c r="HM30" s="374" t="str">
        <f t="shared" si="143"/>
        <v>(1.96)</v>
      </c>
      <c r="HN30" s="375">
        <v>2</v>
      </c>
      <c r="HO30" s="375">
        <f t="shared" si="144"/>
        <v>3.5</v>
      </c>
      <c r="HP30" s="375">
        <v>1</v>
      </c>
      <c r="HQ30" s="375">
        <f t="shared" si="145"/>
        <v>1.125</v>
      </c>
      <c r="HR30" s="375">
        <v>2</v>
      </c>
      <c r="HS30" s="375">
        <f t="shared" si="146"/>
        <v>2</v>
      </c>
      <c r="HT30" s="375">
        <f t="shared" si="147"/>
        <v>6.625</v>
      </c>
      <c r="HU30" s="376">
        <f t="shared" si="148"/>
        <v>101.375</v>
      </c>
      <c r="HV30" s="373">
        <f t="shared" si="149"/>
        <v>22.352641493055554</v>
      </c>
      <c r="HW30" s="374" t="str">
        <f t="shared" si="150"/>
        <v>(2.08)</v>
      </c>
      <c r="HX30" s="375">
        <v>2</v>
      </c>
      <c r="HY30" s="375">
        <f t="shared" si="151"/>
        <v>3.5</v>
      </c>
      <c r="HZ30" s="375">
        <v>1</v>
      </c>
      <c r="IA30" s="375">
        <f t="shared" si="152"/>
        <v>1.125</v>
      </c>
      <c r="IB30" s="375">
        <v>2</v>
      </c>
      <c r="IC30" s="375">
        <f t="shared" si="153"/>
        <v>2</v>
      </c>
      <c r="ID30" s="375">
        <f t="shared" si="154"/>
        <v>6.625</v>
      </c>
      <c r="IE30" s="376">
        <f t="shared" si="155"/>
        <v>107.375</v>
      </c>
      <c r="IF30" s="373">
        <f t="shared" si="156"/>
        <v>23.601683159722221</v>
      </c>
      <c r="IG30" s="374" t="str">
        <f t="shared" si="157"/>
        <v>(2.19)</v>
      </c>
      <c r="IH30" s="22">
        <v>2</v>
      </c>
      <c r="II30" s="22">
        <f t="shared" si="158"/>
        <v>3.5</v>
      </c>
      <c r="IJ30" s="22">
        <v>1</v>
      </c>
      <c r="IK30" s="22">
        <f t="shared" si="159"/>
        <v>1.125</v>
      </c>
      <c r="IL30" s="22">
        <v>2</v>
      </c>
      <c r="IM30" s="22">
        <f t="shared" si="160"/>
        <v>2</v>
      </c>
      <c r="IN30" s="22">
        <f t="shared" si="161"/>
        <v>6.625</v>
      </c>
      <c r="IO30" s="23">
        <f t="shared" si="162"/>
        <v>113.375</v>
      </c>
      <c r="IP30" s="24"/>
      <c r="IQ30" s="25">
        <v>11</v>
      </c>
      <c r="IR30" s="26">
        <v>2.645</v>
      </c>
      <c r="IS30" s="26">
        <v>2.645</v>
      </c>
      <c r="IT30" s="26">
        <v>0.88200000000000001</v>
      </c>
      <c r="IU30" s="26">
        <v>1.75</v>
      </c>
      <c r="IV30" s="26">
        <v>1</v>
      </c>
      <c r="IW30" s="26">
        <v>1.125</v>
      </c>
      <c r="IX30" s="8"/>
    </row>
    <row r="31" spans="2:258" ht="15.75" thickBot="1" x14ac:dyDescent="0.3">
      <c r="B31" s="103">
        <f t="shared" si="21"/>
        <v>78</v>
      </c>
      <c r="C31" s="221">
        <v>14</v>
      </c>
      <c r="D31" s="98">
        <f t="shared" si="1"/>
        <v>0.37992307692307692</v>
      </c>
      <c r="E31" s="96">
        <f t="shared" si="2"/>
        <v>0.44036538461538466</v>
      </c>
      <c r="F31" s="96">
        <f t="shared" si="3"/>
        <v>0.50080769230769229</v>
      </c>
      <c r="G31" s="96">
        <f t="shared" si="4"/>
        <v>0.53102884615384616</v>
      </c>
      <c r="H31" s="96">
        <f t="shared" si="5"/>
        <v>0.54916153846153848</v>
      </c>
      <c r="I31" s="96">
        <f t="shared" si="6"/>
        <v>0.56125000000000003</v>
      </c>
      <c r="J31" s="96">
        <f t="shared" si="7"/>
        <v>0.56988461538461543</v>
      </c>
      <c r="K31" s="96">
        <f t="shared" si="8"/>
        <v>0.57636057692307696</v>
      </c>
      <c r="L31" s="96">
        <f t="shared" si="9"/>
        <v>0.56988461538461543</v>
      </c>
      <c r="M31" s="96">
        <f t="shared" si="10"/>
        <v>0.57506538461538459</v>
      </c>
      <c r="N31" s="96">
        <f t="shared" si="11"/>
        <v>0.5793041958041959</v>
      </c>
      <c r="O31" s="96">
        <f t="shared" si="12"/>
        <v>0.5817572115384616</v>
      </c>
      <c r="P31" s="306"/>
      <c r="Q31" s="306"/>
      <c r="R31" s="306"/>
      <c r="S31" s="306"/>
      <c r="T31" s="306"/>
      <c r="U31" s="306"/>
      <c r="V31" s="306"/>
      <c r="W31" s="306"/>
      <c r="X31" s="96"/>
      <c r="Y31" s="65"/>
      <c r="AT31" s="4"/>
      <c r="AU31" s="27">
        <f t="shared" si="163"/>
        <v>60</v>
      </c>
      <c r="AV31" s="28" t="str">
        <f t="shared" si="22"/>
        <v>(1500)</v>
      </c>
      <c r="AW31" s="19"/>
      <c r="AX31" s="20">
        <f t="shared" si="23"/>
        <v>1.3932187500000002</v>
      </c>
      <c r="AY31" s="29" t="str">
        <f t="shared" si="24"/>
        <v>(0.13)</v>
      </c>
      <c r="AZ31" s="22">
        <v>2</v>
      </c>
      <c r="BA31" s="22">
        <f t="shared" si="25"/>
        <v>3.5</v>
      </c>
      <c r="BB31" s="30">
        <v>0</v>
      </c>
      <c r="BC31" s="22">
        <f t="shared" si="26"/>
        <v>0</v>
      </c>
      <c r="BD31" s="30">
        <v>0</v>
      </c>
      <c r="BE31" s="22">
        <f t="shared" si="27"/>
        <v>0</v>
      </c>
      <c r="BF31" s="22">
        <f t="shared" si="28"/>
        <v>3.5</v>
      </c>
      <c r="BG31" s="23">
        <f t="shared" si="29"/>
        <v>5.5</v>
      </c>
      <c r="BH31" s="373">
        <f t="shared" si="30"/>
        <v>2.1531562500000003</v>
      </c>
      <c r="BI31" s="374" t="str">
        <f t="shared" si="31"/>
        <v>(0.20)</v>
      </c>
      <c r="BJ31" s="375">
        <v>2</v>
      </c>
      <c r="BK31" s="375">
        <f t="shared" si="32"/>
        <v>3.5</v>
      </c>
      <c r="BL31" s="375">
        <v>0</v>
      </c>
      <c r="BM31" s="375">
        <f t="shared" si="33"/>
        <v>0</v>
      </c>
      <c r="BN31" s="375">
        <v>0</v>
      </c>
      <c r="BO31" s="375">
        <f t="shared" si="34"/>
        <v>0</v>
      </c>
      <c r="BP31" s="375">
        <f t="shared" si="35"/>
        <v>3.5</v>
      </c>
      <c r="BQ31" s="376">
        <f t="shared" si="36"/>
        <v>8.5</v>
      </c>
      <c r="BR31" s="373">
        <f t="shared" si="37"/>
        <v>3.6730312500000002</v>
      </c>
      <c r="BS31" s="374" t="str">
        <f t="shared" si="38"/>
        <v>(0.34)</v>
      </c>
      <c r="BT31" s="375">
        <v>2</v>
      </c>
      <c r="BU31" s="375">
        <f t="shared" si="39"/>
        <v>3.5</v>
      </c>
      <c r="BV31" s="375">
        <v>0</v>
      </c>
      <c r="BW31" s="375">
        <f t="shared" si="40"/>
        <v>0</v>
      </c>
      <c r="BX31" s="375">
        <v>0</v>
      </c>
      <c r="BY31" s="375">
        <f t="shared" si="41"/>
        <v>0</v>
      </c>
      <c r="BZ31" s="375">
        <f t="shared" si="42"/>
        <v>3.5</v>
      </c>
      <c r="CA31" s="376">
        <f t="shared" si="43"/>
        <v>14.5</v>
      </c>
      <c r="CB31" s="373">
        <f t="shared" si="44"/>
        <v>5.1929062500000009</v>
      </c>
      <c r="CC31" s="374" t="str">
        <f t="shared" si="45"/>
        <v>(0.48)</v>
      </c>
      <c r="CD31" s="375">
        <v>2</v>
      </c>
      <c r="CE31" s="375">
        <f t="shared" si="46"/>
        <v>3.5</v>
      </c>
      <c r="CF31" s="375">
        <v>0</v>
      </c>
      <c r="CG31" s="375">
        <f t="shared" si="47"/>
        <v>0</v>
      </c>
      <c r="CH31" s="375">
        <v>0</v>
      </c>
      <c r="CI31" s="375">
        <f t="shared" si="48"/>
        <v>0</v>
      </c>
      <c r="CJ31" s="375">
        <f t="shared" si="49"/>
        <v>3.5</v>
      </c>
      <c r="CK31" s="376">
        <f t="shared" si="50"/>
        <v>20.5</v>
      </c>
      <c r="CL31" s="373">
        <f t="shared" si="51"/>
        <v>6.7127812500000008</v>
      </c>
      <c r="CM31" s="374" t="str">
        <f t="shared" si="52"/>
        <v>(0.62)</v>
      </c>
      <c r="CN31" s="375">
        <v>2</v>
      </c>
      <c r="CO31" s="375">
        <f t="shared" si="53"/>
        <v>3.5</v>
      </c>
      <c r="CP31" s="375">
        <v>0</v>
      </c>
      <c r="CQ31" s="375">
        <f t="shared" si="54"/>
        <v>0</v>
      </c>
      <c r="CR31" s="375">
        <v>0</v>
      </c>
      <c r="CS31" s="375">
        <f t="shared" si="55"/>
        <v>0</v>
      </c>
      <c r="CT31" s="375">
        <f t="shared" si="56"/>
        <v>3.5</v>
      </c>
      <c r="CU31" s="376">
        <f t="shared" si="57"/>
        <v>26.5</v>
      </c>
      <c r="CV31" s="373">
        <f t="shared" si="58"/>
        <v>8.2326562499999998</v>
      </c>
      <c r="CW31" s="374" t="str">
        <f t="shared" si="59"/>
        <v>(0.76)</v>
      </c>
      <c r="CX31" s="375">
        <v>2</v>
      </c>
      <c r="CY31" s="375">
        <f t="shared" si="60"/>
        <v>3.5</v>
      </c>
      <c r="CZ31" s="375">
        <v>0</v>
      </c>
      <c r="DA31" s="375">
        <f t="shared" si="61"/>
        <v>0</v>
      </c>
      <c r="DB31" s="375">
        <v>0</v>
      </c>
      <c r="DC31" s="375">
        <f t="shared" si="62"/>
        <v>0</v>
      </c>
      <c r="DD31" s="375">
        <f t="shared" si="63"/>
        <v>3.5</v>
      </c>
      <c r="DE31" s="376">
        <f t="shared" si="64"/>
        <v>32.5</v>
      </c>
      <c r="DF31" s="373">
        <f t="shared" si="65"/>
        <v>9.7525312500000005</v>
      </c>
      <c r="DG31" s="374" t="str">
        <f t="shared" si="66"/>
        <v>(0.91)</v>
      </c>
      <c r="DH31" s="375">
        <v>2</v>
      </c>
      <c r="DI31" s="375">
        <f t="shared" si="67"/>
        <v>3.5</v>
      </c>
      <c r="DJ31" s="375">
        <v>0</v>
      </c>
      <c r="DK31" s="375">
        <f t="shared" si="68"/>
        <v>0</v>
      </c>
      <c r="DL31" s="375">
        <v>0</v>
      </c>
      <c r="DM31" s="375">
        <f t="shared" si="69"/>
        <v>0</v>
      </c>
      <c r="DN31" s="375">
        <f t="shared" si="70"/>
        <v>3.5</v>
      </c>
      <c r="DO31" s="376">
        <f t="shared" si="71"/>
        <v>38.5</v>
      </c>
      <c r="DP31" s="373">
        <f t="shared" si="72"/>
        <v>11.272406250000001</v>
      </c>
      <c r="DQ31" s="374" t="str">
        <f t="shared" si="73"/>
        <v>(1.05)</v>
      </c>
      <c r="DR31" s="375">
        <v>2</v>
      </c>
      <c r="DS31" s="375">
        <f t="shared" si="74"/>
        <v>3.5</v>
      </c>
      <c r="DT31" s="375">
        <v>0</v>
      </c>
      <c r="DU31" s="375">
        <f t="shared" si="75"/>
        <v>0</v>
      </c>
      <c r="DV31" s="375">
        <v>0</v>
      </c>
      <c r="DW31" s="375">
        <f t="shared" si="76"/>
        <v>0</v>
      </c>
      <c r="DX31" s="375">
        <f t="shared" si="77"/>
        <v>3.5</v>
      </c>
      <c r="DY31" s="376">
        <f t="shared" si="78"/>
        <v>44.5</v>
      </c>
      <c r="DZ31" s="373">
        <f t="shared" si="79"/>
        <v>12.538968750000002</v>
      </c>
      <c r="EA31" s="374" t="str">
        <f t="shared" si="80"/>
        <v>(1.16)</v>
      </c>
      <c r="EB31" s="375">
        <v>2</v>
      </c>
      <c r="EC31" s="375">
        <f t="shared" si="81"/>
        <v>3.5</v>
      </c>
      <c r="ED31" s="375">
        <v>0</v>
      </c>
      <c r="EE31" s="375">
        <f t="shared" si="82"/>
        <v>0</v>
      </c>
      <c r="EF31" s="375">
        <v>1</v>
      </c>
      <c r="EG31" s="375">
        <f t="shared" si="83"/>
        <v>1</v>
      </c>
      <c r="EH31" s="375">
        <f t="shared" si="84"/>
        <v>4.5</v>
      </c>
      <c r="EI31" s="376">
        <f t="shared" si="85"/>
        <v>49.5</v>
      </c>
      <c r="EJ31" s="373">
        <f t="shared" si="86"/>
        <v>14.058843750000001</v>
      </c>
      <c r="EK31" s="374" t="str">
        <f t="shared" si="87"/>
        <v>(1.31)</v>
      </c>
      <c r="EL31" s="375">
        <v>2</v>
      </c>
      <c r="EM31" s="375">
        <f t="shared" si="88"/>
        <v>3.5</v>
      </c>
      <c r="EN31" s="375">
        <v>0</v>
      </c>
      <c r="EO31" s="375">
        <f t="shared" si="89"/>
        <v>0</v>
      </c>
      <c r="EP31" s="375">
        <v>1</v>
      </c>
      <c r="EQ31" s="375">
        <f t="shared" si="90"/>
        <v>1</v>
      </c>
      <c r="ER31" s="375">
        <f t="shared" si="91"/>
        <v>4.5</v>
      </c>
      <c r="ES31" s="376">
        <f t="shared" si="92"/>
        <v>55.5</v>
      </c>
      <c r="ET31" s="373">
        <f t="shared" si="93"/>
        <v>15.57871875</v>
      </c>
      <c r="EU31" s="374" t="str">
        <f t="shared" si="94"/>
        <v>(1.45)</v>
      </c>
      <c r="EV31" s="375">
        <v>2</v>
      </c>
      <c r="EW31" s="375">
        <f t="shared" si="95"/>
        <v>3.5</v>
      </c>
      <c r="EX31" s="375">
        <v>0</v>
      </c>
      <c r="EY31" s="375">
        <f t="shared" si="96"/>
        <v>0</v>
      </c>
      <c r="EZ31" s="375">
        <v>1</v>
      </c>
      <c r="FA31" s="375">
        <f t="shared" si="97"/>
        <v>1</v>
      </c>
      <c r="FB31" s="375">
        <f t="shared" si="98"/>
        <v>4.5</v>
      </c>
      <c r="FC31" s="376">
        <f t="shared" si="99"/>
        <v>61.5</v>
      </c>
      <c r="FD31" s="373">
        <f t="shared" si="100"/>
        <v>17.066929687500004</v>
      </c>
      <c r="FE31" s="374" t="str">
        <f t="shared" si="101"/>
        <v>(1.59)</v>
      </c>
      <c r="FF31" s="375">
        <v>2</v>
      </c>
      <c r="FG31" s="375">
        <f t="shared" si="102"/>
        <v>3.5</v>
      </c>
      <c r="FH31" s="375">
        <v>1</v>
      </c>
      <c r="FI31" s="375">
        <f t="shared" si="103"/>
        <v>1.125</v>
      </c>
      <c r="FJ31" s="375">
        <v>0</v>
      </c>
      <c r="FK31" s="375">
        <f t="shared" si="104"/>
        <v>0</v>
      </c>
      <c r="FL31" s="375">
        <f t="shared" si="105"/>
        <v>4.625</v>
      </c>
      <c r="FM31" s="376">
        <f t="shared" si="106"/>
        <v>67.375</v>
      </c>
      <c r="FN31" s="373">
        <f t="shared" si="107"/>
        <v>18.586804687500003</v>
      </c>
      <c r="FO31" s="374" t="str">
        <f t="shared" si="108"/>
        <v>(1.73)</v>
      </c>
      <c r="FP31" s="375">
        <v>2</v>
      </c>
      <c r="FQ31" s="375">
        <f t="shared" si="109"/>
        <v>3.5</v>
      </c>
      <c r="FR31" s="375">
        <v>1</v>
      </c>
      <c r="FS31" s="375">
        <f t="shared" si="110"/>
        <v>1.125</v>
      </c>
      <c r="FT31" s="375">
        <v>0</v>
      </c>
      <c r="FU31" s="375">
        <f t="shared" si="111"/>
        <v>0</v>
      </c>
      <c r="FV31" s="375">
        <f t="shared" si="112"/>
        <v>4.625</v>
      </c>
      <c r="FW31" s="376">
        <f t="shared" si="113"/>
        <v>73.375</v>
      </c>
      <c r="FX31" s="373">
        <f t="shared" si="114"/>
        <v>20.106679687500005</v>
      </c>
      <c r="FY31" s="374" t="str">
        <f t="shared" si="115"/>
        <v>(1.87)</v>
      </c>
      <c r="FZ31" s="375">
        <v>2</v>
      </c>
      <c r="GA31" s="375">
        <f t="shared" si="116"/>
        <v>3.5</v>
      </c>
      <c r="GB31" s="375">
        <v>1</v>
      </c>
      <c r="GC31" s="375">
        <f t="shared" si="117"/>
        <v>1.125</v>
      </c>
      <c r="GD31" s="375">
        <v>0</v>
      </c>
      <c r="GE31" s="375">
        <f t="shared" si="118"/>
        <v>0</v>
      </c>
      <c r="GF31" s="375">
        <f t="shared" si="119"/>
        <v>4.625</v>
      </c>
      <c r="GG31" s="376">
        <f t="shared" si="120"/>
        <v>79.375</v>
      </c>
      <c r="GH31" s="373">
        <f t="shared" si="121"/>
        <v>21.626554687500001</v>
      </c>
      <c r="GI31" s="374" t="str">
        <f t="shared" si="122"/>
        <v>(2.01)</v>
      </c>
      <c r="GJ31" s="375">
        <v>2</v>
      </c>
      <c r="GK31" s="375">
        <f t="shared" si="123"/>
        <v>3.5</v>
      </c>
      <c r="GL31" s="375">
        <v>1</v>
      </c>
      <c r="GM31" s="375">
        <f t="shared" si="124"/>
        <v>1.125</v>
      </c>
      <c r="GN31" s="375">
        <v>0</v>
      </c>
      <c r="GO31" s="375">
        <f t="shared" si="125"/>
        <v>0</v>
      </c>
      <c r="GP31" s="375">
        <f t="shared" si="126"/>
        <v>4.625</v>
      </c>
      <c r="GQ31" s="376">
        <f t="shared" si="127"/>
        <v>85.375</v>
      </c>
      <c r="GR31" s="373">
        <f t="shared" si="128"/>
        <v>23.146429687500003</v>
      </c>
      <c r="GS31" s="374" t="str">
        <f t="shared" si="129"/>
        <v>(2.15)</v>
      </c>
      <c r="GT31" s="375">
        <v>2</v>
      </c>
      <c r="GU31" s="375">
        <f t="shared" si="130"/>
        <v>3.5</v>
      </c>
      <c r="GV31" s="375">
        <v>1</v>
      </c>
      <c r="GW31" s="375">
        <f t="shared" si="131"/>
        <v>1.125</v>
      </c>
      <c r="GX31" s="375">
        <v>0</v>
      </c>
      <c r="GY31" s="375">
        <f t="shared" si="132"/>
        <v>0</v>
      </c>
      <c r="GZ31" s="375">
        <f t="shared" si="133"/>
        <v>4.625</v>
      </c>
      <c r="HA31" s="376">
        <f t="shared" si="134"/>
        <v>91.375</v>
      </c>
      <c r="HB31" s="373">
        <f t="shared" si="135"/>
        <v>24.666304687500002</v>
      </c>
      <c r="HC31" s="374" t="str">
        <f t="shared" si="136"/>
        <v>(2.29)</v>
      </c>
      <c r="HD31" s="375">
        <v>2</v>
      </c>
      <c r="HE31" s="375">
        <f t="shared" si="137"/>
        <v>3.5</v>
      </c>
      <c r="HF31" s="375">
        <v>1</v>
      </c>
      <c r="HG31" s="375">
        <f t="shared" si="138"/>
        <v>1.125</v>
      </c>
      <c r="HH31" s="375">
        <v>0</v>
      </c>
      <c r="HI31" s="375">
        <f t="shared" si="139"/>
        <v>0</v>
      </c>
      <c r="HJ31" s="375">
        <f t="shared" si="140"/>
        <v>4.625</v>
      </c>
      <c r="HK31" s="376">
        <f t="shared" si="141"/>
        <v>97.375</v>
      </c>
      <c r="HL31" s="373">
        <f t="shared" si="142"/>
        <v>25.679554687500001</v>
      </c>
      <c r="HM31" s="374" t="str">
        <f t="shared" si="143"/>
        <v>(2.39)</v>
      </c>
      <c r="HN31" s="375">
        <v>2</v>
      </c>
      <c r="HO31" s="375">
        <f t="shared" si="144"/>
        <v>3.5</v>
      </c>
      <c r="HP31" s="375">
        <v>1</v>
      </c>
      <c r="HQ31" s="375">
        <f t="shared" si="145"/>
        <v>1.125</v>
      </c>
      <c r="HR31" s="375">
        <v>2</v>
      </c>
      <c r="HS31" s="375">
        <f t="shared" si="146"/>
        <v>2</v>
      </c>
      <c r="HT31" s="375">
        <f t="shared" si="147"/>
        <v>6.625</v>
      </c>
      <c r="HU31" s="376">
        <f t="shared" si="148"/>
        <v>101.375</v>
      </c>
      <c r="HV31" s="373">
        <f t="shared" si="149"/>
        <v>27.1994296875</v>
      </c>
      <c r="HW31" s="374" t="str">
        <f t="shared" si="150"/>
        <v>(2.53)</v>
      </c>
      <c r="HX31" s="375">
        <v>2</v>
      </c>
      <c r="HY31" s="375">
        <f t="shared" si="151"/>
        <v>3.5</v>
      </c>
      <c r="HZ31" s="375">
        <v>1</v>
      </c>
      <c r="IA31" s="375">
        <f t="shared" si="152"/>
        <v>1.125</v>
      </c>
      <c r="IB31" s="375">
        <v>2</v>
      </c>
      <c r="IC31" s="375">
        <f t="shared" si="153"/>
        <v>2</v>
      </c>
      <c r="ID31" s="375">
        <f t="shared" si="154"/>
        <v>6.625</v>
      </c>
      <c r="IE31" s="376">
        <f t="shared" si="155"/>
        <v>107.375</v>
      </c>
      <c r="IF31" s="373">
        <f t="shared" si="156"/>
        <v>28.719304687500003</v>
      </c>
      <c r="IG31" s="374" t="str">
        <f t="shared" si="157"/>
        <v>(2.67)</v>
      </c>
      <c r="IH31" s="22">
        <v>2</v>
      </c>
      <c r="II31" s="22">
        <f t="shared" si="158"/>
        <v>3.5</v>
      </c>
      <c r="IJ31" s="30">
        <v>1</v>
      </c>
      <c r="IK31" s="22">
        <f t="shared" si="159"/>
        <v>1.125</v>
      </c>
      <c r="IL31" s="22">
        <v>2</v>
      </c>
      <c r="IM31" s="22">
        <f t="shared" si="160"/>
        <v>2</v>
      </c>
      <c r="IN31" s="22">
        <f t="shared" si="161"/>
        <v>6.625</v>
      </c>
      <c r="IO31" s="23">
        <f t="shared" si="162"/>
        <v>113.375</v>
      </c>
      <c r="IP31" s="24"/>
      <c r="IQ31" s="25">
        <v>13</v>
      </c>
      <c r="IR31" s="26">
        <v>2.645</v>
      </c>
      <c r="IS31" s="26">
        <v>2.645</v>
      </c>
      <c r="IT31" s="26">
        <v>2.0920000000000001</v>
      </c>
      <c r="IU31" s="26">
        <v>1.75</v>
      </c>
      <c r="IV31" s="26">
        <v>1</v>
      </c>
      <c r="IW31" s="26">
        <v>1.125</v>
      </c>
      <c r="IX31" s="8"/>
    </row>
    <row r="32" spans="2:258" ht="15.75" thickBot="1" x14ac:dyDescent="0.3">
      <c r="B32" s="103">
        <f t="shared" si="21"/>
        <v>84</v>
      </c>
      <c r="C32" s="226">
        <v>15</v>
      </c>
      <c r="D32" s="98">
        <f t="shared" si="1"/>
        <v>0.3808313492063492</v>
      </c>
      <c r="E32" s="96">
        <f t="shared" si="2"/>
        <v>0.44141815476190477</v>
      </c>
      <c r="F32" s="96">
        <f t="shared" si="3"/>
        <v>0.50200496031746034</v>
      </c>
      <c r="G32" s="96">
        <f t="shared" si="4"/>
        <v>0.53229836309523804</v>
      </c>
      <c r="H32" s="96">
        <f t="shared" si="5"/>
        <v>0.55047440476190479</v>
      </c>
      <c r="I32" s="96">
        <f t="shared" si="6"/>
        <v>0.56259176587301596</v>
      </c>
      <c r="J32" s="96">
        <f t="shared" si="7"/>
        <v>0.57124702380952375</v>
      </c>
      <c r="K32" s="96">
        <f t="shared" si="8"/>
        <v>0.5777384672619047</v>
      </c>
      <c r="L32" s="96">
        <f t="shared" si="9"/>
        <v>0.57124702380952386</v>
      </c>
      <c r="M32" s="96">
        <f t="shared" si="10"/>
        <v>0.57644017857142849</v>
      </c>
      <c r="N32" s="96">
        <f t="shared" si="11"/>
        <v>0.58068912337662348</v>
      </c>
      <c r="O32" s="96">
        <f t="shared" si="12"/>
        <v>0.58314800347222218</v>
      </c>
      <c r="P32" s="306"/>
      <c r="Q32" s="306"/>
      <c r="R32" s="306"/>
      <c r="S32" s="306"/>
      <c r="T32" s="306"/>
      <c r="U32" s="306"/>
      <c r="V32" s="306"/>
      <c r="W32" s="306"/>
      <c r="X32" s="96"/>
      <c r="Y32" s="65"/>
      <c r="AT32" s="4"/>
      <c r="AU32" s="14">
        <f t="shared" si="163"/>
        <v>66</v>
      </c>
      <c r="AV32" s="12" t="str">
        <f t="shared" si="22"/>
        <v>(1700)</v>
      </c>
      <c r="AW32" s="19"/>
      <c r="AX32" s="20">
        <f t="shared" si="23"/>
        <v>1.5490520833333334</v>
      </c>
      <c r="AY32" s="21" t="str">
        <f t="shared" si="24"/>
        <v>(0.14)</v>
      </c>
      <c r="AZ32" s="22">
        <v>2</v>
      </c>
      <c r="BA32" s="22">
        <f t="shared" si="25"/>
        <v>3.5</v>
      </c>
      <c r="BB32" s="22">
        <v>0</v>
      </c>
      <c r="BC32" s="22">
        <f t="shared" si="26"/>
        <v>0</v>
      </c>
      <c r="BD32" s="22">
        <v>0</v>
      </c>
      <c r="BE32" s="22">
        <f t="shared" si="27"/>
        <v>0</v>
      </c>
      <c r="BF32" s="22">
        <f t="shared" si="28"/>
        <v>3.5</v>
      </c>
      <c r="BG32" s="23">
        <f t="shared" si="29"/>
        <v>5.5</v>
      </c>
      <c r="BH32" s="373">
        <f t="shared" si="30"/>
        <v>2.3939895833333336</v>
      </c>
      <c r="BI32" s="374" t="str">
        <f t="shared" si="31"/>
        <v>(0.22)</v>
      </c>
      <c r="BJ32" s="375">
        <v>2</v>
      </c>
      <c r="BK32" s="375">
        <f t="shared" si="32"/>
        <v>3.5</v>
      </c>
      <c r="BL32" s="375">
        <v>0</v>
      </c>
      <c r="BM32" s="375">
        <f t="shared" si="33"/>
        <v>0</v>
      </c>
      <c r="BN32" s="375">
        <v>0</v>
      </c>
      <c r="BO32" s="375">
        <f t="shared" si="34"/>
        <v>0</v>
      </c>
      <c r="BP32" s="375">
        <f t="shared" si="35"/>
        <v>3.5</v>
      </c>
      <c r="BQ32" s="376">
        <f t="shared" si="36"/>
        <v>8.5</v>
      </c>
      <c r="BR32" s="373">
        <f t="shared" si="37"/>
        <v>4.0838645833333338</v>
      </c>
      <c r="BS32" s="374" t="str">
        <f t="shared" si="38"/>
        <v>(0.38)</v>
      </c>
      <c r="BT32" s="375">
        <v>2</v>
      </c>
      <c r="BU32" s="375">
        <f t="shared" si="39"/>
        <v>3.5</v>
      </c>
      <c r="BV32" s="375">
        <v>0</v>
      </c>
      <c r="BW32" s="375">
        <f t="shared" si="40"/>
        <v>0</v>
      </c>
      <c r="BX32" s="375">
        <v>0</v>
      </c>
      <c r="BY32" s="375">
        <f t="shared" si="41"/>
        <v>0</v>
      </c>
      <c r="BZ32" s="375">
        <f t="shared" si="42"/>
        <v>3.5</v>
      </c>
      <c r="CA32" s="376">
        <f t="shared" si="43"/>
        <v>14.5</v>
      </c>
      <c r="CB32" s="373">
        <f t="shared" si="44"/>
        <v>5.7737395833333336</v>
      </c>
      <c r="CC32" s="374" t="str">
        <f t="shared" si="45"/>
        <v>(0.54)</v>
      </c>
      <c r="CD32" s="375">
        <v>2</v>
      </c>
      <c r="CE32" s="375">
        <f t="shared" si="46"/>
        <v>3.5</v>
      </c>
      <c r="CF32" s="375">
        <v>0</v>
      </c>
      <c r="CG32" s="375">
        <f t="shared" si="47"/>
        <v>0</v>
      </c>
      <c r="CH32" s="375">
        <v>0</v>
      </c>
      <c r="CI32" s="375">
        <f t="shared" si="48"/>
        <v>0</v>
      </c>
      <c r="CJ32" s="375">
        <f t="shared" si="49"/>
        <v>3.5</v>
      </c>
      <c r="CK32" s="376">
        <f t="shared" si="50"/>
        <v>20.5</v>
      </c>
      <c r="CL32" s="373">
        <f t="shared" si="51"/>
        <v>7.4636145833333343</v>
      </c>
      <c r="CM32" s="374" t="str">
        <f t="shared" si="52"/>
        <v>(0.69)</v>
      </c>
      <c r="CN32" s="375">
        <v>2</v>
      </c>
      <c r="CO32" s="375">
        <f t="shared" si="53"/>
        <v>3.5</v>
      </c>
      <c r="CP32" s="375">
        <v>0</v>
      </c>
      <c r="CQ32" s="375">
        <f t="shared" si="54"/>
        <v>0</v>
      </c>
      <c r="CR32" s="375">
        <v>0</v>
      </c>
      <c r="CS32" s="375">
        <f t="shared" si="55"/>
        <v>0</v>
      </c>
      <c r="CT32" s="375">
        <f t="shared" si="56"/>
        <v>3.5</v>
      </c>
      <c r="CU32" s="376">
        <f t="shared" si="57"/>
        <v>26.5</v>
      </c>
      <c r="CV32" s="373">
        <f t="shared" si="58"/>
        <v>9.1534895833333323</v>
      </c>
      <c r="CW32" s="374" t="str">
        <f t="shared" si="59"/>
        <v>(0.85)</v>
      </c>
      <c r="CX32" s="375">
        <v>2</v>
      </c>
      <c r="CY32" s="375">
        <f t="shared" si="60"/>
        <v>3.5</v>
      </c>
      <c r="CZ32" s="375">
        <v>0</v>
      </c>
      <c r="DA32" s="375">
        <f t="shared" si="61"/>
        <v>0</v>
      </c>
      <c r="DB32" s="375">
        <v>0</v>
      </c>
      <c r="DC32" s="375">
        <f t="shared" si="62"/>
        <v>0</v>
      </c>
      <c r="DD32" s="375">
        <f t="shared" si="63"/>
        <v>3.5</v>
      </c>
      <c r="DE32" s="376">
        <f t="shared" si="64"/>
        <v>32.5</v>
      </c>
      <c r="DF32" s="373">
        <f t="shared" si="65"/>
        <v>10.843364583333333</v>
      </c>
      <c r="DG32" s="374" t="str">
        <f t="shared" si="66"/>
        <v>(1.01)</v>
      </c>
      <c r="DH32" s="375">
        <v>2</v>
      </c>
      <c r="DI32" s="375">
        <f t="shared" si="67"/>
        <v>3.5</v>
      </c>
      <c r="DJ32" s="375">
        <v>0</v>
      </c>
      <c r="DK32" s="375">
        <f t="shared" si="68"/>
        <v>0</v>
      </c>
      <c r="DL32" s="375">
        <v>0</v>
      </c>
      <c r="DM32" s="375">
        <f t="shared" si="69"/>
        <v>0</v>
      </c>
      <c r="DN32" s="375">
        <f t="shared" si="70"/>
        <v>3.5</v>
      </c>
      <c r="DO32" s="376">
        <f t="shared" si="71"/>
        <v>38.5</v>
      </c>
      <c r="DP32" s="373">
        <f t="shared" si="72"/>
        <v>12.533239583333334</v>
      </c>
      <c r="DQ32" s="374" t="str">
        <f t="shared" si="73"/>
        <v>(1.16)</v>
      </c>
      <c r="DR32" s="375">
        <v>2</v>
      </c>
      <c r="DS32" s="375">
        <f t="shared" si="74"/>
        <v>3.5</v>
      </c>
      <c r="DT32" s="375">
        <v>0</v>
      </c>
      <c r="DU32" s="375">
        <f t="shared" si="75"/>
        <v>0</v>
      </c>
      <c r="DV32" s="375">
        <v>0</v>
      </c>
      <c r="DW32" s="375">
        <f t="shared" si="76"/>
        <v>0</v>
      </c>
      <c r="DX32" s="375">
        <f t="shared" si="77"/>
        <v>3.5</v>
      </c>
      <c r="DY32" s="376">
        <f t="shared" si="78"/>
        <v>44.5</v>
      </c>
      <c r="DZ32" s="373">
        <f t="shared" si="79"/>
        <v>13.94146875</v>
      </c>
      <c r="EA32" s="374" t="str">
        <f t="shared" si="80"/>
        <v>(1.30)</v>
      </c>
      <c r="EB32" s="375">
        <v>2</v>
      </c>
      <c r="EC32" s="375">
        <f t="shared" si="81"/>
        <v>3.5</v>
      </c>
      <c r="ED32" s="375">
        <v>0</v>
      </c>
      <c r="EE32" s="375">
        <f t="shared" si="82"/>
        <v>0</v>
      </c>
      <c r="EF32" s="375">
        <v>1</v>
      </c>
      <c r="EG32" s="375">
        <f t="shared" si="83"/>
        <v>1</v>
      </c>
      <c r="EH32" s="375">
        <f t="shared" si="84"/>
        <v>4.5</v>
      </c>
      <c r="EI32" s="376">
        <f t="shared" si="85"/>
        <v>49.5</v>
      </c>
      <c r="EJ32" s="373">
        <f t="shared" si="86"/>
        <v>15.631343750000001</v>
      </c>
      <c r="EK32" s="374" t="str">
        <f t="shared" si="87"/>
        <v>(1.45)</v>
      </c>
      <c r="EL32" s="375">
        <v>2</v>
      </c>
      <c r="EM32" s="375">
        <f t="shared" si="88"/>
        <v>3.5</v>
      </c>
      <c r="EN32" s="375">
        <v>0</v>
      </c>
      <c r="EO32" s="375">
        <f t="shared" si="89"/>
        <v>0</v>
      </c>
      <c r="EP32" s="375">
        <v>1</v>
      </c>
      <c r="EQ32" s="375">
        <f t="shared" si="90"/>
        <v>1</v>
      </c>
      <c r="ER32" s="375">
        <f t="shared" si="91"/>
        <v>4.5</v>
      </c>
      <c r="ES32" s="376">
        <f t="shared" si="92"/>
        <v>55.5</v>
      </c>
      <c r="ET32" s="373">
        <f t="shared" si="93"/>
        <v>17.32121875</v>
      </c>
      <c r="EU32" s="374" t="str">
        <f t="shared" si="94"/>
        <v>(1.61)</v>
      </c>
      <c r="EV32" s="375">
        <v>2</v>
      </c>
      <c r="EW32" s="375">
        <f t="shared" si="95"/>
        <v>3.5</v>
      </c>
      <c r="EX32" s="375">
        <v>0</v>
      </c>
      <c r="EY32" s="375">
        <f t="shared" si="96"/>
        <v>0</v>
      </c>
      <c r="EZ32" s="375">
        <v>1</v>
      </c>
      <c r="FA32" s="375">
        <f t="shared" si="97"/>
        <v>1</v>
      </c>
      <c r="FB32" s="375">
        <f t="shared" si="98"/>
        <v>4.5</v>
      </c>
      <c r="FC32" s="376">
        <f t="shared" si="99"/>
        <v>61.5</v>
      </c>
      <c r="FD32" s="373">
        <f t="shared" si="100"/>
        <v>18.975888020833334</v>
      </c>
      <c r="FE32" s="374" t="str">
        <f t="shared" si="101"/>
        <v>(1.76)</v>
      </c>
      <c r="FF32" s="375">
        <v>2</v>
      </c>
      <c r="FG32" s="375">
        <f t="shared" si="102"/>
        <v>3.5</v>
      </c>
      <c r="FH32" s="375">
        <v>1</v>
      </c>
      <c r="FI32" s="375">
        <f t="shared" si="103"/>
        <v>1.125</v>
      </c>
      <c r="FJ32" s="375">
        <v>0</v>
      </c>
      <c r="FK32" s="375">
        <f t="shared" si="104"/>
        <v>0</v>
      </c>
      <c r="FL32" s="375">
        <f t="shared" si="105"/>
        <v>4.625</v>
      </c>
      <c r="FM32" s="376">
        <f t="shared" si="106"/>
        <v>67.375</v>
      </c>
      <c r="FN32" s="373">
        <f t="shared" si="107"/>
        <v>20.665763020833335</v>
      </c>
      <c r="FO32" s="374" t="str">
        <f t="shared" si="108"/>
        <v>(1.92)</v>
      </c>
      <c r="FP32" s="375">
        <v>2</v>
      </c>
      <c r="FQ32" s="375">
        <f t="shared" si="109"/>
        <v>3.5</v>
      </c>
      <c r="FR32" s="375">
        <v>1</v>
      </c>
      <c r="FS32" s="375">
        <f t="shared" si="110"/>
        <v>1.125</v>
      </c>
      <c r="FT32" s="375">
        <v>0</v>
      </c>
      <c r="FU32" s="375">
        <f t="shared" si="111"/>
        <v>0</v>
      </c>
      <c r="FV32" s="375">
        <f t="shared" si="112"/>
        <v>4.625</v>
      </c>
      <c r="FW32" s="376">
        <f t="shared" si="113"/>
        <v>73.375</v>
      </c>
      <c r="FX32" s="373">
        <f t="shared" si="114"/>
        <v>22.355638020833332</v>
      </c>
      <c r="FY32" s="374" t="str">
        <f t="shared" si="115"/>
        <v>(2.08)</v>
      </c>
      <c r="FZ32" s="375">
        <v>2</v>
      </c>
      <c r="GA32" s="375">
        <f t="shared" si="116"/>
        <v>3.5</v>
      </c>
      <c r="GB32" s="375">
        <v>1</v>
      </c>
      <c r="GC32" s="375">
        <f t="shared" si="117"/>
        <v>1.125</v>
      </c>
      <c r="GD32" s="375">
        <v>0</v>
      </c>
      <c r="GE32" s="375">
        <f t="shared" si="118"/>
        <v>0</v>
      </c>
      <c r="GF32" s="375">
        <f t="shared" si="119"/>
        <v>4.625</v>
      </c>
      <c r="GG32" s="376">
        <f t="shared" si="120"/>
        <v>79.375</v>
      </c>
      <c r="GH32" s="373">
        <f t="shared" si="121"/>
        <v>24.045513020833333</v>
      </c>
      <c r="GI32" s="374" t="str">
        <f t="shared" si="122"/>
        <v>(2.23)</v>
      </c>
      <c r="GJ32" s="375">
        <v>2</v>
      </c>
      <c r="GK32" s="375">
        <f t="shared" si="123"/>
        <v>3.5</v>
      </c>
      <c r="GL32" s="375">
        <v>1</v>
      </c>
      <c r="GM32" s="375">
        <f t="shared" si="124"/>
        <v>1.125</v>
      </c>
      <c r="GN32" s="375">
        <v>0</v>
      </c>
      <c r="GO32" s="375">
        <f t="shared" si="125"/>
        <v>0</v>
      </c>
      <c r="GP32" s="375">
        <f t="shared" si="126"/>
        <v>4.625</v>
      </c>
      <c r="GQ32" s="376">
        <f t="shared" si="127"/>
        <v>85.375</v>
      </c>
      <c r="GR32" s="373">
        <f t="shared" si="128"/>
        <v>25.735388020833334</v>
      </c>
      <c r="GS32" s="374" t="str">
        <f t="shared" si="129"/>
        <v>(2.39)</v>
      </c>
      <c r="GT32" s="375">
        <v>2</v>
      </c>
      <c r="GU32" s="375">
        <f t="shared" si="130"/>
        <v>3.5</v>
      </c>
      <c r="GV32" s="375">
        <v>1</v>
      </c>
      <c r="GW32" s="375">
        <f t="shared" si="131"/>
        <v>1.125</v>
      </c>
      <c r="GX32" s="375">
        <v>0</v>
      </c>
      <c r="GY32" s="375">
        <f t="shared" si="132"/>
        <v>0</v>
      </c>
      <c r="GZ32" s="375">
        <f t="shared" si="133"/>
        <v>4.625</v>
      </c>
      <c r="HA32" s="376">
        <f t="shared" si="134"/>
        <v>91.375</v>
      </c>
      <c r="HB32" s="373">
        <f t="shared" si="135"/>
        <v>27.425263020833334</v>
      </c>
      <c r="HC32" s="374" t="str">
        <f t="shared" si="136"/>
        <v>(2.55)</v>
      </c>
      <c r="HD32" s="375">
        <v>2</v>
      </c>
      <c r="HE32" s="375">
        <f t="shared" si="137"/>
        <v>3.5</v>
      </c>
      <c r="HF32" s="375">
        <v>1</v>
      </c>
      <c r="HG32" s="375">
        <f t="shared" si="138"/>
        <v>1.125</v>
      </c>
      <c r="HH32" s="375">
        <v>0</v>
      </c>
      <c r="HI32" s="375">
        <f t="shared" si="139"/>
        <v>0</v>
      </c>
      <c r="HJ32" s="375">
        <f t="shared" si="140"/>
        <v>4.625</v>
      </c>
      <c r="HK32" s="376">
        <f t="shared" si="141"/>
        <v>97.375</v>
      </c>
      <c r="HL32" s="373">
        <f t="shared" si="142"/>
        <v>28.551846354166667</v>
      </c>
      <c r="HM32" s="374" t="str">
        <f t="shared" si="143"/>
        <v>(2.65)</v>
      </c>
      <c r="HN32" s="375">
        <v>2</v>
      </c>
      <c r="HO32" s="375">
        <f t="shared" si="144"/>
        <v>3.5</v>
      </c>
      <c r="HP32" s="375">
        <v>1</v>
      </c>
      <c r="HQ32" s="375">
        <f t="shared" si="145"/>
        <v>1.125</v>
      </c>
      <c r="HR32" s="375">
        <v>2</v>
      </c>
      <c r="HS32" s="375">
        <f t="shared" si="146"/>
        <v>2</v>
      </c>
      <c r="HT32" s="375">
        <f t="shared" si="147"/>
        <v>6.625</v>
      </c>
      <c r="HU32" s="376">
        <f t="shared" si="148"/>
        <v>101.375</v>
      </c>
      <c r="HV32" s="373">
        <f t="shared" si="149"/>
        <v>30.241721354166671</v>
      </c>
      <c r="HW32" s="374" t="str">
        <f t="shared" si="150"/>
        <v>(2.81)</v>
      </c>
      <c r="HX32" s="375">
        <v>2</v>
      </c>
      <c r="HY32" s="375">
        <f t="shared" si="151"/>
        <v>3.5</v>
      </c>
      <c r="HZ32" s="375">
        <v>1</v>
      </c>
      <c r="IA32" s="375">
        <f t="shared" si="152"/>
        <v>1.125</v>
      </c>
      <c r="IB32" s="375">
        <v>2</v>
      </c>
      <c r="IC32" s="375">
        <f t="shared" si="153"/>
        <v>2</v>
      </c>
      <c r="ID32" s="375">
        <f t="shared" si="154"/>
        <v>6.625</v>
      </c>
      <c r="IE32" s="376">
        <f t="shared" si="155"/>
        <v>107.375</v>
      </c>
      <c r="IF32" s="373">
        <f t="shared" si="156"/>
        <v>31.931596354166668</v>
      </c>
      <c r="IG32" s="374" t="str">
        <f t="shared" si="157"/>
        <v>(2.97)</v>
      </c>
      <c r="IH32" s="22">
        <v>2</v>
      </c>
      <c r="II32" s="22">
        <f t="shared" si="158"/>
        <v>3.5</v>
      </c>
      <c r="IJ32" s="22">
        <v>1</v>
      </c>
      <c r="IK32" s="22">
        <f t="shared" si="159"/>
        <v>1.125</v>
      </c>
      <c r="IL32" s="22">
        <v>2</v>
      </c>
      <c r="IM32" s="22">
        <f t="shared" si="160"/>
        <v>2</v>
      </c>
      <c r="IN32" s="22">
        <f t="shared" si="161"/>
        <v>6.625</v>
      </c>
      <c r="IO32" s="23">
        <f t="shared" si="162"/>
        <v>113.375</v>
      </c>
      <c r="IP32" s="24"/>
      <c r="IQ32" s="25">
        <v>15</v>
      </c>
      <c r="IR32" s="26">
        <v>2.645</v>
      </c>
      <c r="IS32" s="26">
        <v>2.645</v>
      </c>
      <c r="IT32" s="26">
        <v>0.88200000000000001</v>
      </c>
      <c r="IU32" s="26">
        <v>1.75</v>
      </c>
      <c r="IV32" s="26">
        <v>1</v>
      </c>
      <c r="IW32" s="26">
        <v>1.125</v>
      </c>
      <c r="IX32" s="8"/>
    </row>
    <row r="33" spans="2:258" ht="15.75" thickBot="1" x14ac:dyDescent="0.3">
      <c r="B33" s="103">
        <f t="shared" si="21"/>
        <v>90</v>
      </c>
      <c r="C33" s="221">
        <v>16</v>
      </c>
      <c r="D33" s="98">
        <f t="shared" si="1"/>
        <v>0.38314629629629632</v>
      </c>
      <c r="E33" s="96">
        <f t="shared" si="2"/>
        <v>0.44410138888888889</v>
      </c>
      <c r="F33" s="96">
        <f t="shared" si="3"/>
        <v>0.50505648148148152</v>
      </c>
      <c r="G33" s="96">
        <f t="shared" si="4"/>
        <v>0.53553402777777781</v>
      </c>
      <c r="H33" s="96">
        <f t="shared" si="5"/>
        <v>0.55382055555555554</v>
      </c>
      <c r="I33" s="96">
        <f t="shared" si="6"/>
        <v>0.5660115740740741</v>
      </c>
      <c r="J33" s="96">
        <f t="shared" si="7"/>
        <v>0.57471944444444445</v>
      </c>
      <c r="K33" s="96">
        <f t="shared" si="8"/>
        <v>0.58125034722222213</v>
      </c>
      <c r="L33" s="96">
        <f t="shared" si="9"/>
        <v>0.57471944444444445</v>
      </c>
      <c r="M33" s="96">
        <f t="shared" si="10"/>
        <v>0.57994416666666671</v>
      </c>
      <c r="N33" s="96">
        <f t="shared" si="11"/>
        <v>0.58421893939393943</v>
      </c>
      <c r="O33" s="96">
        <f t="shared" si="12"/>
        <v>0.5866927662037037</v>
      </c>
      <c r="P33" s="306"/>
      <c r="Q33" s="306"/>
      <c r="R33" s="306"/>
      <c r="S33" s="306"/>
      <c r="T33" s="306"/>
      <c r="U33" s="306"/>
      <c r="V33" s="306"/>
      <c r="W33" s="306"/>
      <c r="X33" s="96"/>
      <c r="Y33" s="65"/>
      <c r="AT33" s="4"/>
      <c r="AU33" s="14">
        <f t="shared" si="163"/>
        <v>72</v>
      </c>
      <c r="AV33" s="12" t="str">
        <f t="shared" si="22"/>
        <v>(1850)</v>
      </c>
      <c r="AW33" s="19"/>
      <c r="AX33" s="20">
        <f t="shared" si="23"/>
        <v>1.6962916666666665</v>
      </c>
      <c r="AY33" s="21" t="str">
        <f t="shared" si="24"/>
        <v>(0.16)</v>
      </c>
      <c r="AZ33" s="22">
        <v>2</v>
      </c>
      <c r="BA33" s="22">
        <f t="shared" si="25"/>
        <v>3.5</v>
      </c>
      <c r="BB33" s="22">
        <v>0</v>
      </c>
      <c r="BC33" s="22">
        <f t="shared" si="26"/>
        <v>0</v>
      </c>
      <c r="BD33" s="22">
        <v>0</v>
      </c>
      <c r="BE33" s="22">
        <f t="shared" si="27"/>
        <v>0</v>
      </c>
      <c r="BF33" s="22">
        <f t="shared" si="28"/>
        <v>3.5</v>
      </c>
      <c r="BG33" s="23">
        <f t="shared" si="29"/>
        <v>5.5</v>
      </c>
      <c r="BH33" s="373">
        <f t="shared" si="30"/>
        <v>2.6215416666666669</v>
      </c>
      <c r="BI33" s="374" t="str">
        <f t="shared" si="31"/>
        <v>(0.24)</v>
      </c>
      <c r="BJ33" s="375">
        <v>2</v>
      </c>
      <c r="BK33" s="375">
        <f t="shared" si="32"/>
        <v>3.5</v>
      </c>
      <c r="BL33" s="375">
        <v>0</v>
      </c>
      <c r="BM33" s="375">
        <f t="shared" si="33"/>
        <v>0</v>
      </c>
      <c r="BN33" s="375">
        <v>0</v>
      </c>
      <c r="BO33" s="375">
        <f t="shared" si="34"/>
        <v>0</v>
      </c>
      <c r="BP33" s="375">
        <f t="shared" si="35"/>
        <v>3.5</v>
      </c>
      <c r="BQ33" s="376">
        <f t="shared" si="36"/>
        <v>8.5</v>
      </c>
      <c r="BR33" s="373">
        <f t="shared" si="37"/>
        <v>4.4720416666666658</v>
      </c>
      <c r="BS33" s="374" t="str">
        <f t="shared" si="38"/>
        <v>(0.42)</v>
      </c>
      <c r="BT33" s="375">
        <v>2</v>
      </c>
      <c r="BU33" s="375">
        <f t="shared" si="39"/>
        <v>3.5</v>
      </c>
      <c r="BV33" s="375">
        <v>0</v>
      </c>
      <c r="BW33" s="375">
        <f t="shared" si="40"/>
        <v>0</v>
      </c>
      <c r="BX33" s="375">
        <v>0</v>
      </c>
      <c r="BY33" s="375">
        <f t="shared" si="41"/>
        <v>0</v>
      </c>
      <c r="BZ33" s="375">
        <f t="shared" si="42"/>
        <v>3.5</v>
      </c>
      <c r="CA33" s="376">
        <f t="shared" si="43"/>
        <v>14.5</v>
      </c>
      <c r="CB33" s="373">
        <f t="shared" si="44"/>
        <v>6.3225416666666669</v>
      </c>
      <c r="CC33" s="374" t="str">
        <f t="shared" si="45"/>
        <v>(0.59)</v>
      </c>
      <c r="CD33" s="375">
        <v>2</v>
      </c>
      <c r="CE33" s="375">
        <f t="shared" si="46"/>
        <v>3.5</v>
      </c>
      <c r="CF33" s="375">
        <v>0</v>
      </c>
      <c r="CG33" s="375">
        <f t="shared" si="47"/>
        <v>0</v>
      </c>
      <c r="CH33" s="375">
        <v>0</v>
      </c>
      <c r="CI33" s="375">
        <f t="shared" si="48"/>
        <v>0</v>
      </c>
      <c r="CJ33" s="375">
        <f t="shared" si="49"/>
        <v>3.5</v>
      </c>
      <c r="CK33" s="376">
        <f t="shared" si="50"/>
        <v>20.5</v>
      </c>
      <c r="CL33" s="373">
        <f t="shared" si="51"/>
        <v>8.1730416666666663</v>
      </c>
      <c r="CM33" s="374" t="str">
        <f t="shared" si="52"/>
        <v>(0.76)</v>
      </c>
      <c r="CN33" s="375">
        <v>2</v>
      </c>
      <c r="CO33" s="375">
        <f t="shared" si="53"/>
        <v>3.5</v>
      </c>
      <c r="CP33" s="375">
        <v>0</v>
      </c>
      <c r="CQ33" s="375">
        <f t="shared" si="54"/>
        <v>0</v>
      </c>
      <c r="CR33" s="375">
        <v>0</v>
      </c>
      <c r="CS33" s="375">
        <f t="shared" si="55"/>
        <v>0</v>
      </c>
      <c r="CT33" s="375">
        <f t="shared" si="56"/>
        <v>3.5</v>
      </c>
      <c r="CU33" s="376">
        <f t="shared" si="57"/>
        <v>26.5</v>
      </c>
      <c r="CV33" s="373">
        <f t="shared" si="58"/>
        <v>10.023541666666667</v>
      </c>
      <c r="CW33" s="374" t="str">
        <f t="shared" si="59"/>
        <v>(0.93)</v>
      </c>
      <c r="CX33" s="375">
        <v>2</v>
      </c>
      <c r="CY33" s="375">
        <f t="shared" si="60"/>
        <v>3.5</v>
      </c>
      <c r="CZ33" s="375">
        <v>0</v>
      </c>
      <c r="DA33" s="375">
        <f t="shared" si="61"/>
        <v>0</v>
      </c>
      <c r="DB33" s="375">
        <v>0</v>
      </c>
      <c r="DC33" s="375">
        <f t="shared" si="62"/>
        <v>0</v>
      </c>
      <c r="DD33" s="375">
        <f t="shared" si="63"/>
        <v>3.5</v>
      </c>
      <c r="DE33" s="376">
        <f t="shared" si="64"/>
        <v>32.5</v>
      </c>
      <c r="DF33" s="373">
        <f t="shared" si="65"/>
        <v>11.874041666666665</v>
      </c>
      <c r="DG33" s="374" t="str">
        <f t="shared" si="66"/>
        <v>(1.1)</v>
      </c>
      <c r="DH33" s="375">
        <v>2</v>
      </c>
      <c r="DI33" s="375">
        <f t="shared" si="67"/>
        <v>3.5</v>
      </c>
      <c r="DJ33" s="375">
        <v>0</v>
      </c>
      <c r="DK33" s="375">
        <f t="shared" si="68"/>
        <v>0</v>
      </c>
      <c r="DL33" s="375">
        <v>0</v>
      </c>
      <c r="DM33" s="375">
        <f t="shared" si="69"/>
        <v>0</v>
      </c>
      <c r="DN33" s="375">
        <f t="shared" si="70"/>
        <v>3.5</v>
      </c>
      <c r="DO33" s="376">
        <f t="shared" si="71"/>
        <v>38.5</v>
      </c>
      <c r="DP33" s="373">
        <f t="shared" si="72"/>
        <v>13.724541666666667</v>
      </c>
      <c r="DQ33" s="374" t="str">
        <f t="shared" si="73"/>
        <v>(1.28)</v>
      </c>
      <c r="DR33" s="375">
        <v>2</v>
      </c>
      <c r="DS33" s="375">
        <f t="shared" si="74"/>
        <v>3.5</v>
      </c>
      <c r="DT33" s="375">
        <v>0</v>
      </c>
      <c r="DU33" s="375">
        <f t="shared" si="75"/>
        <v>0</v>
      </c>
      <c r="DV33" s="375">
        <v>0</v>
      </c>
      <c r="DW33" s="375">
        <f t="shared" si="76"/>
        <v>0</v>
      </c>
      <c r="DX33" s="375">
        <f t="shared" si="77"/>
        <v>3.5</v>
      </c>
      <c r="DY33" s="376">
        <f t="shared" si="78"/>
        <v>44.5</v>
      </c>
      <c r="DZ33" s="373">
        <f t="shared" si="79"/>
        <v>15.266624999999998</v>
      </c>
      <c r="EA33" s="374" t="str">
        <f t="shared" si="80"/>
        <v>(1.42)</v>
      </c>
      <c r="EB33" s="375">
        <v>2</v>
      </c>
      <c r="EC33" s="375">
        <f t="shared" si="81"/>
        <v>3.5</v>
      </c>
      <c r="ED33" s="375">
        <v>0</v>
      </c>
      <c r="EE33" s="375">
        <f t="shared" si="82"/>
        <v>0</v>
      </c>
      <c r="EF33" s="375">
        <v>1</v>
      </c>
      <c r="EG33" s="375">
        <f t="shared" si="83"/>
        <v>1</v>
      </c>
      <c r="EH33" s="375">
        <f t="shared" si="84"/>
        <v>4.5</v>
      </c>
      <c r="EI33" s="376">
        <f t="shared" si="85"/>
        <v>49.5</v>
      </c>
      <c r="EJ33" s="373">
        <f t="shared" si="86"/>
        <v>17.117125000000001</v>
      </c>
      <c r="EK33" s="374" t="str">
        <f t="shared" si="87"/>
        <v>(1.59)</v>
      </c>
      <c r="EL33" s="375">
        <v>2</v>
      </c>
      <c r="EM33" s="375">
        <f t="shared" si="88"/>
        <v>3.5</v>
      </c>
      <c r="EN33" s="375">
        <v>0</v>
      </c>
      <c r="EO33" s="375">
        <f t="shared" si="89"/>
        <v>0</v>
      </c>
      <c r="EP33" s="375">
        <v>1</v>
      </c>
      <c r="EQ33" s="375">
        <f t="shared" si="90"/>
        <v>1</v>
      </c>
      <c r="ER33" s="375">
        <f t="shared" si="91"/>
        <v>4.5</v>
      </c>
      <c r="ES33" s="376">
        <f t="shared" si="92"/>
        <v>55.5</v>
      </c>
      <c r="ET33" s="373">
        <f t="shared" si="93"/>
        <v>18.967624999999998</v>
      </c>
      <c r="EU33" s="374" t="str">
        <f t="shared" si="94"/>
        <v>(1.76)</v>
      </c>
      <c r="EV33" s="375">
        <v>2</v>
      </c>
      <c r="EW33" s="375">
        <f t="shared" si="95"/>
        <v>3.5</v>
      </c>
      <c r="EX33" s="375">
        <v>0</v>
      </c>
      <c r="EY33" s="375">
        <f t="shared" si="96"/>
        <v>0</v>
      </c>
      <c r="EZ33" s="375">
        <v>1</v>
      </c>
      <c r="FA33" s="375">
        <f t="shared" si="97"/>
        <v>1</v>
      </c>
      <c r="FB33" s="375">
        <f t="shared" si="98"/>
        <v>4.5</v>
      </c>
      <c r="FC33" s="376">
        <f t="shared" si="99"/>
        <v>61.5</v>
      </c>
      <c r="FD33" s="373">
        <f t="shared" si="100"/>
        <v>20.779572916666666</v>
      </c>
      <c r="FE33" s="374" t="str">
        <f t="shared" si="101"/>
        <v>(1.93)</v>
      </c>
      <c r="FF33" s="375">
        <v>2</v>
      </c>
      <c r="FG33" s="375">
        <f t="shared" si="102"/>
        <v>3.5</v>
      </c>
      <c r="FH33" s="375">
        <v>1</v>
      </c>
      <c r="FI33" s="375">
        <f t="shared" si="103"/>
        <v>1.125</v>
      </c>
      <c r="FJ33" s="375">
        <v>0</v>
      </c>
      <c r="FK33" s="375">
        <f t="shared" si="104"/>
        <v>0</v>
      </c>
      <c r="FL33" s="375">
        <f t="shared" si="105"/>
        <v>4.625</v>
      </c>
      <c r="FM33" s="376">
        <f t="shared" si="106"/>
        <v>67.375</v>
      </c>
      <c r="FN33" s="373">
        <f t="shared" si="107"/>
        <v>22.630072916666666</v>
      </c>
      <c r="FO33" s="374" t="str">
        <f t="shared" si="108"/>
        <v>(2.10)</v>
      </c>
      <c r="FP33" s="375">
        <v>2</v>
      </c>
      <c r="FQ33" s="375">
        <f t="shared" si="109"/>
        <v>3.5</v>
      </c>
      <c r="FR33" s="375">
        <v>1</v>
      </c>
      <c r="FS33" s="375">
        <f t="shared" si="110"/>
        <v>1.125</v>
      </c>
      <c r="FT33" s="375">
        <v>0</v>
      </c>
      <c r="FU33" s="375">
        <f t="shared" si="111"/>
        <v>0</v>
      </c>
      <c r="FV33" s="375">
        <f t="shared" si="112"/>
        <v>4.625</v>
      </c>
      <c r="FW33" s="376">
        <f t="shared" si="113"/>
        <v>73.375</v>
      </c>
      <c r="FX33" s="373">
        <f t="shared" si="114"/>
        <v>24.480572916666667</v>
      </c>
      <c r="FY33" s="374" t="str">
        <f t="shared" si="115"/>
        <v>(2.27)</v>
      </c>
      <c r="FZ33" s="375">
        <v>2</v>
      </c>
      <c r="GA33" s="375">
        <f t="shared" si="116"/>
        <v>3.5</v>
      </c>
      <c r="GB33" s="375">
        <v>1</v>
      </c>
      <c r="GC33" s="375">
        <f t="shared" si="117"/>
        <v>1.125</v>
      </c>
      <c r="GD33" s="375">
        <v>0</v>
      </c>
      <c r="GE33" s="375">
        <f t="shared" si="118"/>
        <v>0</v>
      </c>
      <c r="GF33" s="375">
        <f t="shared" si="119"/>
        <v>4.625</v>
      </c>
      <c r="GG33" s="376">
        <f t="shared" si="120"/>
        <v>79.375</v>
      </c>
      <c r="GH33" s="373">
        <f t="shared" si="121"/>
        <v>26.331072916666667</v>
      </c>
      <c r="GI33" s="374" t="str">
        <f t="shared" si="122"/>
        <v>(2.45)</v>
      </c>
      <c r="GJ33" s="375">
        <v>2</v>
      </c>
      <c r="GK33" s="375">
        <f t="shared" si="123"/>
        <v>3.5</v>
      </c>
      <c r="GL33" s="375">
        <v>1</v>
      </c>
      <c r="GM33" s="375">
        <f t="shared" si="124"/>
        <v>1.125</v>
      </c>
      <c r="GN33" s="375">
        <v>0</v>
      </c>
      <c r="GO33" s="375">
        <f t="shared" si="125"/>
        <v>0</v>
      </c>
      <c r="GP33" s="375">
        <f t="shared" si="126"/>
        <v>4.625</v>
      </c>
      <c r="GQ33" s="376">
        <f t="shared" si="127"/>
        <v>85.375</v>
      </c>
      <c r="GR33" s="373">
        <f t="shared" si="128"/>
        <v>28.181572916666667</v>
      </c>
      <c r="GS33" s="374" t="str">
        <f t="shared" si="129"/>
        <v>(2.62)</v>
      </c>
      <c r="GT33" s="375">
        <v>2</v>
      </c>
      <c r="GU33" s="375">
        <f t="shared" si="130"/>
        <v>3.5</v>
      </c>
      <c r="GV33" s="375">
        <v>1</v>
      </c>
      <c r="GW33" s="375">
        <f t="shared" si="131"/>
        <v>1.125</v>
      </c>
      <c r="GX33" s="375">
        <v>0</v>
      </c>
      <c r="GY33" s="375">
        <f t="shared" si="132"/>
        <v>0</v>
      </c>
      <c r="GZ33" s="375">
        <f t="shared" si="133"/>
        <v>4.625</v>
      </c>
      <c r="HA33" s="376">
        <f t="shared" si="134"/>
        <v>91.375</v>
      </c>
      <c r="HB33" s="373">
        <f t="shared" si="135"/>
        <v>30.032072916666664</v>
      </c>
      <c r="HC33" s="374" t="str">
        <f t="shared" si="136"/>
        <v>(2.79)</v>
      </c>
      <c r="HD33" s="375">
        <v>2</v>
      </c>
      <c r="HE33" s="375">
        <f t="shared" si="137"/>
        <v>3.5</v>
      </c>
      <c r="HF33" s="375">
        <v>1</v>
      </c>
      <c r="HG33" s="375">
        <f t="shared" si="138"/>
        <v>1.125</v>
      </c>
      <c r="HH33" s="375">
        <v>0</v>
      </c>
      <c r="HI33" s="375">
        <f t="shared" si="139"/>
        <v>0</v>
      </c>
      <c r="HJ33" s="375">
        <f t="shared" si="140"/>
        <v>4.625</v>
      </c>
      <c r="HK33" s="376">
        <f t="shared" si="141"/>
        <v>97.375</v>
      </c>
      <c r="HL33" s="373">
        <f t="shared" si="142"/>
        <v>31.265739583333332</v>
      </c>
      <c r="HM33" s="374" t="str">
        <f t="shared" si="143"/>
        <v>(2.90)</v>
      </c>
      <c r="HN33" s="375">
        <v>2</v>
      </c>
      <c r="HO33" s="375">
        <f t="shared" si="144"/>
        <v>3.5</v>
      </c>
      <c r="HP33" s="375">
        <v>1</v>
      </c>
      <c r="HQ33" s="375">
        <f t="shared" si="145"/>
        <v>1.125</v>
      </c>
      <c r="HR33" s="375">
        <v>2</v>
      </c>
      <c r="HS33" s="375">
        <f t="shared" si="146"/>
        <v>2</v>
      </c>
      <c r="HT33" s="375">
        <f t="shared" si="147"/>
        <v>6.625</v>
      </c>
      <c r="HU33" s="376">
        <f t="shared" si="148"/>
        <v>101.375</v>
      </c>
      <c r="HV33" s="373">
        <f t="shared" si="149"/>
        <v>33.116239583333332</v>
      </c>
      <c r="HW33" s="374" t="str">
        <f t="shared" si="150"/>
        <v>(3.08)</v>
      </c>
      <c r="HX33" s="375">
        <v>2</v>
      </c>
      <c r="HY33" s="375">
        <f t="shared" si="151"/>
        <v>3.5</v>
      </c>
      <c r="HZ33" s="375">
        <v>1</v>
      </c>
      <c r="IA33" s="375">
        <f t="shared" si="152"/>
        <v>1.125</v>
      </c>
      <c r="IB33" s="375">
        <v>2</v>
      </c>
      <c r="IC33" s="375">
        <f t="shared" si="153"/>
        <v>2</v>
      </c>
      <c r="ID33" s="375">
        <f t="shared" si="154"/>
        <v>6.625</v>
      </c>
      <c r="IE33" s="376">
        <f t="shared" si="155"/>
        <v>107.375</v>
      </c>
      <c r="IF33" s="373">
        <f t="shared" si="156"/>
        <v>34.966739583333336</v>
      </c>
      <c r="IG33" s="374" t="str">
        <f t="shared" si="157"/>
        <v>(3.25)</v>
      </c>
      <c r="IH33" s="22">
        <v>2</v>
      </c>
      <c r="II33" s="22">
        <f t="shared" si="158"/>
        <v>3.5</v>
      </c>
      <c r="IJ33" s="22">
        <v>1</v>
      </c>
      <c r="IK33" s="22">
        <f t="shared" si="159"/>
        <v>1.125</v>
      </c>
      <c r="IL33" s="22">
        <v>2</v>
      </c>
      <c r="IM33" s="22">
        <f t="shared" si="160"/>
        <v>2</v>
      </c>
      <c r="IN33" s="22">
        <f t="shared" si="161"/>
        <v>6.625</v>
      </c>
      <c r="IO33" s="23">
        <f t="shared" si="162"/>
        <v>113.375</v>
      </c>
      <c r="IP33" s="24"/>
      <c r="IQ33" s="25">
        <v>16</v>
      </c>
      <c r="IR33" s="26">
        <v>2.645</v>
      </c>
      <c r="IS33" s="26">
        <v>2.645</v>
      </c>
      <c r="IT33" s="26">
        <v>2.0920000000000001</v>
      </c>
      <c r="IU33" s="26">
        <v>1.75</v>
      </c>
      <c r="IV33" s="26">
        <v>1</v>
      </c>
      <c r="IW33" s="26">
        <v>1.125</v>
      </c>
      <c r="IX33" s="8"/>
    </row>
    <row r="34" spans="2:258" ht="15.75" thickBot="1" x14ac:dyDescent="0.3">
      <c r="B34" s="103">
        <f t="shared" si="21"/>
        <v>96</v>
      </c>
      <c r="C34" s="226">
        <v>17</v>
      </c>
      <c r="D34" s="98">
        <f t="shared" si="1"/>
        <v>0.38373958333333341</v>
      </c>
      <c r="E34" s="96">
        <f t="shared" si="2"/>
        <v>0.44478906250000005</v>
      </c>
      <c r="F34" s="96">
        <f t="shared" si="3"/>
        <v>0.50583854166666675</v>
      </c>
      <c r="G34" s="96">
        <f t="shared" si="4"/>
        <v>0.5363632812500001</v>
      </c>
      <c r="H34" s="96">
        <f t="shared" si="5"/>
        <v>0.55467812500000002</v>
      </c>
      <c r="I34" s="96">
        <f t="shared" si="6"/>
        <v>0.56688802083333345</v>
      </c>
      <c r="J34" s="96">
        <f t="shared" si="7"/>
        <v>0.57560937499999998</v>
      </c>
      <c r="K34" s="96">
        <f t="shared" si="8"/>
        <v>0.58215039062499996</v>
      </c>
      <c r="L34" s="96">
        <f t="shared" si="9"/>
        <v>0.57560937500000009</v>
      </c>
      <c r="M34" s="96">
        <f t="shared" si="10"/>
        <v>0.58084218750000005</v>
      </c>
      <c r="N34" s="96">
        <f t="shared" si="11"/>
        <v>0.58512357954545458</v>
      </c>
      <c r="O34" s="96">
        <f>FD37/((O$17*$B34)/144)</f>
        <v>0.58760123697916666</v>
      </c>
      <c r="P34" s="306"/>
      <c r="Q34" s="306"/>
      <c r="R34" s="306"/>
      <c r="S34" s="306"/>
      <c r="T34" s="306"/>
      <c r="U34" s="306"/>
      <c r="V34" s="306"/>
      <c r="W34" s="306"/>
      <c r="X34" s="96"/>
      <c r="Y34" s="65"/>
      <c r="AT34" s="4"/>
      <c r="AU34" s="14">
        <f t="shared" si="163"/>
        <v>78</v>
      </c>
      <c r="AV34" s="12" t="str">
        <f t="shared" si="22"/>
        <v>(2000)</v>
      </c>
      <c r="AW34" s="19"/>
      <c r="AX34" s="20">
        <f t="shared" si="23"/>
        <v>1.852125</v>
      </c>
      <c r="AY34" s="21" t="str">
        <f t="shared" si="24"/>
        <v>(0.17)</v>
      </c>
      <c r="AZ34" s="22">
        <v>2</v>
      </c>
      <c r="BA34" s="22">
        <f t="shared" si="25"/>
        <v>3.5</v>
      </c>
      <c r="BB34" s="22">
        <v>0</v>
      </c>
      <c r="BC34" s="22">
        <f t="shared" si="26"/>
        <v>0</v>
      </c>
      <c r="BD34" s="22">
        <v>0</v>
      </c>
      <c r="BE34" s="22">
        <f t="shared" si="27"/>
        <v>0</v>
      </c>
      <c r="BF34" s="22">
        <f t="shared" si="28"/>
        <v>3.5</v>
      </c>
      <c r="BG34" s="23">
        <f t="shared" si="29"/>
        <v>5.5</v>
      </c>
      <c r="BH34" s="373">
        <f t="shared" si="30"/>
        <v>2.8623750000000001</v>
      </c>
      <c r="BI34" s="374" t="str">
        <f t="shared" si="31"/>
        <v>(0.27)</v>
      </c>
      <c r="BJ34" s="375">
        <v>2</v>
      </c>
      <c r="BK34" s="375">
        <f t="shared" si="32"/>
        <v>3.5</v>
      </c>
      <c r="BL34" s="375">
        <v>0</v>
      </c>
      <c r="BM34" s="375">
        <f t="shared" si="33"/>
        <v>0</v>
      </c>
      <c r="BN34" s="375">
        <v>0</v>
      </c>
      <c r="BO34" s="375">
        <f t="shared" si="34"/>
        <v>0</v>
      </c>
      <c r="BP34" s="375">
        <f t="shared" si="35"/>
        <v>3.5</v>
      </c>
      <c r="BQ34" s="376">
        <f t="shared" si="36"/>
        <v>8.5</v>
      </c>
      <c r="BR34" s="373">
        <f t="shared" si="37"/>
        <v>4.8828750000000003</v>
      </c>
      <c r="BS34" s="374" t="str">
        <f t="shared" si="38"/>
        <v>(0.45)</v>
      </c>
      <c r="BT34" s="375">
        <v>2</v>
      </c>
      <c r="BU34" s="375">
        <f t="shared" si="39"/>
        <v>3.5</v>
      </c>
      <c r="BV34" s="375">
        <v>0</v>
      </c>
      <c r="BW34" s="375">
        <f t="shared" si="40"/>
        <v>0</v>
      </c>
      <c r="BX34" s="375">
        <v>0</v>
      </c>
      <c r="BY34" s="375">
        <f t="shared" si="41"/>
        <v>0</v>
      </c>
      <c r="BZ34" s="375">
        <f t="shared" si="42"/>
        <v>3.5</v>
      </c>
      <c r="CA34" s="376">
        <f t="shared" si="43"/>
        <v>14.5</v>
      </c>
      <c r="CB34" s="373">
        <f t="shared" si="44"/>
        <v>6.9033750000000005</v>
      </c>
      <c r="CC34" s="374" t="str">
        <f t="shared" si="45"/>
        <v>(0.64)</v>
      </c>
      <c r="CD34" s="375">
        <v>2</v>
      </c>
      <c r="CE34" s="375">
        <f t="shared" si="46"/>
        <v>3.5</v>
      </c>
      <c r="CF34" s="375">
        <v>0</v>
      </c>
      <c r="CG34" s="375">
        <f t="shared" si="47"/>
        <v>0</v>
      </c>
      <c r="CH34" s="375">
        <v>0</v>
      </c>
      <c r="CI34" s="375">
        <f t="shared" si="48"/>
        <v>0</v>
      </c>
      <c r="CJ34" s="375">
        <f t="shared" si="49"/>
        <v>3.5</v>
      </c>
      <c r="CK34" s="376">
        <f t="shared" si="50"/>
        <v>20.5</v>
      </c>
      <c r="CL34" s="373">
        <f t="shared" si="51"/>
        <v>8.9238750000000007</v>
      </c>
      <c r="CM34" s="374" t="str">
        <f t="shared" si="52"/>
        <v>(0.83)</v>
      </c>
      <c r="CN34" s="375">
        <v>2</v>
      </c>
      <c r="CO34" s="375">
        <f t="shared" si="53"/>
        <v>3.5</v>
      </c>
      <c r="CP34" s="375">
        <v>0</v>
      </c>
      <c r="CQ34" s="375">
        <f t="shared" si="54"/>
        <v>0</v>
      </c>
      <c r="CR34" s="375">
        <v>0</v>
      </c>
      <c r="CS34" s="375">
        <f t="shared" si="55"/>
        <v>0</v>
      </c>
      <c r="CT34" s="375">
        <f t="shared" si="56"/>
        <v>3.5</v>
      </c>
      <c r="CU34" s="376">
        <f t="shared" si="57"/>
        <v>26.5</v>
      </c>
      <c r="CV34" s="373">
        <f t="shared" si="58"/>
        <v>10.944375000000001</v>
      </c>
      <c r="CW34" s="374" t="str">
        <f t="shared" si="59"/>
        <v>(1.02)</v>
      </c>
      <c r="CX34" s="375">
        <v>2</v>
      </c>
      <c r="CY34" s="375">
        <f t="shared" si="60"/>
        <v>3.5</v>
      </c>
      <c r="CZ34" s="375">
        <v>0</v>
      </c>
      <c r="DA34" s="375">
        <f t="shared" si="61"/>
        <v>0</v>
      </c>
      <c r="DB34" s="375">
        <v>0</v>
      </c>
      <c r="DC34" s="375">
        <f t="shared" si="62"/>
        <v>0</v>
      </c>
      <c r="DD34" s="375">
        <f t="shared" si="63"/>
        <v>3.5</v>
      </c>
      <c r="DE34" s="376">
        <f t="shared" si="64"/>
        <v>32.5</v>
      </c>
      <c r="DF34" s="373">
        <f t="shared" si="65"/>
        <v>12.964875000000001</v>
      </c>
      <c r="DG34" s="374" t="str">
        <f t="shared" si="66"/>
        <v>(1.2)</v>
      </c>
      <c r="DH34" s="375">
        <v>2</v>
      </c>
      <c r="DI34" s="375">
        <f t="shared" si="67"/>
        <v>3.5</v>
      </c>
      <c r="DJ34" s="375">
        <v>0</v>
      </c>
      <c r="DK34" s="375">
        <f t="shared" si="68"/>
        <v>0</v>
      </c>
      <c r="DL34" s="375">
        <v>0</v>
      </c>
      <c r="DM34" s="375">
        <f t="shared" si="69"/>
        <v>0</v>
      </c>
      <c r="DN34" s="375">
        <f t="shared" si="70"/>
        <v>3.5</v>
      </c>
      <c r="DO34" s="376">
        <f t="shared" si="71"/>
        <v>38.5</v>
      </c>
      <c r="DP34" s="373">
        <f t="shared" si="72"/>
        <v>14.985375000000001</v>
      </c>
      <c r="DQ34" s="374" t="str">
        <f t="shared" si="73"/>
        <v>(1.39)</v>
      </c>
      <c r="DR34" s="375">
        <v>2</v>
      </c>
      <c r="DS34" s="375">
        <f t="shared" si="74"/>
        <v>3.5</v>
      </c>
      <c r="DT34" s="375">
        <v>0</v>
      </c>
      <c r="DU34" s="375">
        <f t="shared" si="75"/>
        <v>0</v>
      </c>
      <c r="DV34" s="375">
        <v>0</v>
      </c>
      <c r="DW34" s="375">
        <f t="shared" si="76"/>
        <v>0</v>
      </c>
      <c r="DX34" s="375">
        <f t="shared" si="77"/>
        <v>3.5</v>
      </c>
      <c r="DY34" s="376">
        <f t="shared" si="78"/>
        <v>44.5</v>
      </c>
      <c r="DZ34" s="373">
        <f t="shared" si="79"/>
        <v>16.669125000000001</v>
      </c>
      <c r="EA34" s="374" t="str">
        <f t="shared" si="80"/>
        <v>(1.55)</v>
      </c>
      <c r="EB34" s="375">
        <v>2</v>
      </c>
      <c r="EC34" s="375">
        <f t="shared" si="81"/>
        <v>3.5</v>
      </c>
      <c r="ED34" s="375">
        <v>0</v>
      </c>
      <c r="EE34" s="375">
        <f t="shared" si="82"/>
        <v>0</v>
      </c>
      <c r="EF34" s="375">
        <v>1</v>
      </c>
      <c r="EG34" s="375">
        <f t="shared" si="83"/>
        <v>1</v>
      </c>
      <c r="EH34" s="375">
        <f t="shared" si="84"/>
        <v>4.5</v>
      </c>
      <c r="EI34" s="376">
        <f t="shared" si="85"/>
        <v>49.5</v>
      </c>
      <c r="EJ34" s="373">
        <f t="shared" si="86"/>
        <v>18.689624999999999</v>
      </c>
      <c r="EK34" s="374" t="str">
        <f t="shared" si="87"/>
        <v>(1.74)</v>
      </c>
      <c r="EL34" s="375">
        <v>2</v>
      </c>
      <c r="EM34" s="375">
        <f t="shared" si="88"/>
        <v>3.5</v>
      </c>
      <c r="EN34" s="375">
        <v>0</v>
      </c>
      <c r="EO34" s="375">
        <f t="shared" si="89"/>
        <v>0</v>
      </c>
      <c r="EP34" s="375">
        <v>1</v>
      </c>
      <c r="EQ34" s="375">
        <f t="shared" si="90"/>
        <v>1</v>
      </c>
      <c r="ER34" s="375">
        <f t="shared" si="91"/>
        <v>4.5</v>
      </c>
      <c r="ES34" s="376">
        <f t="shared" si="92"/>
        <v>55.5</v>
      </c>
      <c r="ET34" s="373">
        <f t="shared" si="93"/>
        <v>20.710125000000001</v>
      </c>
      <c r="EU34" s="374" t="str">
        <f t="shared" si="94"/>
        <v>(1.92)</v>
      </c>
      <c r="EV34" s="375">
        <v>2</v>
      </c>
      <c r="EW34" s="375">
        <f t="shared" si="95"/>
        <v>3.5</v>
      </c>
      <c r="EX34" s="375">
        <v>0</v>
      </c>
      <c r="EY34" s="375">
        <f t="shared" si="96"/>
        <v>0</v>
      </c>
      <c r="EZ34" s="375">
        <v>1</v>
      </c>
      <c r="FA34" s="375">
        <f t="shared" si="97"/>
        <v>1</v>
      </c>
      <c r="FB34" s="375">
        <f t="shared" si="98"/>
        <v>4.5</v>
      </c>
      <c r="FC34" s="376">
        <f t="shared" si="99"/>
        <v>61.5</v>
      </c>
      <c r="FD34" s="373">
        <f t="shared" si="100"/>
        <v>22.68853125</v>
      </c>
      <c r="FE34" s="374" t="str">
        <f t="shared" si="101"/>
        <v>(2.11)</v>
      </c>
      <c r="FF34" s="375">
        <v>2</v>
      </c>
      <c r="FG34" s="375">
        <f t="shared" si="102"/>
        <v>3.5</v>
      </c>
      <c r="FH34" s="375">
        <v>1</v>
      </c>
      <c r="FI34" s="375">
        <f t="shared" si="103"/>
        <v>1.125</v>
      </c>
      <c r="FJ34" s="375">
        <v>0</v>
      </c>
      <c r="FK34" s="375">
        <f t="shared" si="104"/>
        <v>0</v>
      </c>
      <c r="FL34" s="375">
        <f t="shared" si="105"/>
        <v>4.625</v>
      </c>
      <c r="FM34" s="376">
        <f t="shared" si="106"/>
        <v>67.375</v>
      </c>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v>18</v>
      </c>
      <c r="IR34" s="26">
        <v>2.645</v>
      </c>
      <c r="IS34" s="26">
        <v>2.645</v>
      </c>
      <c r="IT34" s="26">
        <v>0.88200000000000001</v>
      </c>
      <c r="IU34" s="26">
        <v>1.75</v>
      </c>
      <c r="IV34" s="26">
        <v>1</v>
      </c>
      <c r="IW34" s="26">
        <v>1.125</v>
      </c>
      <c r="IX34" s="8"/>
    </row>
    <row r="35" spans="2:258" ht="15.75" thickBot="1" x14ac:dyDescent="0.3">
      <c r="B35" s="103">
        <f t="shared" si="21"/>
        <v>102</v>
      </c>
      <c r="C35" s="221">
        <v>18</v>
      </c>
      <c r="D35" s="98">
        <f t="shared" si="1"/>
        <v>0.38561111111111118</v>
      </c>
      <c r="E35" s="96">
        <f t="shared" si="2"/>
        <v>0.4469583333333334</v>
      </c>
      <c r="F35" s="96">
        <f t="shared" si="3"/>
        <v>0.50830555555555568</v>
      </c>
      <c r="G35" s="96">
        <f t="shared" si="4"/>
        <v>0.53897916666666679</v>
      </c>
      <c r="H35" s="96">
        <f t="shared" si="5"/>
        <v>0.55738333333333345</v>
      </c>
      <c r="I35" s="96">
        <f t="shared" si="6"/>
        <v>0.5696527777777779</v>
      </c>
      <c r="J35" s="96">
        <f t="shared" si="7"/>
        <v>0.57841666666666669</v>
      </c>
      <c r="K35" s="96">
        <f t="shared" si="8"/>
        <v>0.5849895833333334</v>
      </c>
      <c r="L35" s="96">
        <f t="shared" si="9"/>
        <v>0.57841666666666669</v>
      </c>
      <c r="M35" s="96">
        <f t="shared" si="10"/>
        <v>0.58367500000000005</v>
      </c>
      <c r="N35" s="96">
        <f t="shared" si="11"/>
        <v>0.58797727272727274</v>
      </c>
      <c r="O35" s="96">
        <f t="shared" si="12"/>
        <v>0.59046701388888889</v>
      </c>
      <c r="P35" s="306"/>
      <c r="Q35" s="306"/>
      <c r="R35" s="306"/>
      <c r="S35" s="306"/>
      <c r="T35" s="306"/>
      <c r="U35" s="306"/>
      <c r="V35" s="306"/>
      <c r="W35" s="306"/>
      <c r="X35" s="96"/>
      <c r="Y35" s="65"/>
      <c r="AT35" s="4"/>
      <c r="AU35" s="14">
        <f t="shared" si="163"/>
        <v>84</v>
      </c>
      <c r="AV35" s="12" t="str">
        <f t="shared" si="22"/>
        <v>(2150)</v>
      </c>
      <c r="AW35" s="19"/>
      <c r="AX35" s="20">
        <f t="shared" si="23"/>
        <v>1.9993645833333333</v>
      </c>
      <c r="AY35" s="21" t="str">
        <f t="shared" si="24"/>
        <v>(0.19)</v>
      </c>
      <c r="AZ35" s="22">
        <v>2</v>
      </c>
      <c r="BA35" s="22">
        <f t="shared" si="25"/>
        <v>3.5</v>
      </c>
      <c r="BB35" s="22">
        <v>0</v>
      </c>
      <c r="BC35" s="22">
        <f t="shared" si="26"/>
        <v>0</v>
      </c>
      <c r="BD35" s="22">
        <v>0</v>
      </c>
      <c r="BE35" s="22">
        <f t="shared" si="27"/>
        <v>0</v>
      </c>
      <c r="BF35" s="22">
        <f t="shared" si="28"/>
        <v>3.5</v>
      </c>
      <c r="BG35" s="23">
        <f t="shared" si="29"/>
        <v>5.5</v>
      </c>
      <c r="BH35" s="373">
        <f t="shared" si="30"/>
        <v>3.0899270833333334</v>
      </c>
      <c r="BI35" s="374" t="str">
        <f t="shared" si="31"/>
        <v>(0.29)</v>
      </c>
      <c r="BJ35" s="375">
        <v>2</v>
      </c>
      <c r="BK35" s="375">
        <f t="shared" si="32"/>
        <v>3.5</v>
      </c>
      <c r="BL35" s="375">
        <v>0</v>
      </c>
      <c r="BM35" s="375">
        <f t="shared" si="33"/>
        <v>0</v>
      </c>
      <c r="BN35" s="375">
        <v>0</v>
      </c>
      <c r="BO35" s="375">
        <f t="shared" si="34"/>
        <v>0</v>
      </c>
      <c r="BP35" s="375">
        <f t="shared" si="35"/>
        <v>3.5</v>
      </c>
      <c r="BQ35" s="376">
        <f t="shared" si="36"/>
        <v>8.5</v>
      </c>
      <c r="BR35" s="373">
        <f t="shared" si="37"/>
        <v>5.2710520833333341</v>
      </c>
      <c r="BS35" s="374" t="str">
        <f t="shared" si="38"/>
        <v>(0.49)</v>
      </c>
      <c r="BT35" s="375">
        <v>2</v>
      </c>
      <c r="BU35" s="375">
        <f t="shared" si="39"/>
        <v>3.5</v>
      </c>
      <c r="BV35" s="375">
        <v>0</v>
      </c>
      <c r="BW35" s="375">
        <f t="shared" si="40"/>
        <v>0</v>
      </c>
      <c r="BX35" s="375">
        <v>0</v>
      </c>
      <c r="BY35" s="375">
        <f t="shared" si="41"/>
        <v>0</v>
      </c>
      <c r="BZ35" s="375">
        <f t="shared" si="42"/>
        <v>3.5</v>
      </c>
      <c r="CA35" s="376">
        <f t="shared" si="43"/>
        <v>14.5</v>
      </c>
      <c r="CB35" s="373">
        <f t="shared" si="44"/>
        <v>7.452177083333333</v>
      </c>
      <c r="CC35" s="374" t="str">
        <f t="shared" si="45"/>
        <v>(0.69)</v>
      </c>
      <c r="CD35" s="375">
        <v>2</v>
      </c>
      <c r="CE35" s="375">
        <f t="shared" si="46"/>
        <v>3.5</v>
      </c>
      <c r="CF35" s="375">
        <v>0</v>
      </c>
      <c r="CG35" s="375">
        <f t="shared" si="47"/>
        <v>0</v>
      </c>
      <c r="CH35" s="375">
        <v>0</v>
      </c>
      <c r="CI35" s="375">
        <f t="shared" si="48"/>
        <v>0</v>
      </c>
      <c r="CJ35" s="375">
        <f t="shared" si="49"/>
        <v>3.5</v>
      </c>
      <c r="CK35" s="376">
        <f t="shared" si="50"/>
        <v>20.5</v>
      </c>
      <c r="CL35" s="373">
        <f t="shared" si="51"/>
        <v>9.6333020833333336</v>
      </c>
      <c r="CM35" s="374" t="str">
        <f t="shared" si="52"/>
        <v>(0.89)</v>
      </c>
      <c r="CN35" s="375">
        <v>2</v>
      </c>
      <c r="CO35" s="375">
        <f t="shared" si="53"/>
        <v>3.5</v>
      </c>
      <c r="CP35" s="375">
        <v>0</v>
      </c>
      <c r="CQ35" s="375">
        <f t="shared" si="54"/>
        <v>0</v>
      </c>
      <c r="CR35" s="375">
        <v>0</v>
      </c>
      <c r="CS35" s="375">
        <f t="shared" si="55"/>
        <v>0</v>
      </c>
      <c r="CT35" s="375">
        <f t="shared" si="56"/>
        <v>3.5</v>
      </c>
      <c r="CU35" s="376">
        <f t="shared" si="57"/>
        <v>26.5</v>
      </c>
      <c r="CV35" s="373">
        <f t="shared" si="58"/>
        <v>11.814427083333335</v>
      </c>
      <c r="CW35" s="374" t="str">
        <f t="shared" si="59"/>
        <v>(1.1)</v>
      </c>
      <c r="CX35" s="375">
        <v>2</v>
      </c>
      <c r="CY35" s="375">
        <f t="shared" si="60"/>
        <v>3.5</v>
      </c>
      <c r="CZ35" s="375">
        <v>0</v>
      </c>
      <c r="DA35" s="375">
        <f t="shared" si="61"/>
        <v>0</v>
      </c>
      <c r="DB35" s="375">
        <v>0</v>
      </c>
      <c r="DC35" s="375">
        <f t="shared" si="62"/>
        <v>0</v>
      </c>
      <c r="DD35" s="375">
        <f t="shared" si="63"/>
        <v>3.5</v>
      </c>
      <c r="DE35" s="376">
        <f t="shared" si="64"/>
        <v>32.5</v>
      </c>
      <c r="DF35" s="373">
        <f t="shared" si="65"/>
        <v>13.995552083333333</v>
      </c>
      <c r="DG35" s="374" t="str">
        <f t="shared" si="66"/>
        <v>(1.3)</v>
      </c>
      <c r="DH35" s="375">
        <v>2</v>
      </c>
      <c r="DI35" s="375">
        <f t="shared" si="67"/>
        <v>3.5</v>
      </c>
      <c r="DJ35" s="375">
        <v>0</v>
      </c>
      <c r="DK35" s="375">
        <f t="shared" si="68"/>
        <v>0</v>
      </c>
      <c r="DL35" s="375">
        <v>0</v>
      </c>
      <c r="DM35" s="375">
        <f t="shared" si="69"/>
        <v>0</v>
      </c>
      <c r="DN35" s="375">
        <f t="shared" si="70"/>
        <v>3.5</v>
      </c>
      <c r="DO35" s="376">
        <f t="shared" si="71"/>
        <v>38.5</v>
      </c>
      <c r="DP35" s="373">
        <f t="shared" si="72"/>
        <v>16.176677083333331</v>
      </c>
      <c r="DQ35" s="374" t="str">
        <f t="shared" si="73"/>
        <v>(1.5)</v>
      </c>
      <c r="DR35" s="375">
        <v>2</v>
      </c>
      <c r="DS35" s="375">
        <f t="shared" si="74"/>
        <v>3.5</v>
      </c>
      <c r="DT35" s="375">
        <v>0</v>
      </c>
      <c r="DU35" s="375">
        <f t="shared" si="75"/>
        <v>0</v>
      </c>
      <c r="DV35" s="375">
        <v>0</v>
      </c>
      <c r="DW35" s="375">
        <f t="shared" si="76"/>
        <v>0</v>
      </c>
      <c r="DX35" s="375">
        <f t="shared" si="77"/>
        <v>3.5</v>
      </c>
      <c r="DY35" s="376">
        <f t="shared" si="78"/>
        <v>44.5</v>
      </c>
      <c r="DZ35" s="373">
        <f t="shared" si="79"/>
        <v>17.99428125</v>
      </c>
      <c r="EA35" s="374" t="str">
        <f t="shared" si="80"/>
        <v>(1.67)</v>
      </c>
      <c r="EB35" s="375">
        <v>2</v>
      </c>
      <c r="EC35" s="375">
        <f t="shared" si="81"/>
        <v>3.5</v>
      </c>
      <c r="ED35" s="375">
        <v>0</v>
      </c>
      <c r="EE35" s="375">
        <f t="shared" si="82"/>
        <v>0</v>
      </c>
      <c r="EF35" s="375">
        <v>1</v>
      </c>
      <c r="EG35" s="375">
        <f t="shared" si="83"/>
        <v>1</v>
      </c>
      <c r="EH35" s="375">
        <f t="shared" si="84"/>
        <v>4.5</v>
      </c>
      <c r="EI35" s="376">
        <f t="shared" si="85"/>
        <v>49.5</v>
      </c>
      <c r="EJ35" s="373">
        <f t="shared" si="86"/>
        <v>20.175406249999998</v>
      </c>
      <c r="EK35" s="374" t="str">
        <f t="shared" si="87"/>
        <v>(1.87)</v>
      </c>
      <c r="EL35" s="375">
        <v>2</v>
      </c>
      <c r="EM35" s="375">
        <f t="shared" si="88"/>
        <v>3.5</v>
      </c>
      <c r="EN35" s="375">
        <v>0</v>
      </c>
      <c r="EO35" s="375">
        <f t="shared" si="89"/>
        <v>0</v>
      </c>
      <c r="EP35" s="375">
        <v>1</v>
      </c>
      <c r="EQ35" s="375">
        <f t="shared" si="90"/>
        <v>1</v>
      </c>
      <c r="ER35" s="375">
        <f t="shared" si="91"/>
        <v>4.5</v>
      </c>
      <c r="ES35" s="376">
        <f t="shared" si="92"/>
        <v>55.5</v>
      </c>
      <c r="ET35" s="373">
        <f t="shared" si="93"/>
        <v>22.356531250000003</v>
      </c>
      <c r="EU35" s="374" t="str">
        <f t="shared" si="94"/>
        <v>(2.08)</v>
      </c>
      <c r="EV35" s="375">
        <v>2</v>
      </c>
      <c r="EW35" s="375">
        <f t="shared" si="95"/>
        <v>3.5</v>
      </c>
      <c r="EX35" s="375">
        <v>0</v>
      </c>
      <c r="EY35" s="375">
        <f t="shared" si="96"/>
        <v>0</v>
      </c>
      <c r="EZ35" s="375">
        <v>1</v>
      </c>
      <c r="FA35" s="375">
        <f t="shared" si="97"/>
        <v>1</v>
      </c>
      <c r="FB35" s="375">
        <f t="shared" si="98"/>
        <v>4.5</v>
      </c>
      <c r="FC35" s="376">
        <f t="shared" si="99"/>
        <v>61.5</v>
      </c>
      <c r="FD35" s="373">
        <f t="shared" si="100"/>
        <v>24.492216145833332</v>
      </c>
      <c r="FE35" s="374" t="str">
        <f t="shared" si="101"/>
        <v>(2.28)</v>
      </c>
      <c r="FF35" s="375">
        <v>2</v>
      </c>
      <c r="FG35" s="375">
        <f t="shared" si="102"/>
        <v>3.5</v>
      </c>
      <c r="FH35" s="375">
        <v>1</v>
      </c>
      <c r="FI35" s="375">
        <f t="shared" si="103"/>
        <v>1.125</v>
      </c>
      <c r="FJ35" s="375">
        <v>0</v>
      </c>
      <c r="FK35" s="375">
        <f t="shared" si="104"/>
        <v>0</v>
      </c>
      <c r="FL35" s="375">
        <f t="shared" si="105"/>
        <v>4.625</v>
      </c>
      <c r="FM35" s="376">
        <f t="shared" si="106"/>
        <v>67.375</v>
      </c>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5">
        <v>19</v>
      </c>
      <c r="IR35" s="26">
        <v>2.645</v>
      </c>
      <c r="IS35" s="26">
        <v>2.645</v>
      </c>
      <c r="IT35" s="26">
        <v>2.0920000000000001</v>
      </c>
      <c r="IU35" s="26">
        <v>1.75</v>
      </c>
      <c r="IV35" s="26">
        <v>1</v>
      </c>
      <c r="IW35" s="26">
        <v>1.125</v>
      </c>
      <c r="IX35" s="8"/>
    </row>
    <row r="36" spans="2:258" ht="15.75" thickBot="1" x14ac:dyDescent="0.3">
      <c r="B36" s="103">
        <f t="shared" si="21"/>
        <v>108</v>
      </c>
      <c r="C36" s="226">
        <v>19</v>
      </c>
      <c r="D36" s="98">
        <f t="shared" si="1"/>
        <v>0.38600154320987651</v>
      </c>
      <c r="E36" s="96">
        <f t="shared" si="2"/>
        <v>0.44741087962962961</v>
      </c>
      <c r="F36" s="96">
        <f t="shared" si="3"/>
        <v>0.50882021604938266</v>
      </c>
      <c r="G36" s="96">
        <f t="shared" si="4"/>
        <v>0.53952488425925926</v>
      </c>
      <c r="H36" s="96">
        <f t="shared" si="5"/>
        <v>0.55794768518518523</v>
      </c>
      <c r="I36" s="96">
        <f t="shared" si="6"/>
        <v>0.57022955246913576</v>
      </c>
      <c r="J36" s="96">
        <f t="shared" si="7"/>
        <v>0.57900231481481479</v>
      </c>
      <c r="K36" s="96">
        <f t="shared" si="8"/>
        <v>0.58558188657407406</v>
      </c>
      <c r="L36" s="96">
        <f t="shared" si="9"/>
        <v>0.5790023148148149</v>
      </c>
      <c r="M36" s="96">
        <f t="shared" si="10"/>
        <v>0.58426597222222221</v>
      </c>
      <c r="N36" s="96">
        <f t="shared" si="11"/>
        <v>0.58857260101010112</v>
      </c>
      <c r="O36" s="96">
        <f t="shared" si="12"/>
        <v>0.5910648630401234</v>
      </c>
      <c r="P36" s="306"/>
      <c r="Q36" s="306"/>
      <c r="R36" s="306"/>
      <c r="S36" s="306"/>
      <c r="T36" s="306"/>
      <c r="U36" s="306"/>
      <c r="V36" s="306"/>
      <c r="W36" s="306"/>
      <c r="X36" s="96"/>
      <c r="Y36" s="65"/>
      <c r="AT36" s="4"/>
      <c r="AU36" s="27">
        <f t="shared" si="163"/>
        <v>90</v>
      </c>
      <c r="AV36" s="28" t="str">
        <f t="shared" si="22"/>
        <v>(2300)</v>
      </c>
      <c r="AW36" s="19"/>
      <c r="AX36" s="20">
        <f t="shared" si="23"/>
        <v>2.1551979166666668</v>
      </c>
      <c r="AY36" s="29" t="str">
        <f t="shared" si="24"/>
        <v>(0.20)</v>
      </c>
      <c r="AZ36" s="22">
        <v>2</v>
      </c>
      <c r="BA36" s="22">
        <f t="shared" si="25"/>
        <v>3.5</v>
      </c>
      <c r="BB36" s="30">
        <v>0</v>
      </c>
      <c r="BC36" s="22">
        <f t="shared" si="26"/>
        <v>0</v>
      </c>
      <c r="BD36" s="30">
        <v>0</v>
      </c>
      <c r="BE36" s="22">
        <f t="shared" si="27"/>
        <v>0</v>
      </c>
      <c r="BF36" s="22">
        <f t="shared" si="28"/>
        <v>3.5</v>
      </c>
      <c r="BG36" s="23">
        <f t="shared" si="29"/>
        <v>5.5</v>
      </c>
      <c r="BH36" s="373">
        <f t="shared" si="30"/>
        <v>3.3307604166666667</v>
      </c>
      <c r="BI36" s="374" t="str">
        <f t="shared" si="31"/>
        <v>(0.31)</v>
      </c>
      <c r="BJ36" s="375">
        <v>2</v>
      </c>
      <c r="BK36" s="375">
        <f t="shared" si="32"/>
        <v>3.5</v>
      </c>
      <c r="BL36" s="375">
        <v>0</v>
      </c>
      <c r="BM36" s="375">
        <f t="shared" si="33"/>
        <v>0</v>
      </c>
      <c r="BN36" s="375">
        <v>0</v>
      </c>
      <c r="BO36" s="375">
        <f t="shared" si="34"/>
        <v>0</v>
      </c>
      <c r="BP36" s="375">
        <f t="shared" si="35"/>
        <v>3.5</v>
      </c>
      <c r="BQ36" s="376">
        <f t="shared" si="36"/>
        <v>8.5</v>
      </c>
      <c r="BR36" s="373">
        <f t="shared" si="37"/>
        <v>5.6818854166666668</v>
      </c>
      <c r="BS36" s="374" t="str">
        <f t="shared" si="38"/>
        <v>(0.53)</v>
      </c>
      <c r="BT36" s="375">
        <v>2</v>
      </c>
      <c r="BU36" s="375">
        <f t="shared" si="39"/>
        <v>3.5</v>
      </c>
      <c r="BV36" s="375">
        <v>0</v>
      </c>
      <c r="BW36" s="375">
        <f t="shared" si="40"/>
        <v>0</v>
      </c>
      <c r="BX36" s="375">
        <v>0</v>
      </c>
      <c r="BY36" s="375">
        <f t="shared" si="41"/>
        <v>0</v>
      </c>
      <c r="BZ36" s="375">
        <f t="shared" si="42"/>
        <v>3.5</v>
      </c>
      <c r="CA36" s="376">
        <f t="shared" si="43"/>
        <v>14.5</v>
      </c>
      <c r="CB36" s="373">
        <f t="shared" si="44"/>
        <v>8.0330104166666665</v>
      </c>
      <c r="CC36" s="374" t="str">
        <f t="shared" si="45"/>
        <v>(0.75)</v>
      </c>
      <c r="CD36" s="375">
        <v>2</v>
      </c>
      <c r="CE36" s="375">
        <f t="shared" si="46"/>
        <v>3.5</v>
      </c>
      <c r="CF36" s="375">
        <v>0</v>
      </c>
      <c r="CG36" s="375">
        <f t="shared" si="47"/>
        <v>0</v>
      </c>
      <c r="CH36" s="375">
        <v>0</v>
      </c>
      <c r="CI36" s="375">
        <f t="shared" si="48"/>
        <v>0</v>
      </c>
      <c r="CJ36" s="375">
        <f t="shared" si="49"/>
        <v>3.5</v>
      </c>
      <c r="CK36" s="376">
        <f t="shared" si="50"/>
        <v>20.5</v>
      </c>
      <c r="CL36" s="373">
        <f t="shared" si="51"/>
        <v>10.384135416666666</v>
      </c>
      <c r="CM36" s="374" t="str">
        <f t="shared" si="52"/>
        <v>(0.96)</v>
      </c>
      <c r="CN36" s="375">
        <v>2</v>
      </c>
      <c r="CO36" s="375">
        <f t="shared" si="53"/>
        <v>3.5</v>
      </c>
      <c r="CP36" s="375">
        <v>0</v>
      </c>
      <c r="CQ36" s="375">
        <f t="shared" si="54"/>
        <v>0</v>
      </c>
      <c r="CR36" s="375">
        <v>0</v>
      </c>
      <c r="CS36" s="375">
        <f t="shared" si="55"/>
        <v>0</v>
      </c>
      <c r="CT36" s="375">
        <f t="shared" si="56"/>
        <v>3.5</v>
      </c>
      <c r="CU36" s="376">
        <f t="shared" si="57"/>
        <v>26.5</v>
      </c>
      <c r="CV36" s="373">
        <f t="shared" si="58"/>
        <v>12.735260416666668</v>
      </c>
      <c r="CW36" s="374" t="str">
        <f t="shared" si="59"/>
        <v>(1.18)</v>
      </c>
      <c r="CX36" s="375">
        <v>2</v>
      </c>
      <c r="CY36" s="375">
        <f t="shared" si="60"/>
        <v>3.5</v>
      </c>
      <c r="CZ36" s="375">
        <v>0</v>
      </c>
      <c r="DA36" s="375">
        <f t="shared" si="61"/>
        <v>0</v>
      </c>
      <c r="DB36" s="375">
        <v>0</v>
      </c>
      <c r="DC36" s="375">
        <f t="shared" si="62"/>
        <v>0</v>
      </c>
      <c r="DD36" s="375">
        <f t="shared" si="63"/>
        <v>3.5</v>
      </c>
      <c r="DE36" s="376">
        <f t="shared" si="64"/>
        <v>32.5</v>
      </c>
      <c r="DF36" s="373">
        <f t="shared" si="65"/>
        <v>15.086385416666666</v>
      </c>
      <c r="DG36" s="374" t="str">
        <f t="shared" si="66"/>
        <v>(1.4)</v>
      </c>
      <c r="DH36" s="375">
        <v>2</v>
      </c>
      <c r="DI36" s="375">
        <f t="shared" si="67"/>
        <v>3.5</v>
      </c>
      <c r="DJ36" s="375">
        <v>0</v>
      </c>
      <c r="DK36" s="375">
        <f t="shared" si="68"/>
        <v>0</v>
      </c>
      <c r="DL36" s="375">
        <v>0</v>
      </c>
      <c r="DM36" s="375">
        <f t="shared" si="69"/>
        <v>0</v>
      </c>
      <c r="DN36" s="375">
        <f t="shared" si="70"/>
        <v>3.5</v>
      </c>
      <c r="DO36" s="376">
        <f t="shared" si="71"/>
        <v>38.5</v>
      </c>
      <c r="DP36" s="373">
        <f t="shared" si="72"/>
        <v>17.437510416666665</v>
      </c>
      <c r="DQ36" s="374" t="str">
        <f t="shared" si="73"/>
        <v>(1.62)</v>
      </c>
      <c r="DR36" s="375">
        <v>2</v>
      </c>
      <c r="DS36" s="375">
        <f t="shared" si="74"/>
        <v>3.5</v>
      </c>
      <c r="DT36" s="375">
        <v>0</v>
      </c>
      <c r="DU36" s="375">
        <f t="shared" si="75"/>
        <v>0</v>
      </c>
      <c r="DV36" s="375">
        <v>0</v>
      </c>
      <c r="DW36" s="375">
        <f t="shared" si="76"/>
        <v>0</v>
      </c>
      <c r="DX36" s="375">
        <f t="shared" si="77"/>
        <v>3.5</v>
      </c>
      <c r="DY36" s="376">
        <f t="shared" si="78"/>
        <v>44.5</v>
      </c>
      <c r="DZ36" s="373">
        <f t="shared" si="79"/>
        <v>19.39678125</v>
      </c>
      <c r="EA36" s="374" t="str">
        <f t="shared" si="80"/>
        <v>(1.80)</v>
      </c>
      <c r="EB36" s="375">
        <v>2</v>
      </c>
      <c r="EC36" s="375">
        <f t="shared" si="81"/>
        <v>3.5</v>
      </c>
      <c r="ED36" s="375">
        <v>0</v>
      </c>
      <c r="EE36" s="375">
        <f t="shared" si="82"/>
        <v>0</v>
      </c>
      <c r="EF36" s="375">
        <v>1</v>
      </c>
      <c r="EG36" s="375">
        <f t="shared" si="83"/>
        <v>1</v>
      </c>
      <c r="EH36" s="375">
        <f t="shared" si="84"/>
        <v>4.5</v>
      </c>
      <c r="EI36" s="376">
        <f t="shared" si="85"/>
        <v>49.5</v>
      </c>
      <c r="EJ36" s="373">
        <f t="shared" si="86"/>
        <v>21.74790625</v>
      </c>
      <c r="EK36" s="374" t="str">
        <f t="shared" si="87"/>
        <v>(2.02)</v>
      </c>
      <c r="EL36" s="375">
        <v>2</v>
      </c>
      <c r="EM36" s="375">
        <f t="shared" si="88"/>
        <v>3.5</v>
      </c>
      <c r="EN36" s="375">
        <v>0</v>
      </c>
      <c r="EO36" s="375">
        <f t="shared" si="89"/>
        <v>0</v>
      </c>
      <c r="EP36" s="375">
        <v>1</v>
      </c>
      <c r="EQ36" s="375">
        <f t="shared" si="90"/>
        <v>1</v>
      </c>
      <c r="ER36" s="375">
        <f t="shared" si="91"/>
        <v>4.5</v>
      </c>
      <c r="ES36" s="376">
        <f t="shared" si="92"/>
        <v>55.5</v>
      </c>
      <c r="ET36" s="373">
        <f t="shared" si="93"/>
        <v>24.099031249999999</v>
      </c>
      <c r="EU36" s="374" t="str">
        <f t="shared" si="94"/>
        <v>(2.24)</v>
      </c>
      <c r="EV36" s="375">
        <v>2</v>
      </c>
      <c r="EW36" s="375">
        <f t="shared" si="95"/>
        <v>3.5</v>
      </c>
      <c r="EX36" s="375">
        <v>0</v>
      </c>
      <c r="EY36" s="375">
        <f t="shared" si="96"/>
        <v>0</v>
      </c>
      <c r="EZ36" s="375">
        <v>1</v>
      </c>
      <c r="FA36" s="375">
        <f t="shared" si="97"/>
        <v>1</v>
      </c>
      <c r="FB36" s="375">
        <f t="shared" si="98"/>
        <v>4.5</v>
      </c>
      <c r="FC36" s="376">
        <f t="shared" si="99"/>
        <v>61.5</v>
      </c>
      <c r="FD36" s="373">
        <f t="shared" si="100"/>
        <v>26.401174479166666</v>
      </c>
      <c r="FE36" s="374" t="str">
        <f t="shared" si="101"/>
        <v>(2.45)</v>
      </c>
      <c r="FF36" s="375">
        <v>2</v>
      </c>
      <c r="FG36" s="375">
        <f t="shared" si="102"/>
        <v>3.5</v>
      </c>
      <c r="FH36" s="375">
        <v>1</v>
      </c>
      <c r="FI36" s="375">
        <f t="shared" si="103"/>
        <v>1.125</v>
      </c>
      <c r="FJ36" s="375">
        <v>0</v>
      </c>
      <c r="FK36" s="375">
        <f t="shared" si="104"/>
        <v>0</v>
      </c>
      <c r="FL36" s="375">
        <f t="shared" si="105"/>
        <v>4.625</v>
      </c>
      <c r="FM36" s="376">
        <f t="shared" si="106"/>
        <v>67.375</v>
      </c>
      <c r="FN36" s="31"/>
      <c r="FO36" s="31"/>
      <c r="FP36" s="32"/>
      <c r="FQ36" s="32"/>
      <c r="FR36" s="32"/>
      <c r="FS36" s="32"/>
      <c r="FT36" s="32"/>
      <c r="FU36" s="32"/>
      <c r="FV36" s="31"/>
      <c r="FW36" s="31"/>
      <c r="FX36" s="31"/>
      <c r="FY36" s="31"/>
      <c r="FZ36" s="31"/>
      <c r="GA36" s="31"/>
      <c r="GB36" s="31"/>
      <c r="GC36" s="31"/>
      <c r="GD36" s="31"/>
      <c r="GE36" s="31"/>
      <c r="GF36" s="31"/>
      <c r="GG36" s="31"/>
      <c r="GH36" s="31"/>
      <c r="GI36" s="31"/>
      <c r="GJ36" s="32"/>
      <c r="GK36" s="32"/>
      <c r="GL36" s="32"/>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2"/>
      <c r="HQ36" s="32"/>
      <c r="HR36" s="32"/>
      <c r="HS36" s="32"/>
      <c r="HT36" s="32"/>
      <c r="HU36" s="32"/>
      <c r="HV36" s="32"/>
      <c r="HW36" s="32"/>
      <c r="HX36" s="32"/>
      <c r="HY36" s="32"/>
      <c r="HZ36" s="32"/>
      <c r="IA36" s="32"/>
      <c r="IB36" s="32"/>
      <c r="IC36" s="32"/>
      <c r="ID36" s="32"/>
      <c r="IE36" s="32"/>
      <c r="IF36" s="31"/>
      <c r="IG36" s="31"/>
      <c r="IH36" s="32"/>
      <c r="II36" s="32"/>
      <c r="IJ36" s="34"/>
      <c r="IK36" s="32"/>
      <c r="IL36" s="32"/>
      <c r="IM36" s="32"/>
      <c r="IN36" s="33"/>
      <c r="IO36" s="33"/>
      <c r="IP36" s="33"/>
      <c r="IQ36" s="25">
        <v>21</v>
      </c>
      <c r="IR36" s="26">
        <v>2.645</v>
      </c>
      <c r="IS36" s="26">
        <v>2.645</v>
      </c>
      <c r="IT36" s="26">
        <v>0.88200000000000001</v>
      </c>
      <c r="IU36" s="26">
        <v>1.75</v>
      </c>
      <c r="IV36" s="26">
        <v>1</v>
      </c>
      <c r="IW36" s="26">
        <v>1.125</v>
      </c>
      <c r="IX36" s="8"/>
    </row>
    <row r="37" spans="2:258" ht="15.75" thickBot="1" x14ac:dyDescent="0.3">
      <c r="B37" s="103">
        <f>B36+6</f>
        <v>114</v>
      </c>
      <c r="C37" s="221">
        <v>20</v>
      </c>
      <c r="D37" s="98">
        <f t="shared" si="1"/>
        <v>0.38755701754385963</v>
      </c>
      <c r="E37" s="96">
        <f t="shared" si="2"/>
        <v>0.44921381578947372</v>
      </c>
      <c r="F37" s="96">
        <f t="shared" si="3"/>
        <v>0.51087061403508771</v>
      </c>
      <c r="G37" s="96">
        <f t="shared" si="4"/>
        <v>0.5416990131578947</v>
      </c>
      <c r="H37" s="96">
        <f t="shared" si="5"/>
        <v>0.56019605263157901</v>
      </c>
      <c r="I37" s="96">
        <f t="shared" si="6"/>
        <v>0.5725274122807017</v>
      </c>
      <c r="J37" s="96">
        <f t="shared" si="7"/>
        <v>0.58133552631578944</v>
      </c>
      <c r="K37" s="96">
        <f t="shared" si="8"/>
        <v>0.58794161184210525</v>
      </c>
      <c r="L37" s="96">
        <f t="shared" si="9"/>
        <v>0.58133552631578944</v>
      </c>
      <c r="M37" s="96">
        <f t="shared" si="10"/>
        <v>0.58662039473684213</v>
      </c>
      <c r="N37" s="96">
        <f t="shared" si="11"/>
        <v>0.59094437799043054</v>
      </c>
      <c r="O37" s="96">
        <f t="shared" si="12"/>
        <v>0.59344668311403515</v>
      </c>
      <c r="P37" s="306"/>
      <c r="Q37" s="306"/>
      <c r="R37" s="306"/>
      <c r="S37" s="306"/>
      <c r="T37" s="306"/>
      <c r="U37" s="306"/>
      <c r="V37" s="306"/>
      <c r="W37" s="306"/>
      <c r="X37" s="96"/>
      <c r="Y37" s="65"/>
      <c r="AT37" s="4"/>
      <c r="AU37" s="27">
        <f t="shared" si="163"/>
        <v>96</v>
      </c>
      <c r="AV37" s="28" t="str">
        <f t="shared" si="22"/>
        <v>(2450)</v>
      </c>
      <c r="AW37" s="19"/>
      <c r="AX37" s="20">
        <f t="shared" si="23"/>
        <v>2.3024375000000004</v>
      </c>
      <c r="AY37" s="21" t="str">
        <f t="shared" si="24"/>
        <v>(0.21)</v>
      </c>
      <c r="AZ37" s="22">
        <v>2</v>
      </c>
      <c r="BA37" s="22">
        <f t="shared" si="25"/>
        <v>3.5</v>
      </c>
      <c r="BB37" s="22">
        <v>0</v>
      </c>
      <c r="BC37" s="22">
        <f t="shared" si="26"/>
        <v>0</v>
      </c>
      <c r="BD37" s="22">
        <v>0</v>
      </c>
      <c r="BE37" s="22">
        <f t="shared" si="27"/>
        <v>0</v>
      </c>
      <c r="BF37" s="22">
        <f t="shared" si="28"/>
        <v>3.5</v>
      </c>
      <c r="BG37" s="23">
        <f t="shared" si="29"/>
        <v>5.5</v>
      </c>
      <c r="BH37" s="373">
        <f t="shared" si="30"/>
        <v>3.5583125000000004</v>
      </c>
      <c r="BI37" s="374" t="str">
        <f t="shared" si="31"/>
        <v>(0.33)</v>
      </c>
      <c r="BJ37" s="375">
        <v>2</v>
      </c>
      <c r="BK37" s="375">
        <f t="shared" si="32"/>
        <v>3.5</v>
      </c>
      <c r="BL37" s="375">
        <v>0</v>
      </c>
      <c r="BM37" s="375">
        <f t="shared" si="33"/>
        <v>0</v>
      </c>
      <c r="BN37" s="375">
        <v>0</v>
      </c>
      <c r="BO37" s="375">
        <f t="shared" si="34"/>
        <v>0</v>
      </c>
      <c r="BP37" s="375">
        <f t="shared" si="35"/>
        <v>3.5</v>
      </c>
      <c r="BQ37" s="376">
        <f t="shared" si="36"/>
        <v>8.5</v>
      </c>
      <c r="BR37" s="373">
        <f t="shared" si="37"/>
        <v>6.0700625000000006</v>
      </c>
      <c r="BS37" s="374" t="str">
        <f t="shared" si="38"/>
        <v>(0.56)</v>
      </c>
      <c r="BT37" s="375">
        <v>2</v>
      </c>
      <c r="BU37" s="375">
        <f t="shared" si="39"/>
        <v>3.5</v>
      </c>
      <c r="BV37" s="375">
        <v>0</v>
      </c>
      <c r="BW37" s="375">
        <f t="shared" si="40"/>
        <v>0</v>
      </c>
      <c r="BX37" s="375">
        <v>0</v>
      </c>
      <c r="BY37" s="375">
        <f t="shared" si="41"/>
        <v>0</v>
      </c>
      <c r="BZ37" s="375">
        <f t="shared" si="42"/>
        <v>3.5</v>
      </c>
      <c r="CA37" s="376">
        <f t="shared" si="43"/>
        <v>14.5</v>
      </c>
      <c r="CB37" s="373">
        <f t="shared" si="44"/>
        <v>8.5818125000000016</v>
      </c>
      <c r="CC37" s="374" t="str">
        <f t="shared" si="45"/>
        <v>(0.8)</v>
      </c>
      <c r="CD37" s="375">
        <v>2</v>
      </c>
      <c r="CE37" s="375">
        <f t="shared" si="46"/>
        <v>3.5</v>
      </c>
      <c r="CF37" s="375">
        <v>0</v>
      </c>
      <c r="CG37" s="375">
        <f t="shared" si="47"/>
        <v>0</v>
      </c>
      <c r="CH37" s="375">
        <v>0</v>
      </c>
      <c r="CI37" s="375">
        <f t="shared" si="48"/>
        <v>0</v>
      </c>
      <c r="CJ37" s="375">
        <f t="shared" si="49"/>
        <v>3.5</v>
      </c>
      <c r="CK37" s="376">
        <f t="shared" si="50"/>
        <v>20.5</v>
      </c>
      <c r="CL37" s="373">
        <f t="shared" si="51"/>
        <v>11.093562500000001</v>
      </c>
      <c r="CM37" s="374" t="str">
        <f t="shared" si="52"/>
        <v>(1.03)</v>
      </c>
      <c r="CN37" s="375">
        <v>2</v>
      </c>
      <c r="CO37" s="375">
        <f t="shared" si="53"/>
        <v>3.5</v>
      </c>
      <c r="CP37" s="375">
        <v>0</v>
      </c>
      <c r="CQ37" s="375">
        <f t="shared" si="54"/>
        <v>0</v>
      </c>
      <c r="CR37" s="375">
        <v>0</v>
      </c>
      <c r="CS37" s="375">
        <f t="shared" si="55"/>
        <v>0</v>
      </c>
      <c r="CT37" s="375">
        <f t="shared" si="56"/>
        <v>3.5</v>
      </c>
      <c r="CU37" s="376">
        <f t="shared" si="57"/>
        <v>26.5</v>
      </c>
      <c r="CV37" s="373">
        <f t="shared" si="58"/>
        <v>13.605312500000002</v>
      </c>
      <c r="CW37" s="374" t="str">
        <f t="shared" si="59"/>
        <v>(1.26)</v>
      </c>
      <c r="CX37" s="375">
        <v>2</v>
      </c>
      <c r="CY37" s="375">
        <f t="shared" si="60"/>
        <v>3.5</v>
      </c>
      <c r="CZ37" s="375">
        <v>0</v>
      </c>
      <c r="DA37" s="375">
        <f t="shared" si="61"/>
        <v>0</v>
      </c>
      <c r="DB37" s="375">
        <v>0</v>
      </c>
      <c r="DC37" s="375">
        <f t="shared" si="62"/>
        <v>0</v>
      </c>
      <c r="DD37" s="375">
        <f t="shared" si="63"/>
        <v>3.5</v>
      </c>
      <c r="DE37" s="376">
        <f t="shared" si="64"/>
        <v>32.5</v>
      </c>
      <c r="DF37" s="373">
        <f t="shared" si="65"/>
        <v>16.117062499999999</v>
      </c>
      <c r="DG37" s="374" t="str">
        <f t="shared" si="66"/>
        <v>(1.5)</v>
      </c>
      <c r="DH37" s="375">
        <v>2</v>
      </c>
      <c r="DI37" s="375">
        <f t="shared" si="67"/>
        <v>3.5</v>
      </c>
      <c r="DJ37" s="375">
        <v>0</v>
      </c>
      <c r="DK37" s="375">
        <f t="shared" si="68"/>
        <v>0</v>
      </c>
      <c r="DL37" s="375">
        <v>0</v>
      </c>
      <c r="DM37" s="375">
        <f t="shared" si="69"/>
        <v>0</v>
      </c>
      <c r="DN37" s="375">
        <f t="shared" si="70"/>
        <v>3.5</v>
      </c>
      <c r="DO37" s="376">
        <f t="shared" si="71"/>
        <v>38.5</v>
      </c>
      <c r="DP37" s="373">
        <f t="shared" si="72"/>
        <v>18.628812499999999</v>
      </c>
      <c r="DQ37" s="374" t="str">
        <f t="shared" si="73"/>
        <v>(1.73)</v>
      </c>
      <c r="DR37" s="375">
        <v>2</v>
      </c>
      <c r="DS37" s="375">
        <f t="shared" si="74"/>
        <v>3.5</v>
      </c>
      <c r="DT37" s="375">
        <v>0</v>
      </c>
      <c r="DU37" s="375">
        <f t="shared" si="75"/>
        <v>0</v>
      </c>
      <c r="DV37" s="375">
        <v>0</v>
      </c>
      <c r="DW37" s="375">
        <f t="shared" si="76"/>
        <v>0</v>
      </c>
      <c r="DX37" s="375">
        <f t="shared" si="77"/>
        <v>3.5</v>
      </c>
      <c r="DY37" s="376">
        <f t="shared" si="78"/>
        <v>44.5</v>
      </c>
      <c r="DZ37" s="373">
        <f t="shared" si="79"/>
        <v>20.721937500000003</v>
      </c>
      <c r="EA37" s="374" t="str">
        <f t="shared" si="80"/>
        <v>(1.93)</v>
      </c>
      <c r="EB37" s="375">
        <v>2</v>
      </c>
      <c r="EC37" s="375">
        <f t="shared" si="81"/>
        <v>3.5</v>
      </c>
      <c r="ED37" s="375">
        <v>0</v>
      </c>
      <c r="EE37" s="375">
        <f t="shared" si="82"/>
        <v>0</v>
      </c>
      <c r="EF37" s="375">
        <v>1</v>
      </c>
      <c r="EG37" s="375">
        <f t="shared" si="83"/>
        <v>1</v>
      </c>
      <c r="EH37" s="375">
        <f t="shared" si="84"/>
        <v>4.5</v>
      </c>
      <c r="EI37" s="376">
        <f t="shared" si="85"/>
        <v>49.5</v>
      </c>
      <c r="EJ37" s="373">
        <f t="shared" si="86"/>
        <v>23.233687500000002</v>
      </c>
      <c r="EK37" s="374" t="str">
        <f t="shared" si="87"/>
        <v>(2.16)</v>
      </c>
      <c r="EL37" s="375">
        <v>2</v>
      </c>
      <c r="EM37" s="375">
        <f t="shared" si="88"/>
        <v>3.5</v>
      </c>
      <c r="EN37" s="375">
        <v>0</v>
      </c>
      <c r="EO37" s="375">
        <f t="shared" si="89"/>
        <v>0</v>
      </c>
      <c r="EP37" s="375">
        <v>1</v>
      </c>
      <c r="EQ37" s="375">
        <f t="shared" si="90"/>
        <v>1</v>
      </c>
      <c r="ER37" s="375">
        <f t="shared" si="91"/>
        <v>4.5</v>
      </c>
      <c r="ES37" s="376">
        <f t="shared" si="92"/>
        <v>55.5</v>
      </c>
      <c r="ET37" s="373">
        <f t="shared" si="93"/>
        <v>25.745437500000001</v>
      </c>
      <c r="EU37" s="374" t="str">
        <f t="shared" si="94"/>
        <v>(2.39)</v>
      </c>
      <c r="EV37" s="375">
        <v>2</v>
      </c>
      <c r="EW37" s="375">
        <f t="shared" si="95"/>
        <v>3.5</v>
      </c>
      <c r="EX37" s="375">
        <v>0</v>
      </c>
      <c r="EY37" s="375">
        <f t="shared" si="96"/>
        <v>0</v>
      </c>
      <c r="EZ37" s="375">
        <v>1</v>
      </c>
      <c r="FA37" s="375">
        <f t="shared" si="97"/>
        <v>1</v>
      </c>
      <c r="FB37" s="375">
        <f t="shared" si="98"/>
        <v>4.5</v>
      </c>
      <c r="FC37" s="376">
        <f t="shared" si="99"/>
        <v>61.5</v>
      </c>
      <c r="FD37" s="373">
        <f t="shared" si="100"/>
        <v>28.204859375000002</v>
      </c>
      <c r="FE37" s="374" t="str">
        <f t="shared" si="101"/>
        <v>(2.62)</v>
      </c>
      <c r="FF37" s="375">
        <v>2</v>
      </c>
      <c r="FG37" s="375">
        <f t="shared" si="102"/>
        <v>3.5</v>
      </c>
      <c r="FH37" s="375">
        <v>1</v>
      </c>
      <c r="FI37" s="375">
        <f t="shared" si="103"/>
        <v>1.125</v>
      </c>
      <c r="FJ37" s="375">
        <v>0</v>
      </c>
      <c r="FK37" s="375">
        <f t="shared" si="104"/>
        <v>0</v>
      </c>
      <c r="FL37" s="375">
        <f t="shared" si="105"/>
        <v>4.625</v>
      </c>
      <c r="FM37" s="376">
        <f t="shared" si="106"/>
        <v>67.375</v>
      </c>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5">
        <v>22</v>
      </c>
      <c r="IR37" s="26">
        <v>2.645</v>
      </c>
      <c r="IS37" s="26">
        <v>2.645</v>
      </c>
      <c r="IT37" s="26">
        <v>2.0920000000000001</v>
      </c>
      <c r="IU37" s="26">
        <v>1.75</v>
      </c>
      <c r="IV37" s="26">
        <v>1</v>
      </c>
      <c r="IW37" s="26">
        <v>1.125</v>
      </c>
      <c r="IX37" s="8"/>
    </row>
    <row r="38" spans="2:258" ht="15.75" thickBot="1" x14ac:dyDescent="0.3">
      <c r="B38" s="103">
        <f t="shared" si="21"/>
        <v>120</v>
      </c>
      <c r="C38" s="227">
        <v>21</v>
      </c>
      <c r="D38" s="98">
        <f t="shared" si="1"/>
        <v>0.38781111111111116</v>
      </c>
      <c r="E38" s="96">
        <f t="shared" si="2"/>
        <v>0.44950833333333334</v>
      </c>
      <c r="F38" s="96">
        <f t="shared" si="3"/>
        <v>0.51120555555555547</v>
      </c>
      <c r="G38" s="96">
        <f t="shared" si="4"/>
        <v>0.54205416666666673</v>
      </c>
      <c r="H38" s="96">
        <f t="shared" si="5"/>
        <v>0.5605633333333333</v>
      </c>
      <c r="I38" s="96">
        <f t="shared" si="6"/>
        <v>0.57290277777777776</v>
      </c>
      <c r="J38" s="96">
        <f t="shared" si="7"/>
        <v>0.58171666666666666</v>
      </c>
      <c r="K38" s="96">
        <f t="shared" si="8"/>
        <v>0.58832708333333339</v>
      </c>
      <c r="L38" s="96">
        <f t="shared" si="9"/>
        <v>0.58171666666666666</v>
      </c>
      <c r="M38" s="96">
        <f t="shared" si="10"/>
        <v>0.587005</v>
      </c>
      <c r="N38" s="96">
        <f t="shared" si="11"/>
        <v>0.59133181818181813</v>
      </c>
      <c r="O38" s="96">
        <f t="shared" si="12"/>
        <v>0.59383576388888881</v>
      </c>
      <c r="P38" s="306"/>
      <c r="Q38" s="306"/>
      <c r="R38" s="306"/>
      <c r="S38" s="306"/>
      <c r="T38" s="306"/>
      <c r="U38" s="306"/>
      <c r="V38" s="306"/>
      <c r="W38" s="306"/>
      <c r="X38" s="96"/>
      <c r="Y38" s="65"/>
      <c r="AT38" s="4"/>
      <c r="AU38" s="27">
        <f t="shared" si="163"/>
        <v>102</v>
      </c>
      <c r="AV38" s="28" t="str">
        <f t="shared" si="22"/>
        <v>(2600)</v>
      </c>
      <c r="AW38" s="19"/>
      <c r="AX38" s="20">
        <f t="shared" si="23"/>
        <v>2.4582708333333336</v>
      </c>
      <c r="AY38" s="21" t="str">
        <f t="shared" si="24"/>
        <v>(0.23)</v>
      </c>
      <c r="AZ38" s="22">
        <v>2</v>
      </c>
      <c r="BA38" s="22">
        <f t="shared" si="25"/>
        <v>3.5</v>
      </c>
      <c r="BB38" s="22">
        <v>0</v>
      </c>
      <c r="BC38" s="22">
        <f t="shared" si="26"/>
        <v>0</v>
      </c>
      <c r="BD38" s="22">
        <v>0</v>
      </c>
      <c r="BE38" s="22">
        <f t="shared" si="27"/>
        <v>0</v>
      </c>
      <c r="BF38" s="22">
        <f t="shared" si="28"/>
        <v>3.5</v>
      </c>
      <c r="BG38" s="23">
        <f t="shared" si="29"/>
        <v>5.5</v>
      </c>
      <c r="BH38" s="373">
        <f t="shared" si="30"/>
        <v>3.7991458333333341</v>
      </c>
      <c r="BI38" s="374" t="str">
        <f t="shared" si="31"/>
        <v>(0.35)</v>
      </c>
      <c r="BJ38" s="375">
        <v>2</v>
      </c>
      <c r="BK38" s="375">
        <f t="shared" si="32"/>
        <v>3.5</v>
      </c>
      <c r="BL38" s="375">
        <v>0</v>
      </c>
      <c r="BM38" s="375">
        <f t="shared" si="33"/>
        <v>0</v>
      </c>
      <c r="BN38" s="375">
        <v>0</v>
      </c>
      <c r="BO38" s="375">
        <f t="shared" si="34"/>
        <v>0</v>
      </c>
      <c r="BP38" s="375">
        <f t="shared" si="35"/>
        <v>3.5</v>
      </c>
      <c r="BQ38" s="376">
        <f t="shared" si="36"/>
        <v>8.5</v>
      </c>
      <c r="BR38" s="373">
        <f t="shared" si="37"/>
        <v>6.4808958333333342</v>
      </c>
      <c r="BS38" s="374" t="str">
        <f t="shared" si="38"/>
        <v>(0.6)</v>
      </c>
      <c r="BT38" s="375">
        <v>2</v>
      </c>
      <c r="BU38" s="375">
        <f t="shared" si="39"/>
        <v>3.5</v>
      </c>
      <c r="BV38" s="375">
        <v>0</v>
      </c>
      <c r="BW38" s="375">
        <f t="shared" si="40"/>
        <v>0</v>
      </c>
      <c r="BX38" s="375">
        <v>0</v>
      </c>
      <c r="BY38" s="375">
        <f t="shared" si="41"/>
        <v>0</v>
      </c>
      <c r="BZ38" s="375">
        <f t="shared" si="42"/>
        <v>3.5</v>
      </c>
      <c r="CA38" s="376">
        <f t="shared" si="43"/>
        <v>14.5</v>
      </c>
      <c r="CB38" s="373">
        <f t="shared" si="44"/>
        <v>9.162645833333336</v>
      </c>
      <c r="CC38" s="374" t="str">
        <f t="shared" si="45"/>
        <v>(0.85)</v>
      </c>
      <c r="CD38" s="375">
        <v>2</v>
      </c>
      <c r="CE38" s="375">
        <f t="shared" si="46"/>
        <v>3.5</v>
      </c>
      <c r="CF38" s="375">
        <v>0</v>
      </c>
      <c r="CG38" s="375">
        <f t="shared" si="47"/>
        <v>0</v>
      </c>
      <c r="CH38" s="375">
        <v>0</v>
      </c>
      <c r="CI38" s="375">
        <f t="shared" si="48"/>
        <v>0</v>
      </c>
      <c r="CJ38" s="375">
        <f t="shared" si="49"/>
        <v>3.5</v>
      </c>
      <c r="CK38" s="376">
        <f t="shared" si="50"/>
        <v>20.5</v>
      </c>
      <c r="CL38" s="373">
        <f t="shared" si="51"/>
        <v>11.844395833333335</v>
      </c>
      <c r="CM38" s="374" t="str">
        <f t="shared" si="52"/>
        <v>(1.1)</v>
      </c>
      <c r="CN38" s="375">
        <v>2</v>
      </c>
      <c r="CO38" s="375">
        <f t="shared" si="53"/>
        <v>3.5</v>
      </c>
      <c r="CP38" s="375">
        <v>0</v>
      </c>
      <c r="CQ38" s="375">
        <f t="shared" si="54"/>
        <v>0</v>
      </c>
      <c r="CR38" s="375">
        <v>0</v>
      </c>
      <c r="CS38" s="375">
        <f t="shared" si="55"/>
        <v>0</v>
      </c>
      <c r="CT38" s="375">
        <f t="shared" si="56"/>
        <v>3.5</v>
      </c>
      <c r="CU38" s="376">
        <f t="shared" si="57"/>
        <v>26.5</v>
      </c>
      <c r="CV38" s="373">
        <f t="shared" si="58"/>
        <v>14.526145833333336</v>
      </c>
      <c r="CW38" s="374" t="str">
        <f t="shared" si="59"/>
        <v>(1.35)</v>
      </c>
      <c r="CX38" s="375">
        <v>2</v>
      </c>
      <c r="CY38" s="375">
        <f t="shared" si="60"/>
        <v>3.5</v>
      </c>
      <c r="CZ38" s="375">
        <v>0</v>
      </c>
      <c r="DA38" s="375">
        <f t="shared" si="61"/>
        <v>0</v>
      </c>
      <c r="DB38" s="375">
        <v>0</v>
      </c>
      <c r="DC38" s="375">
        <f t="shared" si="62"/>
        <v>0</v>
      </c>
      <c r="DD38" s="375">
        <f t="shared" si="63"/>
        <v>3.5</v>
      </c>
      <c r="DE38" s="376">
        <f t="shared" si="64"/>
        <v>32.5</v>
      </c>
      <c r="DF38" s="373">
        <f t="shared" si="65"/>
        <v>17.207895833333335</v>
      </c>
      <c r="DG38" s="374" t="str">
        <f t="shared" si="66"/>
        <v>(1.6)</v>
      </c>
      <c r="DH38" s="375">
        <v>2</v>
      </c>
      <c r="DI38" s="375">
        <f t="shared" si="67"/>
        <v>3.5</v>
      </c>
      <c r="DJ38" s="375">
        <v>0</v>
      </c>
      <c r="DK38" s="375">
        <f t="shared" si="68"/>
        <v>0</v>
      </c>
      <c r="DL38" s="375">
        <v>0</v>
      </c>
      <c r="DM38" s="375">
        <f t="shared" si="69"/>
        <v>0</v>
      </c>
      <c r="DN38" s="375">
        <f t="shared" si="70"/>
        <v>3.5</v>
      </c>
      <c r="DO38" s="376">
        <f t="shared" si="71"/>
        <v>38.5</v>
      </c>
      <c r="DP38" s="373">
        <f t="shared" si="72"/>
        <v>19.889645833333336</v>
      </c>
      <c r="DQ38" s="374" t="str">
        <f t="shared" si="73"/>
        <v>(1.85)</v>
      </c>
      <c r="DR38" s="375">
        <v>2</v>
      </c>
      <c r="DS38" s="375">
        <f t="shared" si="74"/>
        <v>3.5</v>
      </c>
      <c r="DT38" s="375">
        <v>0</v>
      </c>
      <c r="DU38" s="375">
        <f t="shared" si="75"/>
        <v>0</v>
      </c>
      <c r="DV38" s="375">
        <v>0</v>
      </c>
      <c r="DW38" s="375">
        <f t="shared" si="76"/>
        <v>0</v>
      </c>
      <c r="DX38" s="375">
        <f t="shared" si="77"/>
        <v>3.5</v>
      </c>
      <c r="DY38" s="376">
        <f t="shared" si="78"/>
        <v>44.5</v>
      </c>
      <c r="DZ38" s="373">
        <f t="shared" si="79"/>
        <v>22.124437500000003</v>
      </c>
      <c r="EA38" s="374" t="str">
        <f t="shared" si="80"/>
        <v>(2.06)</v>
      </c>
      <c r="EB38" s="375">
        <v>2</v>
      </c>
      <c r="EC38" s="375">
        <f t="shared" si="81"/>
        <v>3.5</v>
      </c>
      <c r="ED38" s="375">
        <v>0</v>
      </c>
      <c r="EE38" s="375">
        <f t="shared" si="82"/>
        <v>0</v>
      </c>
      <c r="EF38" s="375">
        <v>1</v>
      </c>
      <c r="EG38" s="375">
        <f t="shared" si="83"/>
        <v>1</v>
      </c>
      <c r="EH38" s="375">
        <f t="shared" si="84"/>
        <v>4.5</v>
      </c>
      <c r="EI38" s="376">
        <f t="shared" si="85"/>
        <v>49.5</v>
      </c>
      <c r="EJ38" s="373">
        <f t="shared" si="86"/>
        <v>24.806187500000004</v>
      </c>
      <c r="EK38" s="374" t="str">
        <f t="shared" si="87"/>
        <v>(2.30)</v>
      </c>
      <c r="EL38" s="375">
        <v>2</v>
      </c>
      <c r="EM38" s="375">
        <f t="shared" si="88"/>
        <v>3.5</v>
      </c>
      <c r="EN38" s="375">
        <v>0</v>
      </c>
      <c r="EO38" s="375">
        <f t="shared" si="89"/>
        <v>0</v>
      </c>
      <c r="EP38" s="375">
        <v>1</v>
      </c>
      <c r="EQ38" s="375">
        <f t="shared" si="90"/>
        <v>1</v>
      </c>
      <c r="ER38" s="375">
        <f t="shared" si="91"/>
        <v>4.5</v>
      </c>
      <c r="ES38" s="376">
        <f t="shared" si="92"/>
        <v>55.5</v>
      </c>
      <c r="ET38" s="373">
        <f t="shared" si="93"/>
        <v>27.487937500000001</v>
      </c>
      <c r="EU38" s="374" t="str">
        <f t="shared" si="94"/>
        <v>(2.55)</v>
      </c>
      <c r="EV38" s="375">
        <v>2</v>
      </c>
      <c r="EW38" s="375">
        <f t="shared" si="95"/>
        <v>3.5</v>
      </c>
      <c r="EX38" s="375">
        <v>0</v>
      </c>
      <c r="EY38" s="375">
        <f t="shared" si="96"/>
        <v>0</v>
      </c>
      <c r="EZ38" s="375">
        <v>1</v>
      </c>
      <c r="FA38" s="375">
        <f t="shared" si="97"/>
        <v>1</v>
      </c>
      <c r="FB38" s="375">
        <f t="shared" si="98"/>
        <v>4.5</v>
      </c>
      <c r="FC38" s="376">
        <f t="shared" si="99"/>
        <v>61.5</v>
      </c>
      <c r="FD38" s="373">
        <f t="shared" si="100"/>
        <v>30.113817708333336</v>
      </c>
      <c r="FE38" s="374" t="str">
        <f t="shared" si="101"/>
        <v>(2.80)</v>
      </c>
      <c r="FF38" s="375">
        <v>2</v>
      </c>
      <c r="FG38" s="375">
        <f t="shared" si="102"/>
        <v>3.5</v>
      </c>
      <c r="FH38" s="375">
        <v>1</v>
      </c>
      <c r="FI38" s="375">
        <f t="shared" si="103"/>
        <v>1.125</v>
      </c>
      <c r="FJ38" s="375">
        <v>0</v>
      </c>
      <c r="FK38" s="375">
        <f t="shared" si="104"/>
        <v>0</v>
      </c>
      <c r="FL38" s="375">
        <f t="shared" si="105"/>
        <v>4.625</v>
      </c>
      <c r="FM38" s="376">
        <f t="shared" si="106"/>
        <v>67.375</v>
      </c>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5">
        <v>24</v>
      </c>
      <c r="IR38" s="26">
        <v>2.645</v>
      </c>
      <c r="IS38" s="26">
        <v>2.645</v>
      </c>
      <c r="IT38" s="26">
        <v>0.88200000000000001</v>
      </c>
      <c r="IU38" s="26">
        <v>1.75</v>
      </c>
      <c r="IV38" s="26">
        <v>1</v>
      </c>
      <c r="IW38" s="26">
        <v>1.125</v>
      </c>
      <c r="IX38" s="8"/>
    </row>
    <row r="39" spans="2: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96"/>
      <c r="Y39" s="65"/>
      <c r="AT39" s="4"/>
      <c r="AU39" s="27">
        <f t="shared" si="163"/>
        <v>108</v>
      </c>
      <c r="AV39" s="28" t="str">
        <f t="shared" si="22"/>
        <v>(2750)</v>
      </c>
      <c r="AW39" s="19"/>
      <c r="AX39" s="20">
        <f t="shared" si="23"/>
        <v>2.6055104166666663</v>
      </c>
      <c r="AY39" s="21" t="str">
        <f t="shared" si="24"/>
        <v>(0.24)</v>
      </c>
      <c r="AZ39" s="22">
        <v>2</v>
      </c>
      <c r="BA39" s="22">
        <f t="shared" si="25"/>
        <v>3.5</v>
      </c>
      <c r="BB39" s="22">
        <v>0</v>
      </c>
      <c r="BC39" s="22">
        <f t="shared" si="26"/>
        <v>0</v>
      </c>
      <c r="BD39" s="22">
        <v>0</v>
      </c>
      <c r="BE39" s="22">
        <f t="shared" si="27"/>
        <v>0</v>
      </c>
      <c r="BF39" s="22">
        <f t="shared" si="28"/>
        <v>3.5</v>
      </c>
      <c r="BG39" s="23">
        <f t="shared" si="29"/>
        <v>5.5</v>
      </c>
      <c r="BH39" s="373">
        <f t="shared" si="30"/>
        <v>4.0266979166666665</v>
      </c>
      <c r="BI39" s="374" t="str">
        <f t="shared" si="31"/>
        <v>(0.37)</v>
      </c>
      <c r="BJ39" s="375">
        <v>2</v>
      </c>
      <c r="BK39" s="375">
        <f t="shared" si="32"/>
        <v>3.5</v>
      </c>
      <c r="BL39" s="375">
        <v>0</v>
      </c>
      <c r="BM39" s="375">
        <f t="shared" si="33"/>
        <v>0</v>
      </c>
      <c r="BN39" s="375">
        <v>0</v>
      </c>
      <c r="BO39" s="375">
        <f t="shared" si="34"/>
        <v>0</v>
      </c>
      <c r="BP39" s="375">
        <f t="shared" si="35"/>
        <v>3.5</v>
      </c>
      <c r="BQ39" s="376">
        <f t="shared" si="36"/>
        <v>8.5</v>
      </c>
      <c r="BR39" s="373">
        <f t="shared" si="37"/>
        <v>6.8690729166666662</v>
      </c>
      <c r="BS39" s="374" t="str">
        <f t="shared" si="38"/>
        <v>(0.64)</v>
      </c>
      <c r="BT39" s="375">
        <v>2</v>
      </c>
      <c r="BU39" s="375">
        <f t="shared" si="39"/>
        <v>3.5</v>
      </c>
      <c r="BV39" s="375">
        <v>0</v>
      </c>
      <c r="BW39" s="375">
        <f t="shared" si="40"/>
        <v>0</v>
      </c>
      <c r="BX39" s="375">
        <v>0</v>
      </c>
      <c r="BY39" s="375">
        <f t="shared" si="41"/>
        <v>0</v>
      </c>
      <c r="BZ39" s="375">
        <f t="shared" si="42"/>
        <v>3.5</v>
      </c>
      <c r="CA39" s="376">
        <f t="shared" si="43"/>
        <v>14.5</v>
      </c>
      <c r="CB39" s="373">
        <f t="shared" si="44"/>
        <v>9.7114479166666658</v>
      </c>
      <c r="CC39" s="374" t="str">
        <f t="shared" si="45"/>
        <v>(0.9)</v>
      </c>
      <c r="CD39" s="375">
        <v>2</v>
      </c>
      <c r="CE39" s="375">
        <f t="shared" si="46"/>
        <v>3.5</v>
      </c>
      <c r="CF39" s="375">
        <v>0</v>
      </c>
      <c r="CG39" s="375">
        <f t="shared" si="47"/>
        <v>0</v>
      </c>
      <c r="CH39" s="375">
        <v>0</v>
      </c>
      <c r="CI39" s="375">
        <f t="shared" si="48"/>
        <v>0</v>
      </c>
      <c r="CJ39" s="375">
        <f t="shared" si="49"/>
        <v>3.5</v>
      </c>
      <c r="CK39" s="376">
        <f t="shared" si="50"/>
        <v>20.5</v>
      </c>
      <c r="CL39" s="373">
        <f t="shared" si="51"/>
        <v>12.553822916666666</v>
      </c>
      <c r="CM39" s="374" t="str">
        <f t="shared" si="52"/>
        <v>(1.17)</v>
      </c>
      <c r="CN39" s="375">
        <v>2</v>
      </c>
      <c r="CO39" s="375">
        <f t="shared" si="53"/>
        <v>3.5</v>
      </c>
      <c r="CP39" s="375">
        <v>0</v>
      </c>
      <c r="CQ39" s="375">
        <f t="shared" si="54"/>
        <v>0</v>
      </c>
      <c r="CR39" s="375">
        <v>0</v>
      </c>
      <c r="CS39" s="375">
        <f t="shared" si="55"/>
        <v>0</v>
      </c>
      <c r="CT39" s="375">
        <f t="shared" si="56"/>
        <v>3.5</v>
      </c>
      <c r="CU39" s="376">
        <f t="shared" si="57"/>
        <v>26.5</v>
      </c>
      <c r="CV39" s="373">
        <f t="shared" si="58"/>
        <v>15.396197916666665</v>
      </c>
      <c r="CW39" s="374" t="str">
        <f t="shared" si="59"/>
        <v>(1.43)</v>
      </c>
      <c r="CX39" s="375">
        <v>2</v>
      </c>
      <c r="CY39" s="375">
        <f t="shared" si="60"/>
        <v>3.5</v>
      </c>
      <c r="CZ39" s="375">
        <v>0</v>
      </c>
      <c r="DA39" s="375">
        <f t="shared" si="61"/>
        <v>0</v>
      </c>
      <c r="DB39" s="375">
        <v>0</v>
      </c>
      <c r="DC39" s="375">
        <f t="shared" si="62"/>
        <v>0</v>
      </c>
      <c r="DD39" s="375">
        <f t="shared" si="63"/>
        <v>3.5</v>
      </c>
      <c r="DE39" s="376">
        <f t="shared" si="64"/>
        <v>32.5</v>
      </c>
      <c r="DF39" s="373">
        <f t="shared" si="65"/>
        <v>18.238572916666666</v>
      </c>
      <c r="DG39" s="374" t="str">
        <f t="shared" si="66"/>
        <v>(1.69)</v>
      </c>
      <c r="DH39" s="375">
        <v>2</v>
      </c>
      <c r="DI39" s="375">
        <f t="shared" si="67"/>
        <v>3.5</v>
      </c>
      <c r="DJ39" s="375">
        <v>0</v>
      </c>
      <c r="DK39" s="375">
        <f t="shared" si="68"/>
        <v>0</v>
      </c>
      <c r="DL39" s="375">
        <v>0</v>
      </c>
      <c r="DM39" s="375">
        <f t="shared" si="69"/>
        <v>0</v>
      </c>
      <c r="DN39" s="375">
        <f t="shared" si="70"/>
        <v>3.5</v>
      </c>
      <c r="DO39" s="376">
        <f t="shared" si="71"/>
        <v>38.5</v>
      </c>
      <c r="DP39" s="373">
        <f t="shared" si="72"/>
        <v>21.080947916666666</v>
      </c>
      <c r="DQ39" s="374" t="str">
        <f t="shared" si="73"/>
        <v>(1.96)</v>
      </c>
      <c r="DR39" s="375">
        <v>2</v>
      </c>
      <c r="DS39" s="375">
        <f t="shared" si="74"/>
        <v>3.5</v>
      </c>
      <c r="DT39" s="375">
        <v>0</v>
      </c>
      <c r="DU39" s="375">
        <f t="shared" si="75"/>
        <v>0</v>
      </c>
      <c r="DV39" s="375">
        <v>0</v>
      </c>
      <c r="DW39" s="375">
        <f t="shared" si="76"/>
        <v>0</v>
      </c>
      <c r="DX39" s="375">
        <f t="shared" si="77"/>
        <v>3.5</v>
      </c>
      <c r="DY39" s="376">
        <f t="shared" si="78"/>
        <v>44.5</v>
      </c>
      <c r="DZ39" s="373">
        <f t="shared" si="79"/>
        <v>23.449593750000002</v>
      </c>
      <c r="EA39" s="374" t="str">
        <f t="shared" si="80"/>
        <v>(2.18)</v>
      </c>
      <c r="EB39" s="375">
        <v>2</v>
      </c>
      <c r="EC39" s="375">
        <f t="shared" si="81"/>
        <v>3.5</v>
      </c>
      <c r="ED39" s="375">
        <v>0</v>
      </c>
      <c r="EE39" s="375">
        <f t="shared" si="82"/>
        <v>0</v>
      </c>
      <c r="EF39" s="375">
        <v>1</v>
      </c>
      <c r="EG39" s="375">
        <f t="shared" si="83"/>
        <v>1</v>
      </c>
      <c r="EH39" s="375">
        <f t="shared" si="84"/>
        <v>4.5</v>
      </c>
      <c r="EI39" s="376">
        <f t="shared" si="85"/>
        <v>49.5</v>
      </c>
      <c r="EJ39" s="373">
        <f t="shared" si="86"/>
        <v>26.291968749999999</v>
      </c>
      <c r="EK39" s="374" t="str">
        <f t="shared" si="87"/>
        <v>(2.44)</v>
      </c>
      <c r="EL39" s="375">
        <v>2</v>
      </c>
      <c r="EM39" s="375">
        <f t="shared" si="88"/>
        <v>3.5</v>
      </c>
      <c r="EN39" s="375">
        <v>0</v>
      </c>
      <c r="EO39" s="375">
        <f t="shared" si="89"/>
        <v>0</v>
      </c>
      <c r="EP39" s="375">
        <v>1</v>
      </c>
      <c r="EQ39" s="375">
        <f t="shared" si="90"/>
        <v>1</v>
      </c>
      <c r="ER39" s="375">
        <f t="shared" si="91"/>
        <v>4.5</v>
      </c>
      <c r="ES39" s="376">
        <f t="shared" si="92"/>
        <v>55.5</v>
      </c>
      <c r="ET39" s="373">
        <f t="shared" si="93"/>
        <v>29.134343750000003</v>
      </c>
      <c r="EU39" s="374" t="str">
        <f t="shared" si="94"/>
        <v>(2.71)</v>
      </c>
      <c r="EV39" s="375">
        <v>2</v>
      </c>
      <c r="EW39" s="375">
        <f t="shared" si="95"/>
        <v>3.5</v>
      </c>
      <c r="EX39" s="375">
        <v>0</v>
      </c>
      <c r="EY39" s="375">
        <f t="shared" si="96"/>
        <v>0</v>
      </c>
      <c r="EZ39" s="375">
        <v>1</v>
      </c>
      <c r="FA39" s="375">
        <f t="shared" si="97"/>
        <v>1</v>
      </c>
      <c r="FB39" s="375">
        <f t="shared" si="98"/>
        <v>4.5</v>
      </c>
      <c r="FC39" s="376">
        <f t="shared" si="99"/>
        <v>61.5</v>
      </c>
      <c r="FD39" s="373">
        <f t="shared" si="100"/>
        <v>31.917502604166664</v>
      </c>
      <c r="FE39" s="374" t="str">
        <f t="shared" si="101"/>
        <v>(2.97)</v>
      </c>
      <c r="FF39" s="375">
        <v>2</v>
      </c>
      <c r="FG39" s="375">
        <f t="shared" si="102"/>
        <v>3.5</v>
      </c>
      <c r="FH39" s="375">
        <v>1</v>
      </c>
      <c r="FI39" s="375">
        <f t="shared" si="103"/>
        <v>1.125</v>
      </c>
      <c r="FJ39" s="375">
        <v>0</v>
      </c>
      <c r="FK39" s="375">
        <f t="shared" si="104"/>
        <v>0</v>
      </c>
      <c r="FL39" s="375">
        <f t="shared" si="105"/>
        <v>4.625</v>
      </c>
      <c r="FM39" s="376">
        <f t="shared" si="106"/>
        <v>67.375</v>
      </c>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5">
        <v>25</v>
      </c>
      <c r="IR39" s="26">
        <v>2.645</v>
      </c>
      <c r="IS39" s="26">
        <v>2.645</v>
      </c>
      <c r="IT39" s="26">
        <v>2.0920000000000001</v>
      </c>
      <c r="IU39" s="26">
        <v>1.75</v>
      </c>
      <c r="IV39" s="26">
        <v>1</v>
      </c>
      <c r="IW39" s="26">
        <v>1.125</v>
      </c>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4"/>
      <c r="AU40" s="27">
        <f t="shared" si="163"/>
        <v>114</v>
      </c>
      <c r="AV40" s="28" t="str">
        <f t="shared" si="22"/>
        <v>(2900)</v>
      </c>
      <c r="AW40" s="19"/>
      <c r="AX40" s="20">
        <f t="shared" si="23"/>
        <v>2.76134375</v>
      </c>
      <c r="AY40" s="21" t="str">
        <f t="shared" si="24"/>
        <v>(0.26)</v>
      </c>
      <c r="AZ40" s="22">
        <v>2</v>
      </c>
      <c r="BA40" s="22">
        <f t="shared" si="25"/>
        <v>3.5</v>
      </c>
      <c r="BB40" s="22">
        <v>0</v>
      </c>
      <c r="BC40" s="22">
        <f t="shared" si="26"/>
        <v>0</v>
      </c>
      <c r="BD40" s="22">
        <v>0</v>
      </c>
      <c r="BE40" s="22">
        <f t="shared" si="27"/>
        <v>0</v>
      </c>
      <c r="BF40" s="22">
        <f t="shared" si="28"/>
        <v>3.5</v>
      </c>
      <c r="BG40" s="23">
        <f t="shared" si="29"/>
        <v>5.5</v>
      </c>
      <c r="BH40" s="373">
        <f t="shared" si="30"/>
        <v>4.2675312500000002</v>
      </c>
      <c r="BI40" s="374" t="str">
        <f t="shared" si="31"/>
        <v>(0.40)</v>
      </c>
      <c r="BJ40" s="375">
        <v>2</v>
      </c>
      <c r="BK40" s="375">
        <f t="shared" si="32"/>
        <v>3.5</v>
      </c>
      <c r="BL40" s="375">
        <v>0</v>
      </c>
      <c r="BM40" s="375">
        <f t="shared" si="33"/>
        <v>0</v>
      </c>
      <c r="BN40" s="375">
        <v>0</v>
      </c>
      <c r="BO40" s="375">
        <f t="shared" si="34"/>
        <v>0</v>
      </c>
      <c r="BP40" s="375">
        <f t="shared" si="35"/>
        <v>3.5</v>
      </c>
      <c r="BQ40" s="376">
        <f t="shared" si="36"/>
        <v>8.5</v>
      </c>
      <c r="BR40" s="373">
        <f t="shared" si="37"/>
        <v>7.2799062499999998</v>
      </c>
      <c r="BS40" s="374" t="str">
        <f t="shared" si="38"/>
        <v>(0.68)</v>
      </c>
      <c r="BT40" s="375">
        <v>2</v>
      </c>
      <c r="BU40" s="375">
        <f t="shared" si="39"/>
        <v>3.5</v>
      </c>
      <c r="BV40" s="375">
        <v>0</v>
      </c>
      <c r="BW40" s="375">
        <f t="shared" si="40"/>
        <v>0</v>
      </c>
      <c r="BX40" s="375">
        <v>0</v>
      </c>
      <c r="BY40" s="375">
        <f t="shared" si="41"/>
        <v>0</v>
      </c>
      <c r="BZ40" s="375">
        <f t="shared" si="42"/>
        <v>3.5</v>
      </c>
      <c r="CA40" s="376">
        <f t="shared" si="43"/>
        <v>14.5</v>
      </c>
      <c r="CB40" s="373">
        <f t="shared" si="44"/>
        <v>10.292281249999998</v>
      </c>
      <c r="CC40" s="374" t="str">
        <f t="shared" si="45"/>
        <v>(0.96)</v>
      </c>
      <c r="CD40" s="375">
        <v>2</v>
      </c>
      <c r="CE40" s="375">
        <f t="shared" si="46"/>
        <v>3.5</v>
      </c>
      <c r="CF40" s="375">
        <v>0</v>
      </c>
      <c r="CG40" s="375">
        <f t="shared" si="47"/>
        <v>0</v>
      </c>
      <c r="CH40" s="375">
        <v>0</v>
      </c>
      <c r="CI40" s="375">
        <f t="shared" si="48"/>
        <v>0</v>
      </c>
      <c r="CJ40" s="375">
        <f t="shared" si="49"/>
        <v>3.5</v>
      </c>
      <c r="CK40" s="376">
        <f t="shared" si="50"/>
        <v>20.5</v>
      </c>
      <c r="CL40" s="373">
        <f t="shared" si="51"/>
        <v>13.304656250000001</v>
      </c>
      <c r="CM40" s="374" t="str">
        <f t="shared" si="52"/>
        <v>(1.24)</v>
      </c>
      <c r="CN40" s="375">
        <v>2</v>
      </c>
      <c r="CO40" s="375">
        <f t="shared" si="53"/>
        <v>3.5</v>
      </c>
      <c r="CP40" s="375">
        <v>0</v>
      </c>
      <c r="CQ40" s="375">
        <f t="shared" si="54"/>
        <v>0</v>
      </c>
      <c r="CR40" s="375">
        <v>0</v>
      </c>
      <c r="CS40" s="375">
        <f t="shared" si="55"/>
        <v>0</v>
      </c>
      <c r="CT40" s="375">
        <f t="shared" si="56"/>
        <v>3.5</v>
      </c>
      <c r="CU40" s="376">
        <f t="shared" si="57"/>
        <v>26.5</v>
      </c>
      <c r="CV40" s="373">
        <f t="shared" si="58"/>
        <v>16.317031249999999</v>
      </c>
      <c r="CW40" s="374" t="str">
        <f t="shared" si="59"/>
        <v>(1.52)</v>
      </c>
      <c r="CX40" s="375">
        <v>2</v>
      </c>
      <c r="CY40" s="375">
        <f t="shared" si="60"/>
        <v>3.5</v>
      </c>
      <c r="CZ40" s="375">
        <v>0</v>
      </c>
      <c r="DA40" s="375">
        <f t="shared" si="61"/>
        <v>0</v>
      </c>
      <c r="DB40" s="375">
        <v>0</v>
      </c>
      <c r="DC40" s="375">
        <f t="shared" si="62"/>
        <v>0</v>
      </c>
      <c r="DD40" s="375">
        <f t="shared" si="63"/>
        <v>3.5</v>
      </c>
      <c r="DE40" s="376">
        <f t="shared" si="64"/>
        <v>32.5</v>
      </c>
      <c r="DF40" s="373">
        <f t="shared" si="65"/>
        <v>19.329406249999998</v>
      </c>
      <c r="DG40" s="374" t="str">
        <f t="shared" si="66"/>
        <v>(1.8)</v>
      </c>
      <c r="DH40" s="375">
        <v>2</v>
      </c>
      <c r="DI40" s="375">
        <f t="shared" si="67"/>
        <v>3.5</v>
      </c>
      <c r="DJ40" s="375">
        <v>0</v>
      </c>
      <c r="DK40" s="375">
        <f t="shared" si="68"/>
        <v>0</v>
      </c>
      <c r="DL40" s="375">
        <v>0</v>
      </c>
      <c r="DM40" s="375">
        <f t="shared" si="69"/>
        <v>0</v>
      </c>
      <c r="DN40" s="375">
        <f t="shared" si="70"/>
        <v>3.5</v>
      </c>
      <c r="DO40" s="376">
        <f t="shared" si="71"/>
        <v>38.5</v>
      </c>
      <c r="DP40" s="373">
        <f t="shared" si="72"/>
        <v>22.34178125</v>
      </c>
      <c r="DQ40" s="374" t="str">
        <f t="shared" si="73"/>
        <v>(2.08)</v>
      </c>
      <c r="DR40" s="375">
        <v>2</v>
      </c>
      <c r="DS40" s="375">
        <f t="shared" si="74"/>
        <v>3.5</v>
      </c>
      <c r="DT40" s="375">
        <v>0</v>
      </c>
      <c r="DU40" s="375">
        <f t="shared" si="75"/>
        <v>0</v>
      </c>
      <c r="DV40" s="375">
        <v>0</v>
      </c>
      <c r="DW40" s="375">
        <f t="shared" si="76"/>
        <v>0</v>
      </c>
      <c r="DX40" s="375">
        <f t="shared" si="77"/>
        <v>3.5</v>
      </c>
      <c r="DY40" s="376">
        <f t="shared" si="78"/>
        <v>44.5</v>
      </c>
      <c r="DZ40" s="373">
        <f t="shared" si="79"/>
        <v>24.852093749999998</v>
      </c>
      <c r="EA40" s="374" t="str">
        <f t="shared" si="80"/>
        <v>(2.31)</v>
      </c>
      <c r="EB40" s="375">
        <v>2</v>
      </c>
      <c r="EC40" s="375">
        <f t="shared" si="81"/>
        <v>3.5</v>
      </c>
      <c r="ED40" s="375">
        <v>0</v>
      </c>
      <c r="EE40" s="375">
        <f t="shared" si="82"/>
        <v>0</v>
      </c>
      <c r="EF40" s="375">
        <v>1</v>
      </c>
      <c r="EG40" s="375">
        <f t="shared" si="83"/>
        <v>1</v>
      </c>
      <c r="EH40" s="375">
        <f t="shared" si="84"/>
        <v>4.5</v>
      </c>
      <c r="EI40" s="376">
        <f t="shared" si="85"/>
        <v>49.5</v>
      </c>
      <c r="EJ40" s="373">
        <f t="shared" si="86"/>
        <v>27.86446875</v>
      </c>
      <c r="EK40" s="374" t="str">
        <f t="shared" si="87"/>
        <v>(2.59)</v>
      </c>
      <c r="EL40" s="375">
        <v>2</v>
      </c>
      <c r="EM40" s="375">
        <f t="shared" si="88"/>
        <v>3.5</v>
      </c>
      <c r="EN40" s="375">
        <v>0</v>
      </c>
      <c r="EO40" s="375">
        <f t="shared" si="89"/>
        <v>0</v>
      </c>
      <c r="EP40" s="375">
        <v>1</v>
      </c>
      <c r="EQ40" s="375">
        <f t="shared" si="90"/>
        <v>1</v>
      </c>
      <c r="ER40" s="375">
        <f t="shared" si="91"/>
        <v>4.5</v>
      </c>
      <c r="ES40" s="376">
        <f t="shared" si="92"/>
        <v>55.5</v>
      </c>
      <c r="ET40" s="373">
        <f t="shared" si="93"/>
        <v>30.876843749999995</v>
      </c>
      <c r="EU40" s="374" t="str">
        <f t="shared" si="94"/>
        <v>(2.87)</v>
      </c>
      <c r="EV40" s="375">
        <v>2</v>
      </c>
      <c r="EW40" s="375">
        <f t="shared" si="95"/>
        <v>3.5</v>
      </c>
      <c r="EX40" s="375">
        <v>0</v>
      </c>
      <c r="EY40" s="375">
        <f t="shared" si="96"/>
        <v>0</v>
      </c>
      <c r="EZ40" s="375">
        <v>1</v>
      </c>
      <c r="FA40" s="375">
        <f t="shared" si="97"/>
        <v>1</v>
      </c>
      <c r="FB40" s="375">
        <f t="shared" si="98"/>
        <v>4.5</v>
      </c>
      <c r="FC40" s="376">
        <f t="shared" si="99"/>
        <v>61.5</v>
      </c>
      <c r="FD40" s="373">
        <f t="shared" si="100"/>
        <v>33.826460937500002</v>
      </c>
      <c r="FE40" s="374" t="str">
        <f t="shared" si="101"/>
        <v>(3.14)</v>
      </c>
      <c r="FF40" s="375">
        <v>2</v>
      </c>
      <c r="FG40" s="375">
        <f t="shared" si="102"/>
        <v>3.5</v>
      </c>
      <c r="FH40" s="375">
        <v>1</v>
      </c>
      <c r="FI40" s="375">
        <f t="shared" si="103"/>
        <v>1.125</v>
      </c>
      <c r="FJ40" s="375">
        <v>0</v>
      </c>
      <c r="FK40" s="375">
        <f t="shared" si="104"/>
        <v>0</v>
      </c>
      <c r="FL40" s="375">
        <f t="shared" si="105"/>
        <v>4.625</v>
      </c>
      <c r="FM40" s="376">
        <f t="shared" si="106"/>
        <v>67.375</v>
      </c>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5">
        <v>27</v>
      </c>
      <c r="IR40" s="26">
        <v>2.645</v>
      </c>
      <c r="IS40" s="26">
        <v>2.645</v>
      </c>
      <c r="IT40" s="26">
        <v>0.88200000000000001</v>
      </c>
      <c r="IU40" s="26">
        <v>1.75</v>
      </c>
      <c r="IV40" s="26">
        <v>1</v>
      </c>
      <c r="IW40" s="26">
        <v>1.125</v>
      </c>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163"/>
        <v>120</v>
      </c>
      <c r="AV41" s="28" t="str">
        <f t="shared" si="22"/>
        <v>(3050)</v>
      </c>
      <c r="AW41" s="19"/>
      <c r="AX41" s="20">
        <f t="shared" si="23"/>
        <v>2.9085833333333335</v>
      </c>
      <c r="AY41" s="29" t="str">
        <f t="shared" si="24"/>
        <v>(0.27)</v>
      </c>
      <c r="AZ41" s="22">
        <v>2</v>
      </c>
      <c r="BA41" s="22">
        <f t="shared" si="25"/>
        <v>3.5</v>
      </c>
      <c r="BB41" s="30">
        <v>0</v>
      </c>
      <c r="BC41" s="22">
        <f t="shared" si="26"/>
        <v>0</v>
      </c>
      <c r="BD41" s="30">
        <v>0</v>
      </c>
      <c r="BE41" s="22">
        <f t="shared" si="27"/>
        <v>0</v>
      </c>
      <c r="BF41" s="22">
        <f t="shared" si="28"/>
        <v>3.5</v>
      </c>
      <c r="BG41" s="23">
        <f t="shared" si="29"/>
        <v>5.5</v>
      </c>
      <c r="BH41" s="373">
        <f t="shared" si="30"/>
        <v>4.4950833333333335</v>
      </c>
      <c r="BI41" s="374" t="str">
        <f t="shared" si="31"/>
        <v>(0.42)</v>
      </c>
      <c r="BJ41" s="375">
        <v>2</v>
      </c>
      <c r="BK41" s="375">
        <f t="shared" si="32"/>
        <v>3.5</v>
      </c>
      <c r="BL41" s="375">
        <v>0</v>
      </c>
      <c r="BM41" s="375">
        <f t="shared" si="33"/>
        <v>0</v>
      </c>
      <c r="BN41" s="375">
        <v>0</v>
      </c>
      <c r="BO41" s="375">
        <f t="shared" si="34"/>
        <v>0</v>
      </c>
      <c r="BP41" s="375">
        <f t="shared" si="35"/>
        <v>3.5</v>
      </c>
      <c r="BQ41" s="376">
        <f t="shared" si="36"/>
        <v>8.5</v>
      </c>
      <c r="BR41" s="373">
        <f t="shared" si="37"/>
        <v>7.6680833333333327</v>
      </c>
      <c r="BS41" s="374" t="str">
        <f t="shared" si="38"/>
        <v>(0.71)</v>
      </c>
      <c r="BT41" s="375">
        <v>2</v>
      </c>
      <c r="BU41" s="375">
        <f t="shared" si="39"/>
        <v>3.5</v>
      </c>
      <c r="BV41" s="375">
        <v>0</v>
      </c>
      <c r="BW41" s="375">
        <f t="shared" si="40"/>
        <v>0</v>
      </c>
      <c r="BX41" s="375">
        <v>0</v>
      </c>
      <c r="BY41" s="375">
        <f t="shared" si="41"/>
        <v>0</v>
      </c>
      <c r="BZ41" s="375">
        <f t="shared" si="42"/>
        <v>3.5</v>
      </c>
      <c r="CA41" s="376">
        <f t="shared" si="43"/>
        <v>14.5</v>
      </c>
      <c r="CB41" s="373">
        <f t="shared" si="44"/>
        <v>10.841083333333334</v>
      </c>
      <c r="CC41" s="374" t="str">
        <f t="shared" si="45"/>
        <v>(1.01)</v>
      </c>
      <c r="CD41" s="375">
        <v>2</v>
      </c>
      <c r="CE41" s="375">
        <f t="shared" si="46"/>
        <v>3.5</v>
      </c>
      <c r="CF41" s="375">
        <v>0</v>
      </c>
      <c r="CG41" s="375">
        <f t="shared" si="47"/>
        <v>0</v>
      </c>
      <c r="CH41" s="375">
        <v>0</v>
      </c>
      <c r="CI41" s="375">
        <f t="shared" si="48"/>
        <v>0</v>
      </c>
      <c r="CJ41" s="375">
        <f t="shared" si="49"/>
        <v>3.5</v>
      </c>
      <c r="CK41" s="376">
        <f t="shared" si="50"/>
        <v>20.5</v>
      </c>
      <c r="CL41" s="373">
        <f t="shared" si="51"/>
        <v>14.014083333333334</v>
      </c>
      <c r="CM41" s="374" t="str">
        <f t="shared" si="52"/>
        <v>(1.3)</v>
      </c>
      <c r="CN41" s="375">
        <v>2</v>
      </c>
      <c r="CO41" s="375">
        <f t="shared" si="53"/>
        <v>3.5</v>
      </c>
      <c r="CP41" s="375">
        <v>0</v>
      </c>
      <c r="CQ41" s="375">
        <f t="shared" si="54"/>
        <v>0</v>
      </c>
      <c r="CR41" s="375">
        <v>0</v>
      </c>
      <c r="CS41" s="375">
        <f t="shared" si="55"/>
        <v>0</v>
      </c>
      <c r="CT41" s="375">
        <f t="shared" si="56"/>
        <v>3.5</v>
      </c>
      <c r="CU41" s="376">
        <f t="shared" si="57"/>
        <v>26.5</v>
      </c>
      <c r="CV41" s="373">
        <f t="shared" si="58"/>
        <v>17.187083333333334</v>
      </c>
      <c r="CW41" s="374" t="str">
        <f t="shared" si="59"/>
        <v>(1.6)</v>
      </c>
      <c r="CX41" s="375">
        <v>2</v>
      </c>
      <c r="CY41" s="375">
        <f t="shared" si="60"/>
        <v>3.5</v>
      </c>
      <c r="CZ41" s="375">
        <v>0</v>
      </c>
      <c r="DA41" s="375">
        <f t="shared" si="61"/>
        <v>0</v>
      </c>
      <c r="DB41" s="375">
        <v>0</v>
      </c>
      <c r="DC41" s="375">
        <f t="shared" si="62"/>
        <v>0</v>
      </c>
      <c r="DD41" s="375">
        <f t="shared" si="63"/>
        <v>3.5</v>
      </c>
      <c r="DE41" s="376">
        <f t="shared" si="64"/>
        <v>32.5</v>
      </c>
      <c r="DF41" s="373">
        <f t="shared" si="65"/>
        <v>20.360083333333332</v>
      </c>
      <c r="DG41" s="374" t="str">
        <f t="shared" si="66"/>
        <v>(1.89)</v>
      </c>
      <c r="DH41" s="375">
        <v>2</v>
      </c>
      <c r="DI41" s="375">
        <f t="shared" si="67"/>
        <v>3.5</v>
      </c>
      <c r="DJ41" s="375">
        <v>0</v>
      </c>
      <c r="DK41" s="375">
        <f t="shared" si="68"/>
        <v>0</v>
      </c>
      <c r="DL41" s="375">
        <v>0</v>
      </c>
      <c r="DM41" s="375">
        <f t="shared" si="69"/>
        <v>0</v>
      </c>
      <c r="DN41" s="375">
        <f t="shared" si="70"/>
        <v>3.5</v>
      </c>
      <c r="DO41" s="376">
        <f t="shared" si="71"/>
        <v>38.5</v>
      </c>
      <c r="DP41" s="373">
        <f t="shared" si="72"/>
        <v>23.533083333333334</v>
      </c>
      <c r="DQ41" s="374" t="str">
        <f t="shared" si="73"/>
        <v>(2.19)</v>
      </c>
      <c r="DR41" s="375">
        <v>2</v>
      </c>
      <c r="DS41" s="375">
        <f t="shared" si="74"/>
        <v>3.5</v>
      </c>
      <c r="DT41" s="375">
        <v>0</v>
      </c>
      <c r="DU41" s="375">
        <f t="shared" si="75"/>
        <v>0</v>
      </c>
      <c r="DV41" s="375">
        <v>0</v>
      </c>
      <c r="DW41" s="375">
        <f t="shared" si="76"/>
        <v>0</v>
      </c>
      <c r="DX41" s="375">
        <f t="shared" si="77"/>
        <v>3.5</v>
      </c>
      <c r="DY41" s="376">
        <f t="shared" si="78"/>
        <v>44.5</v>
      </c>
      <c r="DZ41" s="373">
        <f t="shared" si="79"/>
        <v>26.177250000000001</v>
      </c>
      <c r="EA41" s="374" t="str">
        <f t="shared" si="80"/>
        <v>(2.43)</v>
      </c>
      <c r="EB41" s="375">
        <v>2</v>
      </c>
      <c r="EC41" s="375">
        <f t="shared" si="81"/>
        <v>3.5</v>
      </c>
      <c r="ED41" s="375">
        <v>0</v>
      </c>
      <c r="EE41" s="375">
        <f t="shared" si="82"/>
        <v>0</v>
      </c>
      <c r="EF41" s="375">
        <v>1</v>
      </c>
      <c r="EG41" s="375">
        <f t="shared" si="83"/>
        <v>1</v>
      </c>
      <c r="EH41" s="375">
        <f t="shared" si="84"/>
        <v>4.5</v>
      </c>
      <c r="EI41" s="376">
        <f t="shared" si="85"/>
        <v>49.5</v>
      </c>
      <c r="EJ41" s="373">
        <f t="shared" si="86"/>
        <v>29.350249999999999</v>
      </c>
      <c r="EK41" s="374" t="str">
        <f t="shared" si="87"/>
        <v>(2.73)</v>
      </c>
      <c r="EL41" s="375">
        <v>2</v>
      </c>
      <c r="EM41" s="375">
        <f t="shared" si="88"/>
        <v>3.5</v>
      </c>
      <c r="EN41" s="375">
        <v>0</v>
      </c>
      <c r="EO41" s="375">
        <f t="shared" si="89"/>
        <v>0</v>
      </c>
      <c r="EP41" s="375">
        <v>1</v>
      </c>
      <c r="EQ41" s="375">
        <f t="shared" si="90"/>
        <v>1</v>
      </c>
      <c r="ER41" s="375">
        <f t="shared" si="91"/>
        <v>4.5</v>
      </c>
      <c r="ES41" s="376">
        <f t="shared" si="92"/>
        <v>55.5</v>
      </c>
      <c r="ET41" s="373">
        <f t="shared" si="93"/>
        <v>32.523249999999997</v>
      </c>
      <c r="EU41" s="374" t="str">
        <f t="shared" si="94"/>
        <v>(3.02)</v>
      </c>
      <c r="EV41" s="375">
        <v>2</v>
      </c>
      <c r="EW41" s="375">
        <f t="shared" si="95"/>
        <v>3.5</v>
      </c>
      <c r="EX41" s="375">
        <v>0</v>
      </c>
      <c r="EY41" s="375">
        <f t="shared" si="96"/>
        <v>0</v>
      </c>
      <c r="EZ41" s="375">
        <v>1</v>
      </c>
      <c r="FA41" s="375">
        <f t="shared" si="97"/>
        <v>1</v>
      </c>
      <c r="FB41" s="375">
        <f t="shared" si="98"/>
        <v>4.5</v>
      </c>
      <c r="FC41" s="376">
        <f t="shared" si="99"/>
        <v>61.5</v>
      </c>
      <c r="FD41" s="373">
        <f t="shared" si="100"/>
        <v>35.63014583333333</v>
      </c>
      <c r="FE41" s="374" t="str">
        <f t="shared" si="101"/>
        <v>(3.31)</v>
      </c>
      <c r="FF41" s="375">
        <v>2</v>
      </c>
      <c r="FG41" s="375">
        <f t="shared" si="102"/>
        <v>3.5</v>
      </c>
      <c r="FH41" s="375">
        <v>1</v>
      </c>
      <c r="FI41" s="375">
        <f t="shared" si="103"/>
        <v>1.125</v>
      </c>
      <c r="FJ41" s="375">
        <v>0</v>
      </c>
      <c r="FK41" s="375">
        <f t="shared" si="104"/>
        <v>0</v>
      </c>
      <c r="FL41" s="375">
        <f t="shared" si="105"/>
        <v>4.625</v>
      </c>
      <c r="FM41" s="376">
        <f t="shared" si="106"/>
        <v>67.375</v>
      </c>
      <c r="FN41" s="31"/>
      <c r="FO41" s="31"/>
      <c r="FP41" s="32"/>
      <c r="FQ41" s="32"/>
      <c r="FR41" s="32"/>
      <c r="FS41" s="32"/>
      <c r="FT41" s="32"/>
      <c r="FU41" s="32"/>
      <c r="FV41" s="31"/>
      <c r="FW41" s="31"/>
      <c r="FX41" s="31"/>
      <c r="FY41" s="31"/>
      <c r="FZ41" s="31"/>
      <c r="GA41" s="31"/>
      <c r="GB41" s="31"/>
      <c r="GC41" s="31"/>
      <c r="GD41" s="31"/>
      <c r="GE41" s="31"/>
      <c r="GF41" s="31"/>
      <c r="GG41" s="31"/>
      <c r="GH41" s="31"/>
      <c r="GI41" s="31"/>
      <c r="GJ41" s="32"/>
      <c r="GK41" s="32"/>
      <c r="GL41" s="32"/>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2"/>
      <c r="HQ41" s="32"/>
      <c r="HR41" s="32"/>
      <c r="HS41" s="32"/>
      <c r="HT41" s="32"/>
      <c r="HU41" s="32"/>
      <c r="HV41" s="32"/>
      <c r="HW41" s="32"/>
      <c r="HX41" s="32"/>
      <c r="HY41" s="32"/>
      <c r="HZ41" s="32"/>
      <c r="IA41" s="32"/>
      <c r="IB41" s="32"/>
      <c r="IC41" s="32"/>
      <c r="ID41" s="32"/>
      <c r="IE41" s="32"/>
      <c r="IF41" s="31"/>
      <c r="IG41" s="31"/>
      <c r="IH41" s="32"/>
      <c r="II41" s="32"/>
      <c r="IJ41" s="34"/>
      <c r="IK41" s="32"/>
      <c r="IL41" s="32"/>
      <c r="IM41" s="32"/>
      <c r="IN41" s="33"/>
      <c r="IO41" s="33"/>
      <c r="IP41" s="33"/>
      <c r="IQ41" s="25">
        <v>28</v>
      </c>
      <c r="IR41" s="26">
        <v>2.645</v>
      </c>
      <c r="IS41" s="26">
        <v>2.645</v>
      </c>
      <c r="IT41" s="26">
        <v>2.0920000000000001</v>
      </c>
      <c r="IU41" s="26">
        <v>1.75</v>
      </c>
      <c r="IV41" s="26">
        <v>1</v>
      </c>
      <c r="IW41" s="26">
        <v>1.125</v>
      </c>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c r="BF44" s="7"/>
      <c r="BG44" s="7"/>
      <c r="BH44" s="7"/>
      <c r="BI44" s="7"/>
      <c r="BJ44" s="7"/>
      <c r="BK44" s="7"/>
      <c r="BL44" s="7"/>
      <c r="BM44" s="7"/>
      <c r="BN44" s="6"/>
      <c r="BO44" s="7"/>
      <c r="BP44" s="7"/>
      <c r="BQ44" s="7"/>
      <c r="BR44" s="7"/>
      <c r="BS44" s="7"/>
      <c r="BT44" s="7"/>
      <c r="BU44" s="7"/>
      <c r="BV44" s="7"/>
      <c r="BW44" s="7"/>
      <c r="BX44" s="6"/>
      <c r="BY44" s="7"/>
      <c r="BZ44" s="7"/>
      <c r="CA44" s="7"/>
      <c r="CB44" s="7"/>
      <c r="CC44" s="7"/>
      <c r="CD44" s="7"/>
      <c r="CE44" s="7"/>
      <c r="CF44" s="7"/>
      <c r="CG44" s="7"/>
      <c r="CH44" s="6"/>
      <c r="CI44" s="7"/>
      <c r="CJ44" s="7"/>
      <c r="CK44" s="7"/>
      <c r="CL44" s="7"/>
      <c r="CM44" s="7"/>
      <c r="CN44" s="7"/>
      <c r="CO44" s="7"/>
      <c r="CP44" s="7"/>
      <c r="CQ44" s="7"/>
      <c r="CR44" s="6"/>
      <c r="CS44" s="7"/>
      <c r="CT44" s="7"/>
      <c r="CU44" s="7"/>
      <c r="CV44" s="7"/>
      <c r="CW44" s="7"/>
      <c r="CX44" s="7"/>
      <c r="CY44" s="7"/>
      <c r="CZ44" s="7"/>
      <c r="DA44" s="7"/>
      <c r="DB44" s="6"/>
      <c r="DC44" s="7"/>
      <c r="DD44" s="7"/>
      <c r="DE44" s="7"/>
      <c r="DF44" s="7"/>
      <c r="DG44" s="7"/>
      <c r="DH44" s="7"/>
      <c r="DI44" s="7"/>
      <c r="DJ44" s="7"/>
      <c r="DK44" s="7"/>
      <c r="DL44" s="6"/>
      <c r="DM44" s="7"/>
      <c r="DN44" s="7"/>
      <c r="DO44" s="7"/>
      <c r="DP44" s="7"/>
      <c r="DQ44" s="7"/>
      <c r="DR44" s="7"/>
      <c r="DS44" s="7"/>
      <c r="DT44" s="7"/>
      <c r="DU44" s="7"/>
      <c r="DV44" s="6"/>
      <c r="DW44" s="7"/>
      <c r="DX44" s="7"/>
      <c r="DY44" s="7"/>
      <c r="DZ44" s="7"/>
      <c r="EA44" s="7"/>
      <c r="EB44" s="7"/>
      <c r="EC44" s="7"/>
      <c r="ED44" s="7"/>
      <c r="EE44" s="7"/>
      <c r="EF44" s="6"/>
      <c r="EG44" s="7"/>
      <c r="EH44" s="7"/>
      <c r="EI44" s="7"/>
      <c r="EJ44" s="7"/>
      <c r="EK44" s="7"/>
      <c r="EL44" s="7"/>
      <c r="EM44" s="7"/>
      <c r="EN44" s="7"/>
      <c r="EO44" s="7"/>
      <c r="EP44" s="6"/>
      <c r="EQ44" s="7"/>
      <c r="ER44" s="7"/>
      <c r="ES44" s="7"/>
      <c r="ET44" s="7"/>
      <c r="EU44" s="7"/>
      <c r="EV44" s="7"/>
      <c r="EW44" s="7"/>
      <c r="EX44" s="7"/>
      <c r="EY44" s="7"/>
      <c r="EZ44" s="6"/>
      <c r="FA44" s="7"/>
      <c r="FB44" s="7"/>
      <c r="FC44" s="7"/>
      <c r="FD44" s="7"/>
      <c r="FE44" s="7"/>
      <c r="FF44" s="7"/>
      <c r="FG44" s="7"/>
      <c r="FH44" s="7"/>
      <c r="FI44" s="7"/>
      <c r="FJ44" s="6"/>
      <c r="FK44" s="7"/>
      <c r="FL44" s="7"/>
      <c r="FM44" s="7"/>
      <c r="FN44" s="7"/>
      <c r="FO44" s="7"/>
      <c r="FP44" s="7"/>
      <c r="FQ44" s="7"/>
      <c r="FR44" s="7"/>
      <c r="FS44" s="7"/>
      <c r="FT44" s="6"/>
      <c r="FU44" s="7"/>
      <c r="FV44" s="7"/>
      <c r="FW44" s="7"/>
      <c r="FX44" s="7"/>
      <c r="FY44" s="7"/>
      <c r="FZ44" s="7"/>
      <c r="GA44" s="7"/>
      <c r="GB44" s="7"/>
      <c r="GC44" s="7"/>
      <c r="GD44" s="6"/>
      <c r="GE44" s="7"/>
      <c r="GF44" s="7"/>
      <c r="GG44" s="7"/>
      <c r="GH44" s="7"/>
      <c r="GI44" s="7"/>
      <c r="GJ44" s="7"/>
      <c r="GK44" s="7"/>
      <c r="GL44" s="7"/>
      <c r="GM44" s="7"/>
      <c r="GN44" s="6"/>
      <c r="GO44" s="7"/>
      <c r="GP44" s="7"/>
      <c r="GQ44" s="7"/>
      <c r="GR44" s="7"/>
      <c r="GS44" s="7"/>
      <c r="GT44" s="7"/>
      <c r="GU44" s="7"/>
      <c r="GV44" s="5"/>
      <c r="GW44" s="5"/>
      <c r="GX44" s="5"/>
      <c r="GY44" s="5"/>
      <c r="GZ44" s="5"/>
      <c r="HA44" s="5"/>
      <c r="HB44" s="5"/>
      <c r="HC44" s="5"/>
      <c r="HD44" s="5"/>
      <c r="HE44" s="5"/>
      <c r="HF44" s="5"/>
    </row>
    <row r="45" spans="2:258" ht="19.5" thickBot="1" x14ac:dyDescent="0.35">
      <c r="B45" s="272" t="s">
        <v>41</v>
      </c>
      <c r="C45" s="147" t="e">
        <f>C9</f>
        <v>#VALUE!</v>
      </c>
      <c r="D45" s="73"/>
      <c r="E45" s="73"/>
      <c r="F45" s="73"/>
      <c r="G45" s="73"/>
      <c r="H45" s="73"/>
      <c r="I45" s="73"/>
      <c r="J45" s="73"/>
      <c r="K45" s="73"/>
      <c r="L45" s="273"/>
      <c r="N45" s="881" t="s">
        <v>191</v>
      </c>
      <c r="O45" s="252"/>
      <c r="P45" s="95"/>
      <c r="Q45" s="253">
        <v>9</v>
      </c>
      <c r="R45" s="254">
        <v>12</v>
      </c>
      <c r="S45" s="254">
        <f t="shared" ref="S45:AJ45" si="164">R45+6</f>
        <v>18</v>
      </c>
      <c r="T45" s="254">
        <f t="shared" si="164"/>
        <v>24</v>
      </c>
      <c r="U45" s="254">
        <f t="shared" si="164"/>
        <v>30</v>
      </c>
      <c r="V45" s="254">
        <f t="shared" si="164"/>
        <v>36</v>
      </c>
      <c r="W45" s="254">
        <f t="shared" si="164"/>
        <v>42</v>
      </c>
      <c r="X45" s="254">
        <f t="shared" si="164"/>
        <v>48</v>
      </c>
      <c r="Y45" s="254">
        <f t="shared" si="164"/>
        <v>54</v>
      </c>
      <c r="Z45" s="254">
        <f t="shared" si="164"/>
        <v>60</v>
      </c>
      <c r="AA45" s="254">
        <f t="shared" si="164"/>
        <v>66</v>
      </c>
      <c r="AB45" s="254">
        <f t="shared" si="164"/>
        <v>72</v>
      </c>
      <c r="AC45" s="254">
        <f t="shared" si="164"/>
        <v>78</v>
      </c>
      <c r="AD45" s="254">
        <f t="shared" si="164"/>
        <v>84</v>
      </c>
      <c r="AE45" s="254">
        <f t="shared" si="164"/>
        <v>90</v>
      </c>
      <c r="AF45" s="254">
        <f t="shared" si="164"/>
        <v>96</v>
      </c>
      <c r="AG45" s="254">
        <f t="shared" si="164"/>
        <v>102</v>
      </c>
      <c r="AH45" s="254">
        <f t="shared" si="164"/>
        <v>108</v>
      </c>
      <c r="AI45" s="254">
        <f t="shared" si="164"/>
        <v>114</v>
      </c>
      <c r="AJ45" s="254">
        <f t="shared" si="164"/>
        <v>120</v>
      </c>
      <c r="AK45" s="94"/>
      <c r="AL45" s="94"/>
      <c r="AM45" s="94"/>
      <c r="AN45" s="94"/>
      <c r="AO45" s="94"/>
      <c r="AP45" s="94"/>
      <c r="AQ45" s="95"/>
    </row>
    <row r="46" spans="2:258" ht="18.75" customHeight="1" thickBot="1" x14ac:dyDescent="0.35">
      <c r="B46" s="228" t="s">
        <v>42</v>
      </c>
      <c r="C46" s="148" t="e">
        <f>F9</f>
        <v>#VALUE!</v>
      </c>
      <c r="E46" s="71"/>
      <c r="F46" s="71"/>
      <c r="G46" s="71"/>
      <c r="H46" s="71"/>
      <c r="I46" s="71"/>
      <c r="J46" s="71"/>
      <c r="K46" s="71"/>
      <c r="L46" s="75"/>
      <c r="N46" s="882"/>
      <c r="O46" s="67"/>
      <c r="P46" s="300">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15.75" customHeight="1" thickBot="1" x14ac:dyDescent="0.4">
      <c r="B47" s="234" t="s">
        <v>77</v>
      </c>
      <c r="C47" s="71"/>
      <c r="D47" s="71"/>
      <c r="E47" s="71"/>
      <c r="F47" s="71"/>
      <c r="G47" s="71"/>
      <c r="H47" s="71"/>
      <c r="I47" s="71"/>
      <c r="J47" s="71"/>
      <c r="K47" s="71"/>
      <c r="L47" s="75"/>
      <c r="N47" s="250"/>
      <c r="O47" s="251">
        <f>F12</f>
        <v>9.5</v>
      </c>
      <c r="P47" s="301">
        <v>2</v>
      </c>
      <c r="Q47" s="299">
        <v>2.93</v>
      </c>
      <c r="R47" s="255">
        <v>3.73</v>
      </c>
      <c r="S47" s="255">
        <v>5.33</v>
      </c>
      <c r="T47" s="255">
        <v>6.92</v>
      </c>
      <c r="U47" s="255">
        <v>8.52</v>
      </c>
      <c r="V47" s="255">
        <v>10.119999999999999</v>
      </c>
      <c r="W47" s="255">
        <v>11.72</v>
      </c>
      <c r="X47" s="255">
        <v>13.32</v>
      </c>
      <c r="Y47" s="255">
        <v>14.92</v>
      </c>
      <c r="Z47" s="255">
        <v>16.52</v>
      </c>
      <c r="AA47" s="255">
        <v>18.12</v>
      </c>
      <c r="AB47" s="255">
        <v>19.71</v>
      </c>
      <c r="AC47" s="255">
        <v>21.31</v>
      </c>
      <c r="AD47" s="255">
        <v>22.91</v>
      </c>
      <c r="AE47" s="255">
        <v>24.51</v>
      </c>
      <c r="AF47" s="255">
        <v>26.11</v>
      </c>
      <c r="AG47" s="255">
        <v>27.71</v>
      </c>
      <c r="AH47" s="255">
        <v>29.31</v>
      </c>
      <c r="AI47" s="255">
        <v>30.9</v>
      </c>
      <c r="AJ47" s="255">
        <v>32.5</v>
      </c>
      <c r="AK47" s="150"/>
      <c r="AL47" s="150"/>
      <c r="AM47" s="150"/>
      <c r="AN47" s="150"/>
      <c r="AO47" s="150"/>
      <c r="AP47" s="150"/>
      <c r="AQ47" s="158"/>
      <c r="IS47" s="175"/>
    </row>
    <row r="48" spans="2:258" ht="15" customHeight="1" thickBot="1" x14ac:dyDescent="0.3">
      <c r="B48" s="78"/>
      <c r="D48" s="71"/>
      <c r="E48" s="71"/>
      <c r="F48" s="71"/>
      <c r="G48" s="71"/>
      <c r="H48" s="71"/>
      <c r="I48" s="71"/>
      <c r="J48" s="71"/>
      <c r="K48" s="71"/>
      <c r="L48" s="75"/>
      <c r="N48" s="176"/>
      <c r="O48" s="162">
        <v>12</v>
      </c>
      <c r="P48" s="302">
        <v>3</v>
      </c>
      <c r="Q48" s="149">
        <v>3.29</v>
      </c>
      <c r="R48" s="153">
        <v>4.09</v>
      </c>
      <c r="S48" s="153">
        <v>5.69</v>
      </c>
      <c r="T48" s="153">
        <v>7.29</v>
      </c>
      <c r="U48" s="153">
        <v>8.89</v>
      </c>
      <c r="V48" s="153">
        <v>10.49</v>
      </c>
      <c r="W48" s="153">
        <v>12.09</v>
      </c>
      <c r="X48" s="153">
        <v>13.68</v>
      </c>
      <c r="Y48" s="153">
        <v>15.28</v>
      </c>
      <c r="Z48" s="153">
        <v>16.88</v>
      </c>
      <c r="AA48" s="153">
        <v>18.48</v>
      </c>
      <c r="AB48" s="153">
        <v>20.079999999999998</v>
      </c>
      <c r="AC48" s="153">
        <v>21.68</v>
      </c>
      <c r="AD48" s="153">
        <v>23.28</v>
      </c>
      <c r="AE48" s="153">
        <v>24.87</v>
      </c>
      <c r="AF48" s="153">
        <v>26.47</v>
      </c>
      <c r="AG48" s="153">
        <v>28.07</v>
      </c>
      <c r="AH48" s="153">
        <v>29.67</v>
      </c>
      <c r="AI48" s="153">
        <v>31.27</v>
      </c>
      <c r="AJ48" s="153">
        <v>32.869999999999997</v>
      </c>
      <c r="AK48" s="64"/>
      <c r="AL48" s="154"/>
      <c r="AM48" s="154" t="e">
        <f>D51</f>
        <v>#VALUE!</v>
      </c>
      <c r="AN48" s="155" t="e">
        <f>C45</f>
        <v>#VALUE!</v>
      </c>
      <c r="AO48" s="154" t="e">
        <f>E51</f>
        <v>#VALUE!</v>
      </c>
      <c r="AP48" s="64"/>
      <c r="AQ48" s="65"/>
      <c r="CL48" s="83"/>
      <c r="CM48" s="83"/>
      <c r="CN48" s="83"/>
      <c r="CO48" s="83"/>
      <c r="CP48" s="83"/>
      <c r="CQ48" s="83"/>
      <c r="CR48" s="83"/>
      <c r="CS48" s="83"/>
    </row>
    <row r="49" spans="2:43" ht="15" customHeight="1" thickBot="1" x14ac:dyDescent="0.3">
      <c r="B49" s="78"/>
      <c r="C49" s="124"/>
      <c r="D49" s="125" t="s">
        <v>35</v>
      </c>
      <c r="E49" s="126"/>
      <c r="F49" s="126"/>
      <c r="G49" s="128"/>
      <c r="H49" s="125" t="s">
        <v>36</v>
      </c>
      <c r="I49" s="127"/>
      <c r="J49" s="71"/>
      <c r="K49" s="71"/>
      <c r="L49" s="75"/>
      <c r="N49" s="103">
        <v>2.65</v>
      </c>
      <c r="O49" s="162">
        <f t="shared" ref="O49:O66" si="165">O48+6</f>
        <v>18</v>
      </c>
      <c r="P49" s="302">
        <v>4</v>
      </c>
      <c r="Q49" s="149">
        <v>4.87</v>
      </c>
      <c r="R49" s="153">
        <v>6.02</v>
      </c>
      <c r="S49" s="153">
        <v>8.32</v>
      </c>
      <c r="T49" s="153">
        <f>S49+2.3</f>
        <v>10.620000000000001</v>
      </c>
      <c r="U49" s="153">
        <f>T49+2.3</f>
        <v>12.920000000000002</v>
      </c>
      <c r="V49" s="153">
        <f>U49+2.3</f>
        <v>15.220000000000002</v>
      </c>
      <c r="W49" s="153">
        <f>V49+2.3</f>
        <v>17.520000000000003</v>
      </c>
      <c r="X49" s="153">
        <f t="shared" ref="X49:AF49" si="166">Y49-2.3</f>
        <v>19.830000000000005</v>
      </c>
      <c r="Y49" s="153">
        <f t="shared" si="166"/>
        <v>22.130000000000006</v>
      </c>
      <c r="Z49" s="153">
        <f t="shared" si="166"/>
        <v>24.430000000000007</v>
      </c>
      <c r="AA49" s="153">
        <f t="shared" si="166"/>
        <v>26.730000000000008</v>
      </c>
      <c r="AB49" s="153">
        <f t="shared" si="166"/>
        <v>29.030000000000008</v>
      </c>
      <c r="AC49" s="153">
        <f t="shared" si="166"/>
        <v>31.330000000000009</v>
      </c>
      <c r="AD49" s="153">
        <f t="shared" si="166"/>
        <v>33.63000000000001</v>
      </c>
      <c r="AE49" s="153">
        <f t="shared" si="166"/>
        <v>35.930000000000007</v>
      </c>
      <c r="AF49" s="153">
        <f t="shared" si="166"/>
        <v>38.230000000000004</v>
      </c>
      <c r="AG49" s="153">
        <v>40.53</v>
      </c>
      <c r="AH49" s="153">
        <v>42.83</v>
      </c>
      <c r="AI49" s="153">
        <v>45.13</v>
      </c>
      <c r="AJ49" s="153">
        <v>47.44</v>
      </c>
      <c r="AK49" s="96"/>
      <c r="AL49" s="154" t="e">
        <f>H51</f>
        <v>#VALUE!</v>
      </c>
      <c r="AM49" s="155" t="e">
        <f>INDEX(P46:AJ66,$H$52,$D$52)</f>
        <v>#VALUE!</v>
      </c>
      <c r="AN49" s="155" t="e">
        <f>(((AN48-AM48)/(AO48-AM48))*(AO49-AM49))+AM49</f>
        <v>#VALUE!</v>
      </c>
      <c r="AO49" s="155" t="e">
        <f>INDEX(P46:AJ66,$H$52,$E$52)</f>
        <v>#VALUE!</v>
      </c>
      <c r="AP49" s="64"/>
      <c r="AQ49" s="65"/>
    </row>
    <row r="50" spans="2:43" ht="16.5" thickBot="1" x14ac:dyDescent="0.3">
      <c r="B50" s="78"/>
      <c r="C50" s="120"/>
      <c r="D50" s="121" t="s">
        <v>78</v>
      </c>
      <c r="E50" s="122" t="s">
        <v>79</v>
      </c>
      <c r="F50" s="122"/>
      <c r="G50" s="129"/>
      <c r="H50" s="121" t="s">
        <v>78</v>
      </c>
      <c r="I50" s="123" t="s">
        <v>79</v>
      </c>
      <c r="J50" s="71"/>
      <c r="K50" s="71"/>
      <c r="L50" s="75"/>
      <c r="N50" s="103">
        <v>3.3600000000000012</v>
      </c>
      <c r="O50" s="162">
        <f t="shared" si="165"/>
        <v>24</v>
      </c>
      <c r="P50" s="302">
        <v>5</v>
      </c>
      <c r="Q50" s="149">
        <v>6.1</v>
      </c>
      <c r="R50" s="153">
        <v>7.42</v>
      </c>
      <c r="S50" s="153">
        <v>10.07</v>
      </c>
      <c r="T50" s="153">
        <f>S50+2.65</f>
        <v>12.72</v>
      </c>
      <c r="U50" s="153">
        <f>T50+2.65</f>
        <v>15.370000000000001</v>
      </c>
      <c r="V50" s="153">
        <f>U50+2.65</f>
        <v>18.02</v>
      </c>
      <c r="W50" s="153">
        <f>V50+2.65</f>
        <v>20.669999999999998</v>
      </c>
      <c r="X50" s="153">
        <v>23.33</v>
      </c>
      <c r="Y50" s="153">
        <f t="shared" ref="Y50:Y66" si="167">X50+$N49</f>
        <v>25.979999999999997</v>
      </c>
      <c r="Z50" s="153">
        <f t="shared" ref="Z50:Z66" si="168">Y50+$N49</f>
        <v>28.629999999999995</v>
      </c>
      <c r="AA50" s="153">
        <v>31.29</v>
      </c>
      <c r="AB50" s="153">
        <v>33.94</v>
      </c>
      <c r="AC50" s="153">
        <v>36.590000000000003</v>
      </c>
      <c r="AD50" s="153">
        <v>39.25</v>
      </c>
      <c r="AE50" s="153">
        <v>41.9</v>
      </c>
      <c r="AF50" s="153">
        <v>44.55</v>
      </c>
      <c r="AG50" s="153">
        <v>47.2</v>
      </c>
      <c r="AH50" s="153">
        <v>49.85</v>
      </c>
      <c r="AI50" s="153">
        <v>52.5</v>
      </c>
      <c r="AJ50" s="153">
        <v>55.16</v>
      </c>
      <c r="AK50" s="64"/>
      <c r="AL50" s="154" t="e">
        <f>C46</f>
        <v>#VALUE!</v>
      </c>
      <c r="AM50" s="155" t="e">
        <f>(((AL50-AL49)/(AL51-AL49))*(AM51-AM49))+AM49</f>
        <v>#VALUE!</v>
      </c>
      <c r="AN50" s="399" t="e">
        <f>IF(AND(AN48&gt;72,AL50&gt;72),5/0,IF(AN48=120,AM50,(((AN49-AM49)/(AO49-AM49))*(AO50-AM50))+AM50))</f>
        <v>#VALUE!</v>
      </c>
      <c r="AO50" s="155" t="e">
        <f>(((AL50-AL49)/(AL51-AL49))*(AO51-AO49))+AO49</f>
        <v>#VALUE!</v>
      </c>
      <c r="AP50" s="64"/>
      <c r="AQ50" s="65"/>
    </row>
    <row r="51" spans="2:43" ht="16.5" thickBot="1" x14ac:dyDescent="0.3">
      <c r="B51" s="78"/>
      <c r="C51" s="118"/>
      <c r="D51" s="116" t="e">
        <f>IF(AND(C45&lt;12,C45&gt;=9),9,FLOOR(C45/6,1)*6)</f>
        <v>#VALUE!</v>
      </c>
      <c r="E51" s="112" t="e">
        <f>IF(D51&lt;12,12,D51+6)</f>
        <v>#VALUE!</v>
      </c>
      <c r="F51" s="112"/>
      <c r="G51" s="130"/>
      <c r="H51" s="116" t="e">
        <f>IF(AND(C46&lt;12,C46&gt;=F12),F12,FLOOR(C46/6,1)*6)</f>
        <v>#VALUE!</v>
      </c>
      <c r="I51" s="113" t="e">
        <f>IF(H51&lt;12,12,H51+6)</f>
        <v>#VALUE!</v>
      </c>
      <c r="J51" s="71"/>
      <c r="K51" s="71"/>
      <c r="L51" s="75"/>
      <c r="N51" s="103">
        <v>3.7100000000000009</v>
      </c>
      <c r="O51" s="162">
        <f t="shared" si="165"/>
        <v>30</v>
      </c>
      <c r="P51" s="302">
        <v>6</v>
      </c>
      <c r="Q51" s="149">
        <v>7.67</v>
      </c>
      <c r="R51" s="153">
        <v>9.35</v>
      </c>
      <c r="S51" s="153">
        <v>12.71</v>
      </c>
      <c r="T51" s="153">
        <f t="shared" ref="T51:T66" si="169">S51+$N50</f>
        <v>16.07</v>
      </c>
      <c r="U51" s="153">
        <f>T51+$N50</f>
        <v>19.43</v>
      </c>
      <c r="V51" s="153">
        <f>U51+$N50</f>
        <v>22.79</v>
      </c>
      <c r="W51" s="153">
        <f>V51+$N50</f>
        <v>26.15</v>
      </c>
      <c r="X51" s="153">
        <v>29.48</v>
      </c>
      <c r="Y51" s="153">
        <f>X51+$N50</f>
        <v>32.840000000000003</v>
      </c>
      <c r="Z51" s="153">
        <f t="shared" si="168"/>
        <v>36.200000000000003</v>
      </c>
      <c r="AA51" s="153">
        <v>39.54</v>
      </c>
      <c r="AB51" s="153">
        <f t="shared" ref="AB51:AB66" si="170">AA51+$N50</f>
        <v>42.9</v>
      </c>
      <c r="AC51" s="153">
        <f t="shared" ref="AC51:AC58" si="171">AB51+$N50</f>
        <v>46.26</v>
      </c>
      <c r="AD51" s="153">
        <v>49.6</v>
      </c>
      <c r="AE51" s="153">
        <f t="shared" ref="AE51:AI52" si="172">AD51+$N50</f>
        <v>52.96</v>
      </c>
      <c r="AF51" s="153">
        <f>AE51+$N50</f>
        <v>56.32</v>
      </c>
      <c r="AG51" s="153">
        <f>AF51+$N50</f>
        <v>59.68</v>
      </c>
      <c r="AH51" s="153">
        <f t="shared" si="172"/>
        <v>63.04</v>
      </c>
      <c r="AI51" s="153">
        <f t="shared" si="172"/>
        <v>66.400000000000006</v>
      </c>
      <c r="AJ51" s="153">
        <v>69.72</v>
      </c>
      <c r="AK51" s="64"/>
      <c r="AL51" s="154" t="e">
        <f>I51</f>
        <v>#VALUE!</v>
      </c>
      <c r="AM51" s="155" t="e">
        <f>INDEX(P46:AJ66,$I$52,$D$52)</f>
        <v>#VALUE!</v>
      </c>
      <c r="AN51" s="155" t="e">
        <f>(((AN48-AM48)/(AO48-AM48))*(AO51-AM51))+AM51</f>
        <v>#VALUE!</v>
      </c>
      <c r="AO51" s="155" t="e">
        <f>INDEX(P46:AJ66,$I$52,$E$52)</f>
        <v>#VALUE!</v>
      </c>
      <c r="AP51" s="64"/>
      <c r="AQ51" s="65"/>
    </row>
    <row r="52" spans="2:43"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4.41</v>
      </c>
      <c r="O52" s="162">
        <f t="shared" si="165"/>
        <v>36</v>
      </c>
      <c r="P52" s="302">
        <v>7</v>
      </c>
      <c r="Q52" s="149">
        <v>8.9</v>
      </c>
      <c r="R52" s="153">
        <v>10.75</v>
      </c>
      <c r="S52" s="153">
        <v>14.46</v>
      </c>
      <c r="T52" s="153">
        <f t="shared" si="169"/>
        <v>18.170000000000002</v>
      </c>
      <c r="U52" s="153">
        <f t="shared" ref="U52:U66" si="173">T52+$N51</f>
        <v>21.880000000000003</v>
      </c>
      <c r="V52" s="153">
        <f t="shared" ref="V52:V66" si="174">U52+$N51</f>
        <v>25.590000000000003</v>
      </c>
      <c r="W52" s="153">
        <f t="shared" ref="W52:W66" si="175">V52+$N51</f>
        <v>29.300000000000004</v>
      </c>
      <c r="X52" s="153">
        <v>32.979999999999997</v>
      </c>
      <c r="Y52" s="153">
        <f t="shared" si="167"/>
        <v>36.69</v>
      </c>
      <c r="Z52" s="153">
        <f t="shared" si="168"/>
        <v>40.4</v>
      </c>
      <c r="AA52" s="153">
        <v>44.1</v>
      </c>
      <c r="AB52" s="153">
        <f t="shared" si="170"/>
        <v>47.81</v>
      </c>
      <c r="AC52" s="153">
        <f t="shared" si="171"/>
        <v>51.52</v>
      </c>
      <c r="AD52" s="153">
        <v>55.21</v>
      </c>
      <c r="AE52" s="153">
        <f t="shared" si="172"/>
        <v>58.92</v>
      </c>
      <c r="AF52" s="153">
        <f t="shared" si="172"/>
        <v>62.63</v>
      </c>
      <c r="AG52" s="153">
        <f t="shared" si="172"/>
        <v>66.34</v>
      </c>
      <c r="AH52" s="153">
        <f t="shared" si="172"/>
        <v>70.050000000000011</v>
      </c>
      <c r="AI52" s="153">
        <f t="shared" si="172"/>
        <v>73.760000000000019</v>
      </c>
      <c r="AJ52" s="153">
        <v>77.45</v>
      </c>
      <c r="AK52" s="64"/>
      <c r="AL52" s="64"/>
      <c r="AM52" s="64"/>
      <c r="AN52" s="64"/>
      <c r="AO52" s="64"/>
      <c r="AP52" s="64"/>
      <c r="AQ52" s="65"/>
    </row>
    <row r="53" spans="2:43" ht="15.75" thickBot="1" x14ac:dyDescent="0.3">
      <c r="B53" s="78"/>
      <c r="C53" s="119"/>
      <c r="D53" s="117"/>
      <c r="E53" s="114"/>
      <c r="F53" s="114"/>
      <c r="G53" s="131"/>
      <c r="H53" s="117"/>
      <c r="I53" s="115"/>
      <c r="J53" s="71"/>
      <c r="K53" s="71"/>
      <c r="L53" s="75"/>
      <c r="N53" s="103">
        <v>4.76</v>
      </c>
      <c r="O53" s="162">
        <f t="shared" si="165"/>
        <v>42</v>
      </c>
      <c r="P53" s="302">
        <v>8</v>
      </c>
      <c r="Q53" s="149">
        <v>10.48</v>
      </c>
      <c r="R53" s="153">
        <v>12.68</v>
      </c>
      <c r="S53" s="153">
        <v>17.09</v>
      </c>
      <c r="T53" s="153">
        <f t="shared" si="169"/>
        <v>21.5</v>
      </c>
      <c r="U53" s="153">
        <f t="shared" si="173"/>
        <v>25.91</v>
      </c>
      <c r="V53" s="153">
        <f t="shared" si="174"/>
        <v>30.32</v>
      </c>
      <c r="W53" s="153">
        <f t="shared" si="175"/>
        <v>34.730000000000004</v>
      </c>
      <c r="X53" s="153">
        <v>39.130000000000003</v>
      </c>
      <c r="Y53" s="153">
        <f t="shared" si="167"/>
        <v>43.540000000000006</v>
      </c>
      <c r="Z53" s="153">
        <f t="shared" si="168"/>
        <v>47.95</v>
      </c>
      <c r="AA53" s="153">
        <v>52.35</v>
      </c>
      <c r="AB53" s="153">
        <f t="shared" si="170"/>
        <v>56.760000000000005</v>
      </c>
      <c r="AC53" s="153">
        <f t="shared" si="171"/>
        <v>61.17</v>
      </c>
      <c r="AD53" s="153">
        <v>65.569999999999993</v>
      </c>
      <c r="AE53" s="153">
        <f t="shared" ref="AE53:AE58" si="176">AD53+$N52</f>
        <v>69.97999999999999</v>
      </c>
      <c r="AF53" s="153">
        <f t="shared" ref="AF53:AF58" si="177">AE53+$N52</f>
        <v>74.389999999999986</v>
      </c>
      <c r="AG53" s="153">
        <f t="shared" ref="AG53:AG58" si="178">AF53+$N52</f>
        <v>78.799999999999983</v>
      </c>
      <c r="AH53" s="153">
        <f t="shared" ref="AH53:AH58" si="179">AG53+$N52</f>
        <v>83.20999999999998</v>
      </c>
      <c r="AI53" s="153">
        <v>87.61</v>
      </c>
      <c r="AJ53" s="153">
        <v>91.14</v>
      </c>
      <c r="AK53" s="64"/>
      <c r="AL53" s="64"/>
      <c r="AM53" s="64" t="s">
        <v>157</v>
      </c>
      <c r="AN53" s="64" t="e">
        <f>IF(AN48&gt;=72,1,0)</f>
        <v>#VALUE!</v>
      </c>
      <c r="AO53" s="64"/>
      <c r="AP53" s="64"/>
      <c r="AQ53" s="65"/>
    </row>
    <row r="54" spans="2:43" ht="15.75" thickBot="1" x14ac:dyDescent="0.3">
      <c r="B54" s="78"/>
      <c r="C54" s="71"/>
      <c r="D54" s="71"/>
      <c r="E54" s="71"/>
      <c r="F54" s="71"/>
      <c r="G54" s="71"/>
      <c r="H54" s="71"/>
      <c r="I54" s="71"/>
      <c r="J54" s="71"/>
      <c r="K54" s="71"/>
      <c r="L54" s="75"/>
      <c r="N54" s="103">
        <v>5.4599999999999973</v>
      </c>
      <c r="O54" s="162">
        <f t="shared" si="165"/>
        <v>48</v>
      </c>
      <c r="P54" s="302">
        <v>9</v>
      </c>
      <c r="Q54" s="149">
        <v>11.71</v>
      </c>
      <c r="R54" s="153">
        <v>14.08</v>
      </c>
      <c r="S54" s="153">
        <v>18.84</v>
      </c>
      <c r="T54" s="153">
        <f t="shared" si="169"/>
        <v>23.6</v>
      </c>
      <c r="U54" s="153">
        <f t="shared" si="173"/>
        <v>28.36</v>
      </c>
      <c r="V54" s="153">
        <f t="shared" si="174"/>
        <v>33.119999999999997</v>
      </c>
      <c r="W54" s="153">
        <f t="shared" si="175"/>
        <v>37.879999999999995</v>
      </c>
      <c r="X54" s="153">
        <v>42.63</v>
      </c>
      <c r="Y54" s="153">
        <f t="shared" si="167"/>
        <v>47.39</v>
      </c>
      <c r="Z54" s="153">
        <f t="shared" si="168"/>
        <v>52.15</v>
      </c>
      <c r="AA54" s="153">
        <v>56.91</v>
      </c>
      <c r="AB54" s="153">
        <f t="shared" si="170"/>
        <v>61.669999999999995</v>
      </c>
      <c r="AC54" s="153">
        <f t="shared" si="171"/>
        <v>66.429999999999993</v>
      </c>
      <c r="AD54" s="153">
        <v>71.180000000000007</v>
      </c>
      <c r="AE54" s="153">
        <f t="shared" si="176"/>
        <v>75.940000000000012</v>
      </c>
      <c r="AF54" s="153">
        <f t="shared" si="177"/>
        <v>80.700000000000017</v>
      </c>
      <c r="AG54" s="153">
        <f t="shared" si="178"/>
        <v>85.460000000000022</v>
      </c>
      <c r="AH54" s="153">
        <f t="shared" si="179"/>
        <v>90.220000000000027</v>
      </c>
      <c r="AI54" s="153">
        <f t="shared" ref="AI54:AI58" si="180">AH54+$N53</f>
        <v>94.980000000000032</v>
      </c>
      <c r="AJ54" s="153">
        <v>99.73</v>
      </c>
      <c r="AK54" s="64"/>
      <c r="AL54" s="64"/>
      <c r="AM54" s="64" t="s">
        <v>158</v>
      </c>
      <c r="AN54" s="64" t="e">
        <f>AN53*(1.5+((AL50-12))*0.103)</f>
        <v>#VALUE!</v>
      </c>
      <c r="AO54" s="64" t="s">
        <v>184</v>
      </c>
      <c r="AP54" s="64"/>
      <c r="AQ54" s="65"/>
    </row>
    <row r="55" spans="2:43" ht="21.75" thickBot="1" x14ac:dyDescent="0.4">
      <c r="B55" s="229" t="s">
        <v>71</v>
      </c>
      <c r="C55" s="71"/>
      <c r="E55" s="71"/>
      <c r="F55" s="71"/>
      <c r="G55" s="71"/>
      <c r="H55" s="71"/>
      <c r="I55" s="71"/>
      <c r="J55" s="71"/>
      <c r="K55" s="71"/>
      <c r="L55" s="75"/>
      <c r="N55" s="103">
        <v>5.8099999999999987</v>
      </c>
      <c r="O55" s="162">
        <f t="shared" si="165"/>
        <v>54</v>
      </c>
      <c r="P55" s="302">
        <v>10</v>
      </c>
      <c r="Q55" s="149">
        <v>13.28</v>
      </c>
      <c r="R55" s="153">
        <v>16.010000000000002</v>
      </c>
      <c r="S55" s="153">
        <v>21.47</v>
      </c>
      <c r="T55" s="153">
        <f t="shared" si="169"/>
        <v>26.929999999999996</v>
      </c>
      <c r="U55" s="153">
        <f t="shared" si="173"/>
        <v>32.389999999999993</v>
      </c>
      <c r="V55" s="153">
        <f t="shared" si="174"/>
        <v>37.849999999999994</v>
      </c>
      <c r="W55" s="153">
        <f t="shared" si="175"/>
        <v>43.309999999999988</v>
      </c>
      <c r="X55" s="153">
        <v>48.78</v>
      </c>
      <c r="Y55" s="153">
        <f t="shared" si="167"/>
        <v>54.239999999999995</v>
      </c>
      <c r="Z55" s="153">
        <f t="shared" si="168"/>
        <v>59.699999999999989</v>
      </c>
      <c r="AA55" s="153">
        <v>65.16</v>
      </c>
      <c r="AB55" s="153">
        <f t="shared" si="170"/>
        <v>70.61999999999999</v>
      </c>
      <c r="AC55" s="153">
        <f t="shared" si="171"/>
        <v>76.079999999999984</v>
      </c>
      <c r="AD55" s="153">
        <v>81.540000000000006</v>
      </c>
      <c r="AE55" s="153">
        <f t="shared" si="176"/>
        <v>87</v>
      </c>
      <c r="AF55" s="153">
        <f t="shared" si="177"/>
        <v>92.46</v>
      </c>
      <c r="AG55" s="153">
        <f t="shared" si="178"/>
        <v>97.919999999999987</v>
      </c>
      <c r="AH55" s="153">
        <f t="shared" si="179"/>
        <v>103.37999999999998</v>
      </c>
      <c r="AI55" s="153">
        <f t="shared" si="180"/>
        <v>108.83999999999997</v>
      </c>
      <c r="AJ55" s="153">
        <v>114.3</v>
      </c>
      <c r="AK55" s="64"/>
      <c r="AL55" s="64"/>
      <c r="AM55" s="64"/>
      <c r="AN55" s="64"/>
      <c r="AO55" s="64"/>
      <c r="AP55" s="64"/>
      <c r="AQ55" s="65"/>
    </row>
    <row r="56" spans="2:43" ht="16.5" thickBot="1" x14ac:dyDescent="0.3">
      <c r="B56" s="78"/>
      <c r="C56" s="71"/>
      <c r="D56" s="109"/>
      <c r="E56" s="109" t="e">
        <f>D51</f>
        <v>#VALUE!</v>
      </c>
      <c r="F56" s="132" t="e">
        <f>C45</f>
        <v>#VALUE!</v>
      </c>
      <c r="G56" s="109" t="e">
        <f>E51</f>
        <v>#VALUE!</v>
      </c>
      <c r="H56" s="71"/>
      <c r="I56" s="71"/>
      <c r="J56" s="71"/>
      <c r="K56" s="71"/>
      <c r="L56" s="75"/>
      <c r="N56" s="103">
        <v>6.52</v>
      </c>
      <c r="O56" s="162">
        <f t="shared" si="165"/>
        <v>60</v>
      </c>
      <c r="P56" s="302">
        <v>11</v>
      </c>
      <c r="Q56" s="149">
        <v>14.51</v>
      </c>
      <c r="R56" s="153">
        <v>17.420000000000002</v>
      </c>
      <c r="S56" s="153">
        <v>23.23</v>
      </c>
      <c r="T56" s="153">
        <f t="shared" si="169"/>
        <v>29.04</v>
      </c>
      <c r="U56" s="153">
        <f t="shared" si="173"/>
        <v>34.849999999999994</v>
      </c>
      <c r="V56" s="153">
        <f t="shared" si="174"/>
        <v>40.659999999999997</v>
      </c>
      <c r="W56" s="153">
        <f t="shared" si="175"/>
        <v>46.47</v>
      </c>
      <c r="X56" s="153">
        <v>52.28</v>
      </c>
      <c r="Y56" s="153">
        <f t="shared" si="167"/>
        <v>58.09</v>
      </c>
      <c r="Z56" s="153">
        <f t="shared" si="168"/>
        <v>63.900000000000006</v>
      </c>
      <c r="AA56" s="153">
        <v>69.72</v>
      </c>
      <c r="AB56" s="153">
        <f t="shared" si="170"/>
        <v>75.53</v>
      </c>
      <c r="AC56" s="153">
        <f t="shared" si="171"/>
        <v>81.34</v>
      </c>
      <c r="AD56" s="153">
        <v>87.15</v>
      </c>
      <c r="AE56" s="153">
        <f t="shared" si="176"/>
        <v>92.960000000000008</v>
      </c>
      <c r="AF56" s="153">
        <f t="shared" si="177"/>
        <v>98.77000000000001</v>
      </c>
      <c r="AG56" s="153">
        <f t="shared" si="178"/>
        <v>104.58000000000001</v>
      </c>
      <c r="AH56" s="153">
        <f t="shared" si="179"/>
        <v>110.39000000000001</v>
      </c>
      <c r="AI56" s="153">
        <f t="shared" si="180"/>
        <v>116.20000000000002</v>
      </c>
      <c r="AJ56" s="153">
        <v>122.02</v>
      </c>
      <c r="AK56" s="64"/>
      <c r="AL56" s="64"/>
      <c r="AM56" s="64"/>
      <c r="AN56" s="303"/>
      <c r="AO56" s="303"/>
      <c r="AP56" s="303"/>
      <c r="AQ56" s="65"/>
    </row>
    <row r="57" spans="2:43"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03">
        <v>6.8599999999999994</v>
      </c>
      <c r="O57" s="162">
        <f t="shared" si="165"/>
        <v>66</v>
      </c>
      <c r="P57" s="302">
        <v>12</v>
      </c>
      <c r="Q57" s="149">
        <v>16.09</v>
      </c>
      <c r="R57" s="153">
        <v>19.34</v>
      </c>
      <c r="S57" s="153">
        <v>25.86</v>
      </c>
      <c r="T57" s="153">
        <f t="shared" si="169"/>
        <v>32.379999999999995</v>
      </c>
      <c r="U57" s="153">
        <f t="shared" si="173"/>
        <v>38.899999999999991</v>
      </c>
      <c r="V57" s="153">
        <f t="shared" si="174"/>
        <v>45.419999999999987</v>
      </c>
      <c r="W57" s="153">
        <f t="shared" si="175"/>
        <v>51.939999999999984</v>
      </c>
      <c r="X57" s="153">
        <v>58.46</v>
      </c>
      <c r="Y57" s="153">
        <f t="shared" si="167"/>
        <v>64.98</v>
      </c>
      <c r="Z57" s="153">
        <f t="shared" si="168"/>
        <v>71.5</v>
      </c>
      <c r="AA57" s="153">
        <v>77.97</v>
      </c>
      <c r="AB57" s="153">
        <f t="shared" si="170"/>
        <v>84.49</v>
      </c>
      <c r="AC57" s="153">
        <f t="shared" si="171"/>
        <v>91.009999999999991</v>
      </c>
      <c r="AD57" s="153">
        <v>97.51</v>
      </c>
      <c r="AE57" s="153">
        <f t="shared" si="176"/>
        <v>104.03</v>
      </c>
      <c r="AF57" s="153">
        <f t="shared" si="177"/>
        <v>110.55</v>
      </c>
      <c r="AG57" s="153">
        <f t="shared" si="178"/>
        <v>117.07</v>
      </c>
      <c r="AH57" s="153">
        <f t="shared" si="179"/>
        <v>123.58999999999999</v>
      </c>
      <c r="AI57" s="153">
        <f t="shared" si="180"/>
        <v>130.10999999999999</v>
      </c>
      <c r="AJ57" s="153">
        <v>136.59</v>
      </c>
      <c r="AK57" s="64"/>
      <c r="AL57" s="64"/>
      <c r="AM57" s="270" t="s">
        <v>212</v>
      </c>
      <c r="AN57" s="304"/>
      <c r="AO57" s="249" t="e">
        <f>(AN50+AN54)</f>
        <v>#VALUE!</v>
      </c>
      <c r="AP57" s="303" t="s">
        <v>184</v>
      </c>
      <c r="AQ57" s="65"/>
    </row>
    <row r="58" spans="2:43" ht="16.5" thickBot="1" x14ac:dyDescent="0.3">
      <c r="B58" s="78"/>
      <c r="C58" s="71"/>
      <c r="D58" s="109" t="e">
        <f>C46</f>
        <v>#VALUE!</v>
      </c>
      <c r="E58" s="133" t="e">
        <f>(((D58-D57)/(D59-D57))*(E59-E57))+E57</f>
        <v>#VALUE!</v>
      </c>
      <c r="F58" s="400" t="e">
        <f>IF(AND(F56&gt;72,D58&gt;72),5/0,IF(F56=120,E58,(((F57-E57)/(G57-E57))*(G58-E58))+E58))</f>
        <v>#VALUE!</v>
      </c>
      <c r="G58" s="133" t="e">
        <f>(((D58-D57)/(D59-D57))*(G59-G57))+G57</f>
        <v>#VALUE!</v>
      </c>
      <c r="H58" s="71"/>
      <c r="I58" s="71"/>
      <c r="J58" s="71"/>
      <c r="K58" s="71"/>
      <c r="L58" s="75"/>
      <c r="N58" s="103">
        <v>7.5599999999999987</v>
      </c>
      <c r="O58" s="162">
        <f t="shared" si="165"/>
        <v>72</v>
      </c>
      <c r="P58" s="302">
        <v>13</v>
      </c>
      <c r="Q58" s="149">
        <v>17.309999999999999</v>
      </c>
      <c r="R58" s="153">
        <v>20.75</v>
      </c>
      <c r="S58" s="153">
        <v>27.61</v>
      </c>
      <c r="T58" s="153">
        <f t="shared" si="169"/>
        <v>34.47</v>
      </c>
      <c r="U58" s="153">
        <f t="shared" si="173"/>
        <v>41.33</v>
      </c>
      <c r="V58" s="153">
        <f t="shared" si="174"/>
        <v>48.19</v>
      </c>
      <c r="W58" s="153">
        <f t="shared" si="175"/>
        <v>55.05</v>
      </c>
      <c r="X58" s="153">
        <v>61.93</v>
      </c>
      <c r="Y58" s="153">
        <f t="shared" si="167"/>
        <v>68.789999999999992</v>
      </c>
      <c r="Z58" s="153">
        <f t="shared" si="168"/>
        <v>75.649999999999991</v>
      </c>
      <c r="AA58" s="153">
        <v>82.53</v>
      </c>
      <c r="AB58" s="153">
        <f t="shared" si="170"/>
        <v>89.39</v>
      </c>
      <c r="AC58" s="153">
        <f t="shared" si="171"/>
        <v>96.25</v>
      </c>
      <c r="AD58" s="153">
        <v>103.12</v>
      </c>
      <c r="AE58" s="153">
        <f t="shared" si="176"/>
        <v>109.98</v>
      </c>
      <c r="AF58" s="153">
        <f t="shared" si="177"/>
        <v>116.84</v>
      </c>
      <c r="AG58" s="153">
        <f t="shared" si="178"/>
        <v>123.7</v>
      </c>
      <c r="AH58" s="153">
        <f t="shared" si="179"/>
        <v>130.56</v>
      </c>
      <c r="AI58" s="153">
        <f t="shared" si="180"/>
        <v>137.42000000000002</v>
      </c>
      <c r="AJ58" s="153">
        <v>144.31</v>
      </c>
      <c r="AK58" s="64"/>
      <c r="AL58" s="64"/>
      <c r="AM58" s="270" t="s">
        <v>213</v>
      </c>
      <c r="AN58" s="304"/>
      <c r="AO58" s="303" t="e">
        <f>AO57*C11</f>
        <v>#VALUE!</v>
      </c>
      <c r="AP58" s="303" t="s">
        <v>184</v>
      </c>
      <c r="AQ58" s="65"/>
    </row>
    <row r="59" spans="2:43"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03">
        <v>7.9200000000000017</v>
      </c>
      <c r="O59" s="162">
        <f t="shared" si="165"/>
        <v>78</v>
      </c>
      <c r="P59" s="302">
        <v>14</v>
      </c>
      <c r="Q59" s="149">
        <v>18.89</v>
      </c>
      <c r="R59" s="153">
        <v>22.68</v>
      </c>
      <c r="S59" s="153">
        <v>30.24</v>
      </c>
      <c r="T59" s="153">
        <f t="shared" si="169"/>
        <v>37.799999999999997</v>
      </c>
      <c r="U59" s="153">
        <f t="shared" si="173"/>
        <v>45.36</v>
      </c>
      <c r="V59" s="153">
        <f t="shared" si="174"/>
        <v>52.92</v>
      </c>
      <c r="W59" s="153">
        <f t="shared" si="175"/>
        <v>60.480000000000004</v>
      </c>
      <c r="X59" s="153">
        <v>68.08</v>
      </c>
      <c r="Y59" s="153">
        <f t="shared" si="167"/>
        <v>75.64</v>
      </c>
      <c r="Z59" s="153">
        <f t="shared" si="168"/>
        <v>83.2</v>
      </c>
      <c r="AA59" s="153">
        <v>90.78</v>
      </c>
      <c r="AB59" s="153">
        <f t="shared" si="170"/>
        <v>98.34</v>
      </c>
      <c r="AC59" s="306"/>
      <c r="AD59" s="306"/>
      <c r="AE59" s="306"/>
      <c r="AF59" s="306"/>
      <c r="AG59" s="306"/>
      <c r="AH59" s="306"/>
      <c r="AI59" s="306"/>
      <c r="AJ59" s="306"/>
      <c r="AK59" s="64"/>
      <c r="AL59" s="64"/>
      <c r="AM59" s="64"/>
      <c r="AN59" s="303"/>
      <c r="AO59" s="303"/>
      <c r="AP59" s="303"/>
      <c r="AQ59" s="65"/>
    </row>
    <row r="60" spans="2:43" ht="15.75" thickBot="1" x14ac:dyDescent="0.3">
      <c r="B60" s="78"/>
      <c r="C60" s="71"/>
      <c r="D60" s="71"/>
      <c r="E60" s="71"/>
      <c r="F60" s="71"/>
      <c r="G60" s="71"/>
      <c r="H60" s="71"/>
      <c r="I60" s="71"/>
      <c r="J60" s="71"/>
      <c r="K60" s="71"/>
      <c r="L60" s="75"/>
      <c r="N60" s="103">
        <v>8.620000000000001</v>
      </c>
      <c r="O60" s="162">
        <f t="shared" si="165"/>
        <v>84</v>
      </c>
      <c r="P60" s="302">
        <v>15</v>
      </c>
      <c r="Q60" s="149">
        <v>20.12</v>
      </c>
      <c r="R60" s="153">
        <v>24.08</v>
      </c>
      <c r="S60" s="153">
        <v>32</v>
      </c>
      <c r="T60" s="153">
        <f t="shared" si="169"/>
        <v>39.92</v>
      </c>
      <c r="U60" s="153">
        <f t="shared" si="173"/>
        <v>47.84</v>
      </c>
      <c r="V60" s="153">
        <f t="shared" si="174"/>
        <v>55.760000000000005</v>
      </c>
      <c r="W60" s="153">
        <f t="shared" si="175"/>
        <v>63.680000000000007</v>
      </c>
      <c r="X60" s="153">
        <v>71.58</v>
      </c>
      <c r="Y60" s="153">
        <f t="shared" si="167"/>
        <v>79.5</v>
      </c>
      <c r="Z60" s="153">
        <f t="shared" si="168"/>
        <v>87.42</v>
      </c>
      <c r="AA60" s="153">
        <v>95.34</v>
      </c>
      <c r="AB60" s="153">
        <f t="shared" si="170"/>
        <v>103.26</v>
      </c>
      <c r="AC60" s="306"/>
      <c r="AD60" s="306"/>
      <c r="AE60" s="306"/>
      <c r="AF60" s="306"/>
      <c r="AG60" s="306"/>
      <c r="AH60" s="306"/>
      <c r="AI60" s="306"/>
      <c r="AJ60" s="306"/>
      <c r="AK60" s="64"/>
      <c r="AL60" s="64"/>
      <c r="AM60" s="64"/>
      <c r="AN60" s="303"/>
      <c r="AO60" s="303"/>
      <c r="AP60" s="303"/>
      <c r="AQ60" s="97"/>
    </row>
    <row r="61" spans="2:43" ht="15.75" thickBot="1" x14ac:dyDescent="0.3">
      <c r="B61" s="78"/>
      <c r="C61" s="71"/>
      <c r="D61" s="71"/>
      <c r="E61" s="71"/>
      <c r="F61" s="71"/>
      <c r="G61" s="71"/>
      <c r="H61" s="71"/>
      <c r="I61" s="71"/>
      <c r="J61" s="71"/>
      <c r="K61" s="71"/>
      <c r="L61" s="75"/>
      <c r="N61" s="103">
        <v>8.9700000000000024</v>
      </c>
      <c r="O61" s="162">
        <f t="shared" si="165"/>
        <v>90</v>
      </c>
      <c r="P61" s="302">
        <v>16</v>
      </c>
      <c r="Q61" s="149">
        <v>21.7</v>
      </c>
      <c r="R61" s="153">
        <v>26.01</v>
      </c>
      <c r="S61" s="153">
        <v>34.630000000000003</v>
      </c>
      <c r="T61" s="153">
        <f t="shared" si="169"/>
        <v>43.25</v>
      </c>
      <c r="U61" s="153">
        <f t="shared" si="173"/>
        <v>51.870000000000005</v>
      </c>
      <c r="V61" s="153">
        <f t="shared" si="174"/>
        <v>60.490000000000009</v>
      </c>
      <c r="W61" s="153">
        <f t="shared" si="175"/>
        <v>69.110000000000014</v>
      </c>
      <c r="X61" s="153">
        <v>77.73</v>
      </c>
      <c r="Y61" s="153">
        <f t="shared" si="167"/>
        <v>86.350000000000009</v>
      </c>
      <c r="Z61" s="153">
        <f t="shared" si="168"/>
        <v>94.970000000000013</v>
      </c>
      <c r="AA61" s="153">
        <v>103.59</v>
      </c>
      <c r="AB61" s="153">
        <f t="shared" si="170"/>
        <v>112.21000000000001</v>
      </c>
      <c r="AC61" s="306"/>
      <c r="AD61" s="306"/>
      <c r="AE61" s="306"/>
      <c r="AF61" s="306"/>
      <c r="AG61" s="306"/>
      <c r="AH61" s="306"/>
      <c r="AI61" s="306"/>
      <c r="AJ61" s="306"/>
      <c r="AK61" s="64"/>
      <c r="AL61" s="64"/>
      <c r="AM61" s="64"/>
      <c r="AN61" s="64"/>
      <c r="AO61" s="64"/>
      <c r="AP61" s="64"/>
      <c r="AQ61" s="97"/>
    </row>
    <row r="62" spans="2:43" ht="15.75" thickBot="1" x14ac:dyDescent="0.3">
      <c r="B62" s="78"/>
      <c r="C62" s="71"/>
      <c r="D62" s="71"/>
      <c r="E62" s="71"/>
      <c r="F62" s="71"/>
      <c r="G62" s="71"/>
      <c r="H62" s="71"/>
      <c r="I62" s="71"/>
      <c r="J62" s="71"/>
      <c r="K62" s="71"/>
      <c r="L62" s="75"/>
      <c r="N62" s="103">
        <v>9.6699999999999982</v>
      </c>
      <c r="O62" s="162">
        <f t="shared" si="165"/>
        <v>96</v>
      </c>
      <c r="P62" s="302">
        <v>17</v>
      </c>
      <c r="Q62" s="149">
        <v>22.92</v>
      </c>
      <c r="R62" s="153">
        <v>27.41</v>
      </c>
      <c r="S62" s="153">
        <v>36.380000000000003</v>
      </c>
      <c r="T62" s="153">
        <f t="shared" si="169"/>
        <v>45.350000000000009</v>
      </c>
      <c r="U62" s="153">
        <f t="shared" si="173"/>
        <v>54.320000000000007</v>
      </c>
      <c r="V62" s="153">
        <f t="shared" si="174"/>
        <v>63.290000000000006</v>
      </c>
      <c r="W62" s="153">
        <f t="shared" si="175"/>
        <v>72.260000000000005</v>
      </c>
      <c r="X62" s="153">
        <v>81.23</v>
      </c>
      <c r="Y62" s="153">
        <f t="shared" si="167"/>
        <v>90.2</v>
      </c>
      <c r="Z62" s="153">
        <f t="shared" si="168"/>
        <v>99.17</v>
      </c>
      <c r="AA62" s="153">
        <v>108.15</v>
      </c>
      <c r="AB62" s="153">
        <f t="shared" si="170"/>
        <v>117.12</v>
      </c>
      <c r="AC62" s="306"/>
      <c r="AD62" s="306"/>
      <c r="AE62" s="306"/>
      <c r="AF62" s="306"/>
      <c r="AG62" s="306"/>
      <c r="AH62" s="306"/>
      <c r="AI62" s="306"/>
      <c r="AJ62" s="306"/>
      <c r="AK62" s="64"/>
      <c r="AL62" s="64"/>
      <c r="AM62" s="64"/>
      <c r="AN62" s="64"/>
      <c r="AO62" s="64"/>
      <c r="AP62" s="64"/>
      <c r="AQ62" s="97"/>
    </row>
    <row r="63" spans="2:43" ht="21.75" thickBot="1" x14ac:dyDescent="0.4">
      <c r="B63" s="229" t="s">
        <v>80</v>
      </c>
      <c r="C63" s="71"/>
      <c r="D63" s="71"/>
      <c r="E63" s="71"/>
      <c r="F63" s="71"/>
      <c r="G63" s="71"/>
      <c r="H63" s="71"/>
      <c r="I63" s="71"/>
      <c r="J63" s="71"/>
      <c r="K63" s="71"/>
      <c r="L63" s="75"/>
      <c r="N63" s="103">
        <v>10.02</v>
      </c>
      <c r="O63" s="162">
        <f t="shared" si="165"/>
        <v>102</v>
      </c>
      <c r="P63" s="302">
        <v>18</v>
      </c>
      <c r="Q63" s="149">
        <v>24.5</v>
      </c>
      <c r="R63" s="153">
        <v>29.34</v>
      </c>
      <c r="S63" s="153">
        <v>39.01</v>
      </c>
      <c r="T63" s="153">
        <f t="shared" si="169"/>
        <v>48.679999999999993</v>
      </c>
      <c r="U63" s="153">
        <f t="shared" si="173"/>
        <v>58.349999999999994</v>
      </c>
      <c r="V63" s="153">
        <f t="shared" si="174"/>
        <v>68.02</v>
      </c>
      <c r="W63" s="153">
        <f t="shared" si="175"/>
        <v>77.69</v>
      </c>
      <c r="X63" s="153">
        <v>87.38</v>
      </c>
      <c r="Y63" s="153">
        <f t="shared" si="167"/>
        <v>97.05</v>
      </c>
      <c r="Z63" s="153">
        <f t="shared" si="168"/>
        <v>106.72</v>
      </c>
      <c r="AA63" s="153">
        <v>116.4</v>
      </c>
      <c r="AB63" s="153">
        <f t="shared" si="170"/>
        <v>126.07000000000001</v>
      </c>
      <c r="AC63" s="306"/>
      <c r="AD63" s="306"/>
      <c r="AE63" s="306"/>
      <c r="AF63" s="306"/>
      <c r="AG63" s="306"/>
      <c r="AH63" s="306"/>
      <c r="AI63" s="306"/>
      <c r="AJ63" s="306"/>
      <c r="AK63" s="64"/>
      <c r="AL63" s="64"/>
      <c r="AM63" s="64"/>
      <c r="AN63" s="64"/>
      <c r="AO63" s="64"/>
      <c r="AP63" s="64"/>
      <c r="AQ63" s="97"/>
    </row>
    <row r="64" spans="2:43" ht="19.5" thickBot="1" x14ac:dyDescent="0.35">
      <c r="B64" s="230" t="s">
        <v>46</v>
      </c>
      <c r="C64" s="71"/>
      <c r="D64" s="141" t="e">
        <f>F58*(D3*D4)/144</f>
        <v>#VALUE!</v>
      </c>
      <c r="E64" s="256" t="s">
        <v>45</v>
      </c>
      <c r="F64" s="71"/>
      <c r="G64" s="71"/>
      <c r="H64" s="71"/>
      <c r="I64" s="71"/>
      <c r="J64" s="71"/>
      <c r="K64" s="71"/>
      <c r="L64" s="75"/>
      <c r="N64" s="103">
        <v>10.719999999999999</v>
      </c>
      <c r="O64" s="162">
        <f t="shared" si="165"/>
        <v>108</v>
      </c>
      <c r="P64" s="302">
        <v>19</v>
      </c>
      <c r="Q64" s="149">
        <v>25.73</v>
      </c>
      <c r="R64" s="153">
        <v>30.74</v>
      </c>
      <c r="S64" s="153">
        <v>40.76</v>
      </c>
      <c r="T64" s="153">
        <f t="shared" si="169"/>
        <v>50.78</v>
      </c>
      <c r="U64" s="153">
        <f t="shared" si="173"/>
        <v>60.8</v>
      </c>
      <c r="V64" s="153">
        <f t="shared" si="174"/>
        <v>70.819999999999993</v>
      </c>
      <c r="W64" s="153">
        <f t="shared" si="175"/>
        <v>80.839999999999989</v>
      </c>
      <c r="X64" s="153">
        <v>90.88</v>
      </c>
      <c r="Y64" s="153">
        <f t="shared" si="167"/>
        <v>100.89999999999999</v>
      </c>
      <c r="Z64" s="153">
        <f t="shared" si="168"/>
        <v>110.91999999999999</v>
      </c>
      <c r="AA64" s="153">
        <v>120.96</v>
      </c>
      <c r="AB64" s="153">
        <f t="shared" si="170"/>
        <v>130.97999999999999</v>
      </c>
      <c r="AC64" s="306"/>
      <c r="AD64" s="306"/>
      <c r="AE64" s="306"/>
      <c r="AF64" s="306"/>
      <c r="AG64" s="306"/>
      <c r="AH64" s="306"/>
      <c r="AI64" s="306"/>
      <c r="AJ64" s="306"/>
      <c r="AK64" s="64"/>
      <c r="AL64" s="64"/>
      <c r="AM64" s="64"/>
      <c r="AN64" s="64"/>
      <c r="AO64" s="64"/>
      <c r="AP64" s="64"/>
      <c r="AQ64" s="97"/>
    </row>
    <row r="65" spans="2:43" ht="19.5" thickBot="1" x14ac:dyDescent="0.35">
      <c r="B65" s="230" t="s">
        <v>47</v>
      </c>
      <c r="C65" s="71"/>
      <c r="D65" s="142" t="e">
        <f>(D3*D4)/144</f>
        <v>#VALUE!</v>
      </c>
      <c r="E65" s="256" t="s">
        <v>45</v>
      </c>
      <c r="F65" s="71"/>
      <c r="G65" s="71"/>
      <c r="H65" s="71"/>
      <c r="I65" s="71"/>
      <c r="J65" s="71"/>
      <c r="K65" s="71"/>
      <c r="L65" s="75"/>
      <c r="N65" s="103">
        <v>11.079999999999998</v>
      </c>
      <c r="O65" s="162">
        <f t="shared" si="165"/>
        <v>114</v>
      </c>
      <c r="P65" s="302">
        <v>20</v>
      </c>
      <c r="Q65" s="149">
        <v>27.3</v>
      </c>
      <c r="R65" s="153">
        <v>32.67</v>
      </c>
      <c r="S65" s="153">
        <v>43.39</v>
      </c>
      <c r="T65" s="153">
        <f t="shared" si="169"/>
        <v>54.11</v>
      </c>
      <c r="U65" s="153">
        <f t="shared" si="173"/>
        <v>64.83</v>
      </c>
      <c r="V65" s="153">
        <f t="shared" si="174"/>
        <v>75.55</v>
      </c>
      <c r="W65" s="153">
        <f t="shared" si="175"/>
        <v>86.27</v>
      </c>
      <c r="X65" s="153">
        <v>97.03</v>
      </c>
      <c r="Y65" s="153">
        <f t="shared" si="167"/>
        <v>107.75</v>
      </c>
      <c r="Z65" s="153">
        <f t="shared" si="168"/>
        <v>118.47</v>
      </c>
      <c r="AA65" s="153">
        <v>129.21</v>
      </c>
      <c r="AB65" s="153">
        <f t="shared" si="170"/>
        <v>139.93</v>
      </c>
      <c r="AC65" s="306"/>
      <c r="AD65" s="306"/>
      <c r="AE65" s="306"/>
      <c r="AF65" s="306"/>
      <c r="AG65" s="306"/>
      <c r="AH65" s="306"/>
      <c r="AI65" s="306"/>
      <c r="AJ65" s="306"/>
      <c r="AK65" s="64"/>
      <c r="AL65" s="64"/>
      <c r="AM65" s="64"/>
      <c r="AN65" s="64"/>
      <c r="AO65" s="64"/>
      <c r="AP65" s="64"/>
      <c r="AQ65" s="97"/>
    </row>
    <row r="66" spans="2:43" ht="19.5" thickBot="1" x14ac:dyDescent="0.35">
      <c r="B66" s="230" t="s">
        <v>81</v>
      </c>
      <c r="C66" s="71"/>
      <c r="D66" s="138" t="e">
        <f>F58*100</f>
        <v>#VALUE!</v>
      </c>
      <c r="E66" s="256" t="s">
        <v>16</v>
      </c>
      <c r="F66" s="71"/>
      <c r="G66" s="71"/>
      <c r="H66" s="71"/>
      <c r="I66" s="71"/>
      <c r="J66" s="71"/>
      <c r="K66" s="71"/>
      <c r="L66" s="75"/>
      <c r="N66" s="103"/>
      <c r="O66" s="162">
        <f t="shared" si="165"/>
        <v>120</v>
      </c>
      <c r="P66" s="302">
        <v>21</v>
      </c>
      <c r="Q66" s="149">
        <v>28.53</v>
      </c>
      <c r="R66" s="153">
        <v>34.07</v>
      </c>
      <c r="S66" s="153">
        <v>45.15</v>
      </c>
      <c r="T66" s="153">
        <f t="shared" si="169"/>
        <v>56.23</v>
      </c>
      <c r="U66" s="153">
        <f t="shared" si="173"/>
        <v>67.31</v>
      </c>
      <c r="V66" s="153">
        <f t="shared" si="174"/>
        <v>78.39</v>
      </c>
      <c r="W66" s="153">
        <f t="shared" si="175"/>
        <v>89.47</v>
      </c>
      <c r="X66" s="153">
        <v>100.53</v>
      </c>
      <c r="Y66" s="153">
        <f t="shared" si="167"/>
        <v>111.61</v>
      </c>
      <c r="Z66" s="153">
        <f t="shared" si="168"/>
        <v>122.69</v>
      </c>
      <c r="AA66" s="153">
        <v>133.77000000000001</v>
      </c>
      <c r="AB66" s="153">
        <f t="shared" si="170"/>
        <v>144.85000000000002</v>
      </c>
      <c r="AC66" s="306"/>
      <c r="AD66" s="306"/>
      <c r="AE66" s="306"/>
      <c r="AF66" s="306"/>
      <c r="AG66" s="306"/>
      <c r="AH66" s="306"/>
      <c r="AI66" s="306"/>
      <c r="AJ66" s="306"/>
      <c r="AK66" s="64"/>
      <c r="AL66" s="64"/>
      <c r="AM66" s="64"/>
      <c r="AN66" s="64"/>
      <c r="AO66" s="64"/>
      <c r="AP66" s="64"/>
      <c r="AQ66" s="97"/>
    </row>
    <row r="67" spans="2:43" ht="15.75" thickBot="1" x14ac:dyDescent="0.3">
      <c r="B67" s="78"/>
      <c r="C67" s="401"/>
      <c r="D67" s="71"/>
      <c r="E67" s="71"/>
      <c r="F67" s="71"/>
      <c r="G67" s="71"/>
      <c r="H67" s="71"/>
      <c r="I67" s="71"/>
      <c r="J67" s="71"/>
      <c r="K67" s="71"/>
      <c r="L67" s="75"/>
      <c r="N67" s="103"/>
      <c r="O67" s="149"/>
      <c r="P67" s="302"/>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row>
    <row r="68" spans="2:43" ht="19.5" thickBot="1" x14ac:dyDescent="0.35">
      <c r="B68" s="231" t="s">
        <v>82</v>
      </c>
      <c r="D68" s="138"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2:43" ht="19.5" thickBot="1" x14ac:dyDescent="0.35">
      <c r="B69" s="232" t="s">
        <v>83</v>
      </c>
      <c r="C69" s="402" t="s">
        <v>9</v>
      </c>
      <c r="D69" s="143" t="e">
        <f>1.70654844438105E-07*D68^2 + 7.72494047896E-19*D68 - 2.15105711021124E-16</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43" ht="18.75" x14ac:dyDescent="0.3">
      <c r="B70" s="233"/>
      <c r="C70" s="402" t="s">
        <v>10</v>
      </c>
      <c r="D70" s="143" t="e">
        <f>1.45002333746652E-07*D68^2 + 7.99599102208E-19*D68+ 5.27355936696949E-16</f>
        <v>#VALUE!</v>
      </c>
      <c r="E70" s="256" t="s">
        <v>99</v>
      </c>
      <c r="F70" s="72"/>
      <c r="G70" s="72"/>
      <c r="H70" s="72"/>
      <c r="I70" s="72"/>
      <c r="J70" s="72"/>
      <c r="K70" s="72"/>
      <c r="L70" s="81"/>
    </row>
    <row r="71" spans="2:43" ht="15.75" thickBot="1" x14ac:dyDescent="0.3">
      <c r="B71" s="79"/>
      <c r="C71" s="76"/>
      <c r="D71" s="76"/>
      <c r="E71" s="76"/>
      <c r="F71" s="76"/>
      <c r="G71" s="76"/>
      <c r="H71" s="76"/>
      <c r="I71" s="76"/>
      <c r="J71" s="76"/>
      <c r="K71" s="76"/>
      <c r="L71" s="77"/>
    </row>
    <row r="72" spans="2:43"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2:43" ht="25.5" customHeight="1" x14ac:dyDescent="0.25">
      <c r="N73" s="903"/>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2:43" x14ac:dyDescent="0.25">
      <c r="N74" s="904"/>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row>
    <row r="75" spans="2:43" x14ac:dyDescent="0.25">
      <c r="N75" s="476"/>
      <c r="O75" s="47" t="s">
        <v>185</v>
      </c>
      <c r="P75" s="47">
        <v>1.9E-2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row>
    <row r="76" spans="2:43" x14ac:dyDescent="0.25">
      <c r="N76" s="477"/>
      <c r="O76" s="47" t="s">
        <v>195</v>
      </c>
      <c r="P76" s="47"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row>
    <row r="77" spans="2:43" x14ac:dyDescent="0.25">
      <c r="N77" s="48"/>
      <c r="O77" s="47"/>
      <c r="P77" s="47"/>
      <c r="Q77" s="47"/>
      <c r="R77" s="47"/>
      <c r="S77" s="47"/>
      <c r="T77" s="47"/>
      <c r="U77" s="47"/>
      <c r="V77" s="47"/>
      <c r="W77" s="278"/>
      <c r="Y77" s="48"/>
      <c r="Z77" s="47"/>
      <c r="AA77" s="47"/>
      <c r="AB77" s="47"/>
      <c r="AC77" s="47"/>
      <c r="AD77" s="47"/>
      <c r="AE77" s="47"/>
      <c r="AF77" s="47"/>
      <c r="AG77" s="47"/>
      <c r="AH77" s="47"/>
      <c r="AI77" s="47"/>
      <c r="AJ77" s="278"/>
    </row>
    <row r="78" spans="2:43" ht="15.75" x14ac:dyDescent="0.25">
      <c r="N78" s="48"/>
      <c r="O78" s="492" t="s">
        <v>183</v>
      </c>
      <c r="P78" s="47" t="e">
        <f>P75*P76</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row>
    <row r="79" spans="2:43"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row>
    <row r="80" spans="2:43" x14ac:dyDescent="0.25">
      <c r="N80" s="48"/>
      <c r="O80" s="480"/>
      <c r="P80" s="47"/>
      <c r="Q80" s="47"/>
      <c r="R80" s="47"/>
      <c r="S80" s="47"/>
      <c r="T80" s="47"/>
      <c r="U80" s="47"/>
      <c r="V80" s="47"/>
      <c r="W80" s="278"/>
      <c r="Y80" s="48"/>
      <c r="Z80" s="47"/>
      <c r="AA80" s="47"/>
      <c r="AB80" s="47"/>
      <c r="AC80" s="47"/>
      <c r="AD80" s="47"/>
      <c r="AE80" s="47"/>
      <c r="AF80" s="47"/>
      <c r="AG80" s="47"/>
      <c r="AH80" s="47"/>
      <c r="AI80" s="47"/>
      <c r="AJ80" s="278"/>
      <c r="AM80" s="83"/>
    </row>
    <row r="81" spans="14:43"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c r="AM81" s="83"/>
    </row>
    <row r="82" spans="14:43" ht="15.75" thickBot="1" x14ac:dyDescent="0.3">
      <c r="N82" s="48"/>
      <c r="O82" s="47" t="s">
        <v>185</v>
      </c>
      <c r="P82" s="47">
        <v>8.9999999999999998E-4</v>
      </c>
      <c r="Q82" s="47" t="s">
        <v>190</v>
      </c>
      <c r="R82" s="64"/>
      <c r="S82" s="47"/>
      <c r="T82" s="47"/>
      <c r="U82" s="47"/>
      <c r="V82" s="47"/>
      <c r="W82" s="278"/>
      <c r="Y82" s="48"/>
      <c r="Z82" s="47"/>
      <c r="AA82" s="47"/>
      <c r="AB82" s="47"/>
      <c r="AC82" s="47"/>
      <c r="AD82" s="47"/>
      <c r="AE82" s="47"/>
      <c r="AF82" s="47"/>
      <c r="AG82" s="47"/>
      <c r="AH82" s="47"/>
      <c r="AI82" s="47"/>
      <c r="AJ82" s="278"/>
      <c r="AM82" s="83"/>
    </row>
    <row r="83" spans="14:43" ht="15.75" thickBot="1" x14ac:dyDescent="0.3">
      <c r="N83" s="48"/>
      <c r="O83" s="47" t="s">
        <v>197</v>
      </c>
      <c r="P83" s="47" t="e">
        <f>(D3*D4)</f>
        <v>#VALUE!</v>
      </c>
      <c r="Q83" s="47" t="s">
        <v>198</v>
      </c>
      <c r="R83" s="64"/>
      <c r="S83" s="47"/>
      <c r="T83" s="47"/>
      <c r="U83" s="47"/>
      <c r="V83" s="47"/>
      <c r="W83" s="278"/>
      <c r="Y83" s="48"/>
      <c r="Z83" s="47"/>
      <c r="AA83" s="47"/>
      <c r="AB83" s="47"/>
      <c r="AC83" s="47"/>
      <c r="AD83" s="47"/>
      <c r="AE83" s="47"/>
      <c r="AF83" s="47"/>
      <c r="AG83" s="47"/>
      <c r="AH83" s="47"/>
      <c r="AI83" s="47"/>
      <c r="AJ83" s="278"/>
      <c r="AM83" s="83"/>
    </row>
    <row r="84" spans="14:43"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c r="AM84" s="83"/>
    </row>
    <row r="85" spans="14:43" x14ac:dyDescent="0.25">
      <c r="N85" s="48"/>
      <c r="O85" s="493" t="s">
        <v>192</v>
      </c>
      <c r="P85" s="471" t="e">
        <f>P82*P83</f>
        <v>#VALUE!</v>
      </c>
      <c r="Q85" s="47" t="s">
        <v>184</v>
      </c>
      <c r="S85" s="47"/>
      <c r="T85" s="47"/>
      <c r="U85" s="47"/>
      <c r="V85" s="47"/>
      <c r="W85" s="278"/>
      <c r="Y85" s="48"/>
      <c r="Z85" s="47"/>
      <c r="AA85" s="47"/>
      <c r="AB85" s="47"/>
      <c r="AC85" s="47"/>
      <c r="AD85" s="47"/>
      <c r="AE85" s="47"/>
      <c r="AF85" s="47"/>
      <c r="AG85" s="47"/>
      <c r="AH85" s="47"/>
      <c r="AI85" s="47"/>
      <c r="AJ85" s="278"/>
      <c r="AM85" s="83"/>
    </row>
    <row r="86" spans="14:43"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83"/>
    </row>
    <row r="87" spans="14:43" x14ac:dyDescent="0.25">
      <c r="N87" s="48"/>
      <c r="O87" s="480"/>
      <c r="P87" s="479"/>
      <c r="Q87" s="47"/>
      <c r="R87" s="47"/>
      <c r="S87" s="47"/>
      <c r="T87" s="47"/>
      <c r="U87" s="47"/>
      <c r="V87" s="47"/>
      <c r="W87" s="278"/>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row>
    <row r="89" spans="14:43" x14ac:dyDescent="0.25">
      <c r="O89" s="481"/>
      <c r="P89" s="482"/>
      <c r="AC89" s="175"/>
      <c r="AD89" s="175"/>
      <c r="AE89" s="175"/>
      <c r="AF89" s="175"/>
      <c r="AG89" s="175"/>
      <c r="AH89" s="175"/>
      <c r="AI89" s="175"/>
      <c r="AJ89" s="175"/>
      <c r="AK89" s="175"/>
      <c r="AQ89" s="83"/>
    </row>
    <row r="90" spans="14:43" x14ac:dyDescent="0.25">
      <c r="O90" s="481"/>
      <c r="P90" s="482"/>
      <c r="AC90" s="175"/>
      <c r="AD90" s="175"/>
      <c r="AE90" s="175"/>
      <c r="AF90" s="175"/>
      <c r="AG90" s="175"/>
      <c r="AH90" s="175"/>
      <c r="AI90" s="175"/>
      <c r="AJ90" s="175"/>
      <c r="AK90" s="175"/>
      <c r="AQ90" s="83"/>
    </row>
    <row r="91" spans="14:43" x14ac:dyDescent="0.25">
      <c r="O91" s="481"/>
      <c r="P91" s="482"/>
      <c r="AC91" s="175"/>
      <c r="AD91" s="175"/>
      <c r="AE91" s="175"/>
      <c r="AF91" s="175"/>
      <c r="AG91" s="175"/>
      <c r="AH91" s="175"/>
      <c r="AI91" s="175"/>
      <c r="AJ91" s="175"/>
      <c r="AK91" s="175"/>
      <c r="AQ91" s="83"/>
    </row>
    <row r="92" spans="14:43" x14ac:dyDescent="0.25">
      <c r="O92" s="481"/>
      <c r="P92" s="482"/>
      <c r="AC92" s="175"/>
      <c r="AD92" s="175"/>
      <c r="AE92" s="175"/>
      <c r="AF92" s="175"/>
      <c r="AG92" s="175"/>
      <c r="AH92" s="175"/>
      <c r="AI92" s="175"/>
      <c r="AJ92" s="175"/>
      <c r="AK92" s="175"/>
      <c r="AQ92" s="83"/>
    </row>
    <row r="93" spans="14:43" ht="18.75" customHeight="1" x14ac:dyDescent="0.25">
      <c r="O93" s="481"/>
      <c r="P93" s="482"/>
      <c r="AC93" s="175"/>
      <c r="AD93" s="175"/>
      <c r="AE93" s="175"/>
      <c r="AF93" s="175"/>
      <c r="AG93" s="175"/>
      <c r="AH93" s="175"/>
      <c r="AI93" s="175"/>
      <c r="AJ93" s="175"/>
      <c r="AK93" s="175"/>
      <c r="AQ93" s="83"/>
    </row>
    <row r="94" spans="14:43" ht="18.75" customHeight="1" x14ac:dyDescent="0.25">
      <c r="O94" s="481"/>
      <c r="P94" s="482"/>
      <c r="AC94" s="175"/>
      <c r="AD94" s="175"/>
      <c r="AE94" s="175"/>
      <c r="AF94" s="175"/>
      <c r="AG94" s="175"/>
      <c r="AH94" s="175"/>
      <c r="AI94" s="175"/>
      <c r="AJ94" s="175"/>
      <c r="AK94" s="175"/>
      <c r="AQ94" s="83"/>
    </row>
    <row r="95" spans="14:43" x14ac:dyDescent="0.25">
      <c r="P95" s="482"/>
    </row>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x14ac:dyDescent="0.25">
      <c r="O113" s="481"/>
      <c r="P113" s="482"/>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41" x14ac:dyDescent="0.25">
      <c r="C146" s="179"/>
    </row>
    <row r="147" spans="3:41" x14ac:dyDescent="0.25">
      <c r="C147" s="179"/>
    </row>
    <row r="149" spans="3:41" ht="21" x14ac:dyDescent="0.35">
      <c r="N149" s="74"/>
    </row>
    <row r="150" spans="3:41" x14ac:dyDescent="0.25">
      <c r="N150" s="902"/>
      <c r="Q150" s="481"/>
      <c r="R150" s="481"/>
      <c r="S150" s="481"/>
      <c r="T150" s="481"/>
      <c r="U150" s="481"/>
      <c r="V150" s="481"/>
      <c r="W150" s="481"/>
      <c r="X150" s="481"/>
      <c r="Y150" s="481"/>
      <c r="Z150" s="481"/>
      <c r="AA150" s="481"/>
      <c r="AB150" s="481"/>
      <c r="AC150" s="481"/>
      <c r="AD150" s="481"/>
      <c r="AE150" s="481"/>
      <c r="AF150" s="481"/>
      <c r="AG150" s="481"/>
      <c r="AH150" s="481"/>
      <c r="AI150" s="481"/>
      <c r="AJ150" s="481"/>
    </row>
    <row r="151" spans="3:41" x14ac:dyDescent="0.25">
      <c r="N151" s="902"/>
      <c r="P151" s="482"/>
    </row>
    <row r="152" spans="3:41" x14ac:dyDescent="0.25">
      <c r="N152" s="483"/>
      <c r="O152" s="481"/>
      <c r="P152" s="482"/>
    </row>
    <row r="153" spans="3:41" ht="15.75" x14ac:dyDescent="0.25">
      <c r="N153" s="484"/>
      <c r="O153" s="481"/>
      <c r="P153" s="482"/>
      <c r="AL153" s="313"/>
      <c r="AM153" s="313"/>
      <c r="AN153" s="485"/>
      <c r="AO153" s="313"/>
    </row>
    <row r="154" spans="3:41" ht="15.75" x14ac:dyDescent="0.25">
      <c r="O154" s="481"/>
      <c r="P154" s="482"/>
      <c r="AK154" s="83"/>
      <c r="AL154" s="313"/>
      <c r="AM154" s="485"/>
      <c r="AN154" s="485"/>
      <c r="AO154" s="485"/>
    </row>
    <row r="155" spans="3:41" ht="15.75" x14ac:dyDescent="0.25">
      <c r="O155" s="481"/>
      <c r="P155" s="482"/>
      <c r="AL155" s="486"/>
      <c r="AM155" s="485"/>
      <c r="AN155" s="487"/>
      <c r="AO155" s="485"/>
    </row>
    <row r="156" spans="3:41" ht="15.75" x14ac:dyDescent="0.25">
      <c r="O156" s="481"/>
      <c r="P156" s="482"/>
      <c r="AL156" s="313"/>
      <c r="AM156" s="485"/>
      <c r="AN156" s="485"/>
      <c r="AO156" s="485"/>
    </row>
    <row r="157" spans="3:41" x14ac:dyDescent="0.25">
      <c r="O157" s="481"/>
      <c r="P157" s="482"/>
    </row>
    <row r="158" spans="3:41" x14ac:dyDescent="0.25">
      <c r="O158" s="481"/>
      <c r="P158" s="482"/>
    </row>
    <row r="159" spans="3:41" x14ac:dyDescent="0.25">
      <c r="O159" s="481"/>
      <c r="P159" s="482"/>
    </row>
    <row r="160" spans="3:41" x14ac:dyDescent="0.25">
      <c r="O160" s="481"/>
      <c r="P160" s="482"/>
    </row>
    <row r="161" spans="15:43" x14ac:dyDescent="0.25">
      <c r="O161" s="481"/>
      <c r="P161" s="482"/>
    </row>
    <row r="162" spans="15:43" ht="15.75" x14ac:dyDescent="0.25">
      <c r="O162" s="481"/>
      <c r="P162" s="482"/>
      <c r="AM162" s="488"/>
      <c r="AN162" s="488"/>
      <c r="AO162" s="175"/>
    </row>
    <row r="163" spans="15:43" ht="15.75" x14ac:dyDescent="0.25">
      <c r="O163" s="481"/>
      <c r="P163" s="482"/>
      <c r="AM163" s="488"/>
      <c r="AN163" s="488"/>
    </row>
    <row r="164" spans="15:43" x14ac:dyDescent="0.25">
      <c r="O164" s="481"/>
      <c r="P164" s="482"/>
      <c r="AC164" s="175"/>
      <c r="AD164" s="175"/>
      <c r="AE164" s="175"/>
      <c r="AF164" s="175"/>
      <c r="AG164" s="175"/>
      <c r="AH164" s="175"/>
      <c r="AI164" s="175"/>
      <c r="AJ164" s="175"/>
    </row>
    <row r="165" spans="15:43" x14ac:dyDescent="0.25">
      <c r="O165" s="481"/>
      <c r="P165" s="482"/>
      <c r="AC165" s="175"/>
      <c r="AD165" s="175"/>
      <c r="AE165" s="175"/>
      <c r="AF165" s="175"/>
      <c r="AG165" s="175"/>
      <c r="AH165" s="175"/>
      <c r="AI165" s="175"/>
      <c r="AJ165" s="175"/>
      <c r="AQ165" s="83"/>
    </row>
    <row r="166" spans="15:43" x14ac:dyDescent="0.25">
      <c r="O166" s="481"/>
      <c r="P166" s="482"/>
      <c r="AC166" s="175"/>
      <c r="AD166" s="175"/>
      <c r="AE166" s="175"/>
      <c r="AF166" s="175"/>
      <c r="AG166" s="175"/>
      <c r="AH166" s="175"/>
      <c r="AI166" s="175"/>
      <c r="AJ166" s="175"/>
      <c r="AK166" s="175"/>
      <c r="AQ166" s="83"/>
    </row>
    <row r="167" spans="15:43" x14ac:dyDescent="0.25">
      <c r="O167" s="481"/>
      <c r="P167" s="482"/>
      <c r="AC167" s="175"/>
      <c r="AD167" s="175"/>
      <c r="AE167" s="175"/>
      <c r="AF167" s="175"/>
      <c r="AG167" s="175"/>
      <c r="AH167" s="175"/>
      <c r="AI167" s="175"/>
      <c r="AJ167" s="175"/>
      <c r="AK167" s="175"/>
      <c r="AQ167" s="83"/>
    </row>
    <row r="168" spans="15:43" x14ac:dyDescent="0.25">
      <c r="O168" s="481"/>
      <c r="P168" s="482"/>
      <c r="AC168" s="175"/>
      <c r="AD168" s="175"/>
      <c r="AE168" s="175"/>
      <c r="AF168" s="175"/>
      <c r="AG168" s="175"/>
      <c r="AH168" s="175"/>
      <c r="AI168" s="175"/>
      <c r="AJ168" s="175"/>
      <c r="AK168" s="175"/>
      <c r="AQ168" s="83"/>
    </row>
    <row r="169" spans="15:43" x14ac:dyDescent="0.25">
      <c r="O169" s="481"/>
      <c r="P169" s="482"/>
      <c r="AC169" s="175"/>
      <c r="AD169" s="175"/>
      <c r="AE169" s="175"/>
      <c r="AF169" s="175"/>
      <c r="AG169" s="175"/>
      <c r="AH169" s="175"/>
      <c r="AI169" s="175"/>
      <c r="AJ169" s="175"/>
      <c r="AK169" s="175"/>
      <c r="AQ169" s="83"/>
    </row>
    <row r="170" spans="15:43" x14ac:dyDescent="0.25">
      <c r="O170" s="481"/>
      <c r="P170" s="482"/>
      <c r="AC170" s="175"/>
      <c r="AD170" s="175"/>
      <c r="AE170" s="175"/>
      <c r="AF170" s="175"/>
      <c r="AG170" s="175"/>
      <c r="AH170" s="175"/>
      <c r="AI170" s="175"/>
      <c r="AJ170" s="175"/>
      <c r="AK170" s="175"/>
      <c r="AQ170" s="83"/>
    </row>
    <row r="171" spans="15:43" x14ac:dyDescent="0.25">
      <c r="O171" s="481"/>
      <c r="P171" s="482"/>
      <c r="AC171" s="175"/>
      <c r="AD171" s="175"/>
      <c r="AE171" s="175"/>
      <c r="AF171" s="175"/>
      <c r="AG171" s="175"/>
      <c r="AH171" s="175"/>
      <c r="AI171" s="175"/>
      <c r="AJ171" s="175"/>
      <c r="AK171" s="175"/>
      <c r="AQ171" s="83"/>
    </row>
    <row r="172" spans="15:43" x14ac:dyDescent="0.25">
      <c r="P172" s="482"/>
    </row>
    <row r="177" spans="14:41" ht="21" x14ac:dyDescent="0.35">
      <c r="N177" s="74"/>
    </row>
    <row r="178" spans="14:41" x14ac:dyDescent="0.25">
      <c r="N178" s="902"/>
      <c r="Q178" s="481"/>
      <c r="R178" s="481"/>
      <c r="S178" s="481"/>
      <c r="T178" s="481"/>
      <c r="U178" s="481"/>
      <c r="V178" s="481"/>
      <c r="W178" s="481"/>
      <c r="X178" s="481"/>
      <c r="Y178" s="481"/>
      <c r="Z178" s="481"/>
      <c r="AA178" s="481"/>
      <c r="AB178" s="481"/>
      <c r="AC178" s="481"/>
      <c r="AD178" s="481"/>
      <c r="AE178" s="481"/>
      <c r="AF178" s="481"/>
      <c r="AG178" s="481"/>
      <c r="AH178" s="481"/>
      <c r="AI178" s="481"/>
      <c r="AJ178" s="481"/>
    </row>
    <row r="179" spans="14:41" x14ac:dyDescent="0.25">
      <c r="N179" s="902"/>
      <c r="P179" s="482"/>
    </row>
    <row r="180" spans="14:41" x14ac:dyDescent="0.25">
      <c r="N180" s="483"/>
      <c r="O180" s="481"/>
      <c r="P180" s="482"/>
    </row>
    <row r="181" spans="14:41" ht="15.75" x14ac:dyDescent="0.25">
      <c r="N181" s="484"/>
      <c r="O181" s="481"/>
      <c r="P181" s="482"/>
      <c r="AL181" s="313"/>
      <c r="AM181" s="313"/>
      <c r="AN181" s="485"/>
      <c r="AO181" s="313"/>
    </row>
    <row r="182" spans="14:41" ht="15.75" x14ac:dyDescent="0.25">
      <c r="O182" s="481"/>
      <c r="P182" s="482"/>
      <c r="AK182" s="83"/>
      <c r="AL182" s="313"/>
      <c r="AM182" s="485"/>
      <c r="AN182" s="485"/>
      <c r="AO182" s="485"/>
    </row>
    <row r="183" spans="14:41" ht="15.75" x14ac:dyDescent="0.25">
      <c r="O183" s="481"/>
      <c r="P183" s="482"/>
      <c r="AL183" s="486"/>
      <c r="AM183" s="485"/>
      <c r="AN183" s="487"/>
      <c r="AO183" s="485"/>
    </row>
    <row r="184" spans="14:41" ht="15.75" x14ac:dyDescent="0.25">
      <c r="O184" s="481"/>
      <c r="P184" s="482"/>
      <c r="AL184" s="313"/>
      <c r="AM184" s="485"/>
      <c r="AN184" s="485"/>
      <c r="AO184" s="485"/>
    </row>
    <row r="185" spans="14:41" x14ac:dyDescent="0.25">
      <c r="O185" s="481"/>
      <c r="P185" s="482"/>
    </row>
    <row r="186" spans="14:41" x14ac:dyDescent="0.25">
      <c r="O186" s="481"/>
      <c r="P186" s="482"/>
    </row>
    <row r="187" spans="14:41" x14ac:dyDescent="0.25">
      <c r="O187" s="481"/>
      <c r="P187" s="482"/>
    </row>
    <row r="188" spans="14:41" x14ac:dyDescent="0.25">
      <c r="O188" s="481"/>
      <c r="P188" s="482"/>
    </row>
    <row r="189" spans="14:41" x14ac:dyDescent="0.25">
      <c r="O189" s="481"/>
      <c r="P189" s="482"/>
    </row>
    <row r="190" spans="14:41" ht="15.75" x14ac:dyDescent="0.25">
      <c r="O190" s="481"/>
      <c r="P190" s="482"/>
      <c r="AN190" s="488"/>
      <c r="AO190" s="175"/>
    </row>
    <row r="191" spans="14:41" ht="15.75" x14ac:dyDescent="0.25">
      <c r="O191" s="481"/>
      <c r="P191" s="482"/>
      <c r="AM191" s="488"/>
      <c r="AN191" s="488"/>
    </row>
    <row r="192" spans="14:41" x14ac:dyDescent="0.25">
      <c r="O192" s="481"/>
      <c r="P192" s="482"/>
      <c r="AC192" s="175"/>
      <c r="AD192" s="175"/>
      <c r="AE192" s="175"/>
      <c r="AF192" s="175"/>
      <c r="AG192" s="175"/>
      <c r="AH192" s="175"/>
      <c r="AI192" s="175"/>
      <c r="AJ192" s="175"/>
    </row>
    <row r="193" spans="15:43" x14ac:dyDescent="0.25">
      <c r="O193" s="481"/>
      <c r="P193" s="482"/>
      <c r="AC193" s="175"/>
      <c r="AD193" s="175"/>
      <c r="AE193" s="175"/>
      <c r="AF193" s="175"/>
      <c r="AG193" s="175"/>
      <c r="AH193" s="175"/>
      <c r="AI193" s="175"/>
      <c r="AJ193" s="175"/>
      <c r="AQ193" s="83"/>
    </row>
    <row r="194" spans="15:43" x14ac:dyDescent="0.25">
      <c r="O194" s="481"/>
      <c r="P194" s="482"/>
      <c r="AC194" s="175"/>
      <c r="AD194" s="175"/>
      <c r="AE194" s="175"/>
      <c r="AF194" s="175"/>
      <c r="AG194" s="175"/>
      <c r="AH194" s="175"/>
      <c r="AI194" s="175"/>
      <c r="AJ194" s="175"/>
      <c r="AK194" s="175"/>
      <c r="AQ194" s="83"/>
    </row>
    <row r="195" spans="15:43" x14ac:dyDescent="0.25">
      <c r="O195" s="481"/>
      <c r="P195" s="482"/>
      <c r="AC195" s="175"/>
      <c r="AD195" s="175"/>
      <c r="AE195" s="175"/>
      <c r="AF195" s="175"/>
      <c r="AG195" s="175"/>
      <c r="AH195" s="175"/>
      <c r="AI195" s="175"/>
      <c r="AJ195" s="175"/>
      <c r="AK195" s="175"/>
      <c r="AQ195" s="83"/>
    </row>
    <row r="196" spans="15:43" x14ac:dyDescent="0.25">
      <c r="O196" s="481"/>
      <c r="P196" s="482"/>
      <c r="AC196" s="175"/>
      <c r="AD196" s="175"/>
      <c r="AE196" s="175"/>
      <c r="AF196" s="175"/>
      <c r="AG196" s="175"/>
      <c r="AH196" s="175"/>
      <c r="AI196" s="175"/>
      <c r="AJ196" s="175"/>
      <c r="AK196" s="175"/>
      <c r="AQ196" s="83"/>
    </row>
    <row r="197" spans="15:43" x14ac:dyDescent="0.25">
      <c r="O197" s="481"/>
      <c r="P197" s="482"/>
      <c r="AC197" s="175"/>
      <c r="AD197" s="175"/>
      <c r="AE197" s="175"/>
      <c r="AF197" s="175"/>
      <c r="AG197" s="175"/>
      <c r="AH197" s="175"/>
      <c r="AI197" s="175"/>
      <c r="AJ197" s="175"/>
      <c r="AK197" s="175"/>
      <c r="AQ197" s="83"/>
    </row>
    <row r="198" spans="15:43" x14ac:dyDescent="0.25">
      <c r="O198" s="481"/>
      <c r="P198" s="482"/>
      <c r="AC198" s="175"/>
      <c r="AD198" s="175"/>
      <c r="AE198" s="175"/>
      <c r="AF198" s="175"/>
      <c r="AG198" s="175"/>
      <c r="AH198" s="175"/>
      <c r="AI198" s="175"/>
      <c r="AJ198" s="175"/>
      <c r="AK198" s="175"/>
      <c r="AQ198" s="83"/>
    </row>
    <row r="199" spans="15:43" x14ac:dyDescent="0.25">
      <c r="O199" s="481"/>
      <c r="P199" s="482"/>
      <c r="AC199" s="175"/>
      <c r="AD199" s="175"/>
      <c r="AE199" s="175"/>
      <c r="AF199" s="175"/>
      <c r="AG199" s="175"/>
      <c r="AH199" s="175"/>
      <c r="AI199" s="175"/>
      <c r="AJ199" s="175"/>
      <c r="AK199" s="175"/>
      <c r="AQ199" s="83"/>
    </row>
    <row r="200" spans="15:43" x14ac:dyDescent="0.25">
      <c r="P200" s="482"/>
    </row>
    <row r="278" spans="24:25" x14ac:dyDescent="0.25">
      <c r="X278" s="146"/>
      <c r="Y278" s="145"/>
    </row>
  </sheetData>
  <sheetProtection selectLockedCells="1" selectUnlockedCells="1"/>
  <mergeCells count="9">
    <mergeCell ref="N178:N179"/>
    <mergeCell ref="N73:N74"/>
    <mergeCell ref="D16:W16"/>
    <mergeCell ref="N45:N46"/>
    <mergeCell ref="AT16:IX16"/>
    <mergeCell ref="AU18:AV20"/>
    <mergeCell ref="IQ19:IW19"/>
    <mergeCell ref="AW18:IG19"/>
    <mergeCell ref="N150:N151"/>
  </mergeCells>
  <conditionalFormatting sqref="Q47:AJ66">
    <cfRule type="colorScale" priority="5">
      <colorScale>
        <cfvo type="min"/>
        <cfvo type="percentile" val="50"/>
        <cfvo type="max"/>
        <color rgb="FF63BE7B"/>
        <color rgb="FFFFEB84"/>
        <color rgb="FFF8696B"/>
      </colorScale>
    </cfRule>
  </conditionalFormatting>
  <conditionalFormatting sqref="Q103:AJ122">
    <cfRule type="colorScale" priority="3">
      <colorScale>
        <cfvo type="min"/>
        <cfvo type="percentile" val="50"/>
        <cfvo type="max"/>
        <color rgb="FF63BE7B"/>
        <color rgb="FFFFEB84"/>
        <color rgb="FFF8696B"/>
      </colorScale>
    </cfRule>
  </conditionalFormatting>
  <conditionalFormatting sqref="Q152:AJ171">
    <cfRule type="colorScale" priority="2">
      <colorScale>
        <cfvo type="min"/>
        <cfvo type="percentile" val="50"/>
        <cfvo type="max"/>
        <color rgb="FF63BE7B"/>
        <color rgb="FFFFEB84"/>
        <color rgb="FFF8696B"/>
      </colorScale>
    </cfRule>
  </conditionalFormatting>
  <conditionalFormatting sqref="Q180:AJ199">
    <cfRule type="colorScale" priority="1">
      <colorScale>
        <cfvo type="min"/>
        <cfvo type="percentile" val="50"/>
        <cfvo type="max"/>
        <color rgb="FF63BE7B"/>
        <color rgb="FFFFEB84"/>
        <color rgb="FFF8696B"/>
      </colorScale>
    </cfRule>
  </conditionalFormatting>
  <conditionalFormatting sqref="R79:X81 S75:X78 Q89:AJ94 S82:X85 Q86:X88">
    <cfRule type="colorScale" priority="4">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X280"/>
  <sheetViews>
    <sheetView topLeftCell="A11" zoomScale="70" zoomScaleNormal="70" workbookViewId="0">
      <selection activeCell="D28" sqref="D28"/>
    </sheetView>
  </sheetViews>
  <sheetFormatPr defaultRowHeight="15" x14ac:dyDescent="0.25"/>
  <cols>
    <col min="1" max="1" width="12.85546875" customWidth="1"/>
    <col min="2" max="2" width="20.140625" customWidth="1"/>
    <col min="3" max="3" width="14.7109375" customWidth="1"/>
    <col min="4" max="4" width="12.28515625" customWidth="1"/>
    <col min="5" max="5" width="17.42578125" customWidth="1"/>
    <col min="6" max="6" width="10.5703125" customWidth="1"/>
    <col min="7" max="7" width="10" customWidth="1"/>
    <col min="8" max="13" width="15" customWidth="1"/>
    <col min="14" max="14" width="20.5703125" customWidth="1"/>
    <col min="15" max="15" width="18.5703125" customWidth="1"/>
    <col min="16" max="16" width="13.42578125" customWidth="1"/>
    <col min="17" max="17" width="9.85546875" customWidth="1"/>
    <col min="18" max="18" width="10" customWidth="1"/>
    <col min="19" max="19" width="13.42578125" customWidth="1"/>
    <col min="20" max="20" width="10.28515625" customWidth="1"/>
    <col min="21" max="21" width="10.42578125" customWidth="1"/>
    <col min="22" max="22" width="13" customWidth="1"/>
    <col min="23" max="23" width="12.42578125" customWidth="1"/>
    <col min="24" max="24" width="11.85546875" customWidth="1"/>
    <col min="25" max="25" width="14" customWidth="1"/>
    <col min="28" max="35" width="9.140625" customWidth="1"/>
    <col min="38" max="38" width="9.140625" customWidth="1"/>
    <col min="39" max="39" width="14.28515625" customWidth="1"/>
    <col min="40" max="51" width="9.140625" customWidth="1"/>
    <col min="52" max="59" width="9.140625" hidden="1" customWidth="1"/>
    <col min="60" max="61" width="9.140625" customWidth="1"/>
    <col min="62" max="69" width="9.140625" hidden="1" customWidth="1"/>
    <col min="70" max="71" width="9.140625" customWidth="1"/>
    <col min="72" max="72" width="11.85546875" hidden="1" customWidth="1"/>
    <col min="73" max="79" width="9.140625" hidden="1" customWidth="1"/>
    <col min="80" max="81" width="9.140625" customWidth="1"/>
    <col min="82" max="89" width="9.140625" hidden="1" customWidth="1"/>
    <col min="90" max="91" width="9.140625" customWidth="1"/>
    <col min="92" max="99" width="9.140625" hidden="1" customWidth="1"/>
    <col min="100" max="100" width="9.140625" customWidth="1"/>
    <col min="101" max="110" width="9.140625" hidden="1" customWidth="1"/>
    <col min="111" max="111" width="9.140625" customWidth="1"/>
    <col min="112" max="116" width="9.140625" hidden="1" customWidth="1"/>
    <col min="117" max="117" width="12.140625" hidden="1" customWidth="1"/>
    <col min="118" max="119" width="9.140625" hidden="1" customWidth="1"/>
    <col min="120" max="120" width="9.140625" customWidth="1"/>
    <col min="121" max="130" width="9.140625" hidden="1" customWidth="1"/>
    <col min="131"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61" width="9.140625" customWidth="1"/>
    <col min="162" max="169" width="9.140625" hidden="1" customWidth="1"/>
    <col min="17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9.28515625" hidden="1" customWidth="1"/>
    <col min="206" max="206" width="6.5703125" hidden="1" customWidth="1"/>
    <col min="207" max="207" width="17.85546875" hidden="1" customWidth="1"/>
    <col min="208" max="208" width="29" hidden="1" customWidth="1"/>
    <col min="209" max="209" width="13.7109375" hidden="1" customWidth="1"/>
    <col min="210" max="210" width="10" customWidth="1"/>
    <col min="211" max="211" width="9.28515625" customWidth="1"/>
    <col min="212" max="212" width="14.5703125" hidden="1" customWidth="1"/>
    <col min="213" max="213" width="14.140625" hidden="1" customWidth="1"/>
    <col min="214" max="216" width="9.140625" hidden="1" customWidth="1"/>
    <col min="217" max="217" width="10.140625" hidden="1" customWidth="1"/>
    <col min="218" max="218" width="12.7109375" hidden="1" customWidth="1"/>
    <col min="219" max="219" width="6.85546875" hidden="1" customWidth="1"/>
    <col min="220" max="220" width="7.85546875" customWidth="1"/>
    <col min="221" max="221" width="8.425781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8" width="9.140625" customWidth="1"/>
  </cols>
  <sheetData>
    <row r="1" spans="2:258" ht="21.75" thickBot="1" x14ac:dyDescent="0.4">
      <c r="B1" s="315" t="s">
        <v>39</v>
      </c>
      <c r="C1" s="381" t="s">
        <v>7</v>
      </c>
      <c r="D1" s="316"/>
      <c r="E1" s="316"/>
      <c r="F1" s="324"/>
    </row>
    <row r="2" spans="2:258" ht="22.5" thickTop="1" thickBot="1" x14ac:dyDescent="0.4">
      <c r="B2" s="382" t="s">
        <v>40</v>
      </c>
      <c r="C2" s="383"/>
      <c r="D2" s="383" t="s">
        <v>73</v>
      </c>
      <c r="E2" s="383"/>
      <c r="F2" s="384"/>
      <c r="G2" s="277"/>
      <c r="H2" s="403" t="s">
        <v>277</v>
      </c>
      <c r="I2" s="387"/>
      <c r="J2" s="388"/>
      <c r="N2" s="288" t="s">
        <v>64</v>
      </c>
      <c r="O2" s="289"/>
      <c r="P2" s="289"/>
      <c r="Q2" s="289"/>
      <c r="R2" s="289"/>
      <c r="S2" s="289"/>
      <c r="T2" s="289"/>
      <c r="U2" s="289"/>
      <c r="V2" s="289"/>
      <c r="W2" s="290"/>
    </row>
    <row r="3" spans="2:258" ht="19.5" thickTop="1" x14ac:dyDescent="0.3">
      <c r="B3" s="382" t="s">
        <v>41</v>
      </c>
      <c r="C3" s="383" t="str">
        <f>IF('DATA ENTRY'!B9="mm",'DATA ENTRY'!B10/25.4,'DATA ENTRY'!B10)</f>
        <v>ENTER WIDTH</v>
      </c>
      <c r="D3" s="386" t="e">
        <f>IF('DATA ENTRY'!B12="ACTUAL",'DE635'!C3,'DE635'!C3-0.5)</f>
        <v>#VALUE!</v>
      </c>
      <c r="E3" s="383"/>
      <c r="F3" s="384"/>
      <c r="G3" s="277"/>
      <c r="H3" s="330" t="s">
        <v>278</v>
      </c>
      <c r="J3" s="331" t="e">
        <f>D3*D4/144</f>
        <v>#VALUE!</v>
      </c>
      <c r="N3" s="48"/>
      <c r="O3" s="47"/>
      <c r="P3" s="47"/>
      <c r="Q3" s="47"/>
      <c r="R3" s="47"/>
      <c r="S3" s="47"/>
      <c r="T3" s="47"/>
      <c r="U3" s="47"/>
      <c r="V3" s="47"/>
      <c r="W3" s="278"/>
    </row>
    <row r="4" spans="2:258" ht="18.75" x14ac:dyDescent="0.3">
      <c r="B4" s="382" t="s">
        <v>42</v>
      </c>
      <c r="C4" s="383" t="str">
        <f>IF('DATA ENTRY'!B9="mm",'DATA ENTRY'!B11/25.4,'DATA ENTRY'!B11)</f>
        <v>ENTER HEIGHT</v>
      </c>
      <c r="D4" s="386" t="e">
        <f>IF('DATA ENTRY'!B12="ACTUAL",'DE635'!C4,'DE635'!C4-0.5)</f>
        <v>#VALUE!</v>
      </c>
      <c r="E4" s="383"/>
      <c r="F4" s="384"/>
      <c r="G4" s="277"/>
      <c r="H4" s="330" t="s">
        <v>279</v>
      </c>
      <c r="I4" s="314"/>
      <c r="J4" s="331" t="e">
        <f>C5/J3</f>
        <v>#VALUE!</v>
      </c>
      <c r="N4" s="280"/>
      <c r="O4" s="282" t="str">
        <f>C1&amp;"_MODEL"</f>
        <v>DE635_MODEL</v>
      </c>
      <c r="P4" s="282" t="s">
        <v>101</v>
      </c>
      <c r="Q4" s="282"/>
      <c r="R4" s="282"/>
      <c r="S4" s="282"/>
      <c r="T4" s="282"/>
      <c r="U4" s="282"/>
      <c r="V4" s="287" t="s">
        <v>116</v>
      </c>
      <c r="W4" s="291"/>
    </row>
    <row r="5" spans="2:258" ht="18.75" x14ac:dyDescent="0.3">
      <c r="B5" s="382" t="s">
        <v>43</v>
      </c>
      <c r="C5" s="509" t="str">
        <f>IF('DATA ENTRY'!B9="mm",'DATA ENTRY'!B13*2.1188799727597,'DATA ENTRY'!B13)</f>
        <v>ENTER AIR VOLUME</v>
      </c>
      <c r="D5" s="383"/>
      <c r="E5" s="383"/>
      <c r="F5" s="384"/>
      <c r="G5" s="277"/>
      <c r="H5" s="330"/>
      <c r="I5" s="314"/>
      <c r="J5" s="331"/>
      <c r="N5" s="280" t="s">
        <v>93</v>
      </c>
      <c r="O5" s="282" t="str">
        <f>C1&amp;"_FA"</f>
        <v>DE635_FA</v>
      </c>
      <c r="P5" s="282" t="e">
        <f>D64</f>
        <v>#VALUE!</v>
      </c>
      <c r="Q5" s="282" t="s">
        <v>45</v>
      </c>
      <c r="R5" s="282"/>
      <c r="S5" s="282"/>
      <c r="T5" s="282"/>
      <c r="U5" s="282"/>
      <c r="V5" s="282" t="str">
        <f>C1&amp;"_W"</f>
        <v>DE635_W</v>
      </c>
      <c r="W5" s="286" t="e">
        <f>D3</f>
        <v>#VALUE!</v>
      </c>
    </row>
    <row r="6" spans="2:258" ht="18.75" x14ac:dyDescent="0.3">
      <c r="B6" s="382" t="s">
        <v>44</v>
      </c>
      <c r="C6" s="383" t="str">
        <f>'DATA ENTRY'!B14</f>
        <v>SELECT AIR DIRECTION</v>
      </c>
      <c r="D6" s="383"/>
      <c r="E6" s="383"/>
      <c r="F6" s="384"/>
      <c r="G6" s="277"/>
      <c r="H6" s="330"/>
      <c r="I6" s="314"/>
      <c r="J6" s="331"/>
      <c r="N6" s="280" t="s">
        <v>70</v>
      </c>
      <c r="O6" s="282" t="str">
        <f>C1&amp;"_FA%"</f>
        <v>DE635_FA%</v>
      </c>
      <c r="P6" s="282" t="e">
        <f>D66</f>
        <v>#VALUE!</v>
      </c>
      <c r="Q6" s="282" t="s">
        <v>16</v>
      </c>
      <c r="R6" s="282"/>
      <c r="S6" s="282"/>
      <c r="T6" s="282"/>
      <c r="U6" s="282"/>
      <c r="V6" s="282" t="str">
        <f>C1&amp;"_H"</f>
        <v>DE635_H</v>
      </c>
      <c r="W6" s="286" t="e">
        <f>D4</f>
        <v>#VALUE!</v>
      </c>
    </row>
    <row r="7" spans="2:258" ht="19.5" thickBot="1" x14ac:dyDescent="0.35">
      <c r="B7" s="382"/>
      <c r="C7" s="383"/>
      <c r="D7" s="383"/>
      <c r="E7" s="383"/>
      <c r="F7" s="384"/>
      <c r="G7" s="277"/>
      <c r="H7" s="543"/>
      <c r="I7" s="544"/>
      <c r="J7" s="545"/>
      <c r="N7" s="280" t="s">
        <v>96</v>
      </c>
      <c r="O7" s="282" t="str">
        <f>C1&amp;"_VEL"</f>
        <v>DE635_VEL</v>
      </c>
      <c r="P7" s="282" t="e">
        <f>D68</f>
        <v>#VALUE!</v>
      </c>
      <c r="Q7" s="282" t="s">
        <v>0</v>
      </c>
      <c r="R7" s="282"/>
      <c r="S7" s="282"/>
      <c r="T7" s="282"/>
      <c r="U7" s="282"/>
      <c r="V7" s="282" t="str">
        <f>C1&amp;"_SW"</f>
        <v>DE635_SW</v>
      </c>
      <c r="W7" s="286" t="e">
        <f>C8</f>
        <v>#VALUE!</v>
      </c>
    </row>
    <row r="8" spans="2:258" ht="18.75" x14ac:dyDescent="0.3">
      <c r="B8" s="382" t="s">
        <v>74</v>
      </c>
      <c r="C8" s="383" t="e">
        <f>CEILING(D3/120,1)</f>
        <v>#VALUE!</v>
      </c>
      <c r="D8" s="383"/>
      <c r="E8" s="383" t="s">
        <v>75</v>
      </c>
      <c r="F8" s="384" t="e">
        <f>CEILING(IF(C9&lt;=72,D4/120,D4/72),1)</f>
        <v>#VALUE!</v>
      </c>
      <c r="G8" s="277"/>
      <c r="N8" s="280" t="s">
        <v>94</v>
      </c>
      <c r="O8" s="282" t="str">
        <f>C1&amp;"_Intake"</f>
        <v>DE635_Intake</v>
      </c>
      <c r="P8" s="282" t="e">
        <f>D69</f>
        <v>#VALUE!</v>
      </c>
      <c r="Q8" s="282" t="s">
        <v>99</v>
      </c>
      <c r="R8" s="282"/>
      <c r="S8" s="282"/>
      <c r="T8" s="282"/>
      <c r="U8" s="282"/>
      <c r="V8" s="282" t="str">
        <f>C1&amp;"_SH"</f>
        <v>DE635_SH</v>
      </c>
      <c r="W8" s="286" t="e">
        <f>F8</f>
        <v>#VALUE!</v>
      </c>
    </row>
    <row r="9" spans="2:258" ht="18.75" x14ac:dyDescent="0.3">
      <c r="B9" s="382" t="s">
        <v>72</v>
      </c>
      <c r="C9" s="383" t="e">
        <f>D3/C8</f>
        <v>#VALUE!</v>
      </c>
      <c r="D9" s="383"/>
      <c r="E9" s="383" t="s">
        <v>63</v>
      </c>
      <c r="F9" s="384" t="e">
        <f>D4/F8</f>
        <v>#VALUE!</v>
      </c>
      <c r="G9" s="277"/>
      <c r="N9" s="280" t="s">
        <v>95</v>
      </c>
      <c r="O9" s="282" t="str">
        <f>C1&amp;"_Exhaust"</f>
        <v>DE635_Exhaust</v>
      </c>
      <c r="P9" s="282" t="e">
        <f>D70</f>
        <v>#VALUE!</v>
      </c>
      <c r="Q9" s="282" t="s">
        <v>99</v>
      </c>
      <c r="R9" s="282"/>
      <c r="S9" s="282"/>
      <c r="T9" s="282"/>
      <c r="U9" s="282"/>
      <c r="V9" s="282"/>
      <c r="W9" s="291"/>
    </row>
    <row r="10" spans="2:258" ht="18.75" x14ac:dyDescent="0.3">
      <c r="B10" s="382"/>
      <c r="C10" s="383"/>
      <c r="D10" s="383"/>
      <c r="E10" s="383"/>
      <c r="F10" s="384"/>
      <c r="G10" s="277"/>
      <c r="N10" s="280" t="s">
        <v>100</v>
      </c>
      <c r="O10" s="282" t="str">
        <f>C1&amp;"_SEC"</f>
        <v>DE635_SEC</v>
      </c>
      <c r="P10" s="282" t="e">
        <f>C11</f>
        <v>#VALUE!</v>
      </c>
      <c r="Q10" s="282"/>
      <c r="R10" s="282"/>
      <c r="S10" s="282"/>
      <c r="T10" s="282"/>
      <c r="U10" s="282"/>
      <c r="V10" s="282"/>
      <c r="W10" s="291"/>
    </row>
    <row r="11" spans="2:258" ht="18.75" x14ac:dyDescent="0.3">
      <c r="B11" s="382" t="s">
        <v>76</v>
      </c>
      <c r="C11" s="383" t="e">
        <f>C8*F8</f>
        <v>#VALUE!</v>
      </c>
      <c r="D11" s="383"/>
      <c r="E11" s="383" t="s">
        <v>164</v>
      </c>
      <c r="F11" s="384">
        <v>9</v>
      </c>
      <c r="G11" s="277"/>
      <c r="N11" s="280" t="s">
        <v>97</v>
      </c>
      <c r="O11" s="282" t="str">
        <f>C1&amp;"_SECW"</f>
        <v>DE635_SECW</v>
      </c>
      <c r="P11" s="364" t="e">
        <f>AB79</f>
        <v>#VALUE!</v>
      </c>
      <c r="Q11" s="282" t="s">
        <v>86</v>
      </c>
      <c r="R11" s="282"/>
      <c r="S11" s="282"/>
      <c r="T11" s="282"/>
      <c r="U11" s="282"/>
      <c r="V11" s="282"/>
      <c r="W11" s="291"/>
    </row>
    <row r="12" spans="2:258" ht="18.75" x14ac:dyDescent="0.3">
      <c r="B12" s="48"/>
      <c r="C12" s="47"/>
      <c r="D12" s="47"/>
      <c r="E12" s="383" t="s">
        <v>165</v>
      </c>
      <c r="F12" s="384">
        <v>10.125</v>
      </c>
      <c r="N12" s="280" t="s">
        <v>98</v>
      </c>
      <c r="O12" s="282" t="str">
        <f>C1&amp;"_TW"</f>
        <v>DE635_TW</v>
      </c>
      <c r="P12" s="364" t="e">
        <f>AB78</f>
        <v>#VALUE!</v>
      </c>
      <c r="Q12" s="282" t="s">
        <v>86</v>
      </c>
      <c r="R12" s="47"/>
      <c r="S12" s="47"/>
      <c r="T12" s="47"/>
      <c r="U12" s="47"/>
      <c r="V12" s="47"/>
      <c r="W12" s="278"/>
    </row>
    <row r="13" spans="2:258" ht="18.75" x14ac:dyDescent="0.3">
      <c r="B13" s="48"/>
      <c r="C13" s="47"/>
      <c r="D13" s="47"/>
      <c r="E13" s="383"/>
      <c r="F13" s="384"/>
      <c r="N13" s="280" t="s">
        <v>280</v>
      </c>
      <c r="O13" s="282" t="str">
        <f>$C$1&amp;"_FACEAREA"</f>
        <v>DE635_FACEAREA</v>
      </c>
      <c r="P13" s="364" t="e">
        <f>J3</f>
        <v>#VALUE!</v>
      </c>
      <c r="Q13" s="282" t="s">
        <v>45</v>
      </c>
      <c r="R13" s="47"/>
      <c r="S13" s="47"/>
      <c r="T13" s="47"/>
      <c r="U13" s="47"/>
      <c r="V13" s="47"/>
      <c r="W13" s="278"/>
    </row>
    <row r="14" spans="2:258" ht="19.5" thickBot="1" x14ac:dyDescent="0.35">
      <c r="B14" s="48"/>
      <c r="C14" s="47"/>
      <c r="D14" s="47"/>
      <c r="E14" s="383"/>
      <c r="F14" s="384"/>
      <c r="N14" s="281" t="s">
        <v>277</v>
      </c>
      <c r="O14" s="395" t="str">
        <f>$C$1&amp;"_FACEVEL"</f>
        <v>DE635_FACEVEL</v>
      </c>
      <c r="P14" s="472" t="e">
        <f>J4</f>
        <v>#VALUE!</v>
      </c>
      <c r="Q14" s="395" t="s">
        <v>0</v>
      </c>
      <c r="R14" s="50"/>
      <c r="S14" s="50"/>
      <c r="T14" s="50"/>
      <c r="U14" s="50"/>
      <c r="V14" s="50"/>
      <c r="W14" s="279"/>
    </row>
    <row r="15" spans="2:258" ht="15.75" thickBot="1" x14ac:dyDescent="0.3">
      <c r="B15" s="49"/>
      <c r="C15" s="50"/>
      <c r="D15" s="50"/>
      <c r="E15" s="50"/>
      <c r="F15" s="279"/>
    </row>
    <row r="16" spans="2:258" ht="27.75" thickTop="1" thickBot="1" x14ac:dyDescent="0.45">
      <c r="B16" s="93" t="s">
        <v>62</v>
      </c>
      <c r="C16" s="94"/>
      <c r="D16" s="292"/>
      <c r="E16" s="907" t="s">
        <v>124</v>
      </c>
      <c r="F16" s="908"/>
      <c r="G16" s="908"/>
      <c r="H16" s="908"/>
      <c r="I16" s="908"/>
      <c r="J16" s="908"/>
      <c r="K16" s="908"/>
      <c r="L16" s="908"/>
      <c r="M16" s="908"/>
      <c r="N16" s="908"/>
      <c r="O16" s="908"/>
      <c r="P16" s="908"/>
      <c r="Q16" s="908"/>
      <c r="R16" s="908"/>
      <c r="S16" s="908"/>
      <c r="T16" s="908"/>
      <c r="U16" s="908"/>
      <c r="V16" s="908"/>
      <c r="W16" s="909"/>
      <c r="X16" s="292"/>
      <c r="Y16" s="95"/>
      <c r="AT16" s="886" t="s">
        <v>7</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thickBot="1" x14ac:dyDescent="0.3">
      <c r="B17" s="66"/>
      <c r="C17" s="68"/>
      <c r="D17" s="68">
        <f>F11</f>
        <v>9</v>
      </c>
      <c r="E17" s="68">
        <v>12</v>
      </c>
      <c r="F17" s="68">
        <f>E17+6</f>
        <v>18</v>
      </c>
      <c r="G17" s="68">
        <f>F17+6</f>
        <v>24</v>
      </c>
      <c r="H17" s="68">
        <f>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0">
        <v>1</v>
      </c>
      <c r="D18" s="224">
        <v>2</v>
      </c>
      <c r="E18" s="218">
        <v>3</v>
      </c>
      <c r="F18" s="218">
        <v>4</v>
      </c>
      <c r="G18" s="222">
        <v>5</v>
      </c>
      <c r="H18" s="218">
        <v>6</v>
      </c>
      <c r="I18" s="222">
        <v>7</v>
      </c>
      <c r="J18" s="218">
        <v>8</v>
      </c>
      <c r="K18" s="222">
        <v>9</v>
      </c>
      <c r="L18" s="218">
        <v>10</v>
      </c>
      <c r="M18" s="222">
        <v>11</v>
      </c>
      <c r="N18" s="218">
        <v>12</v>
      </c>
      <c r="O18" s="222">
        <v>13</v>
      </c>
      <c r="P18" s="218">
        <v>14</v>
      </c>
      <c r="Q18" s="222">
        <v>15</v>
      </c>
      <c r="R18" s="218">
        <v>16</v>
      </c>
      <c r="S18" s="222">
        <v>17</v>
      </c>
      <c r="T18" s="218">
        <v>18</v>
      </c>
      <c r="U18" s="222">
        <v>19</v>
      </c>
      <c r="V18" s="218">
        <v>20</v>
      </c>
      <c r="W18" s="222">
        <v>21</v>
      </c>
      <c r="X18" s="64"/>
      <c r="Y18" s="65"/>
      <c r="AT18" s="4"/>
      <c r="AU18" s="889" t="s">
        <v>17</v>
      </c>
      <c r="AV18" s="890"/>
      <c r="AW18" s="212"/>
      <c r="AX18" s="212"/>
      <c r="AY18" s="212"/>
      <c r="AZ18" s="212"/>
      <c r="BA18" s="212"/>
      <c r="BB18" s="212"/>
      <c r="BC18" s="212"/>
      <c r="BD18" s="212"/>
      <c r="BE18" s="212"/>
      <c r="BF18" s="212"/>
      <c r="BG18" s="212"/>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10.125</v>
      </c>
      <c r="C19" s="223">
        <v>2</v>
      </c>
      <c r="D19" s="99">
        <f t="shared" ref="D19:D38" si="0">AX22/((E$17*B19)/144)</f>
        <v>0.15988477366255147</v>
      </c>
      <c r="E19" s="100">
        <f t="shared" ref="E19:E38" si="1">BH22/((E$17*B19)/144)</f>
        <v>0.2470946502057613</v>
      </c>
      <c r="F19" s="100">
        <f t="shared" ref="F19:F38" si="2">BR22/((F$17*$B19)/144)</f>
        <v>0.28100960219478738</v>
      </c>
      <c r="G19" s="100">
        <f t="shared" ref="G19:G38" si="3">CB22/((G$17*$B19)/144)</f>
        <v>0.29796707818930046</v>
      </c>
      <c r="H19" s="100">
        <f t="shared" ref="H19:H38" si="4">CL22/((H$17*$B19)/144)</f>
        <v>0.30814156378600827</v>
      </c>
      <c r="I19" s="100">
        <f t="shared" ref="I19:I38" si="5">CV22/((I$17*$B19)/144)</f>
        <v>0.31492455418381349</v>
      </c>
      <c r="J19" s="100">
        <f t="shared" ref="J19:J38" si="6">DF22/((J$17*$B19)/144)</f>
        <v>0.31976954732510288</v>
      </c>
      <c r="K19" s="100">
        <f t="shared" ref="K19:K38" si="7">DP22/((K$17*$B19)/144)</f>
        <v>0.32340329218106995</v>
      </c>
      <c r="L19" s="100">
        <f t="shared" ref="L19:L38" si="8">DZ22/((L$17*$B19)/144)</f>
        <v>0.31976954732510293</v>
      </c>
      <c r="M19" s="100">
        <f t="shared" ref="M19:M38" si="9">EJ22/((M$17*$B19)/144)</f>
        <v>0.3226765432098766</v>
      </c>
      <c r="N19" s="100">
        <f t="shared" ref="N19:N38" si="10">ET22/((N$17*$B19)/144)</f>
        <v>0.32505499438832769</v>
      </c>
      <c r="O19" s="100">
        <f t="shared" ref="O19:O38" si="11">FD22/((O$17*$B19)/144)</f>
        <v>0.32643141289437583</v>
      </c>
      <c r="P19" s="100">
        <f t="shared" ref="P19:P30" si="12">FN22/((P$17*$B19)/144)</f>
        <v>0.32815511237733463</v>
      </c>
      <c r="Q19" s="100">
        <f t="shared" ref="Q19:Q30" si="13">FX22/((Q$17*$B19)/144)</f>
        <v>0.32963256907701355</v>
      </c>
      <c r="R19" s="100">
        <f t="shared" ref="R19:R30" si="14">GH22/((R$17*$B19)/144)</f>
        <v>0.33091303155006863</v>
      </c>
      <c r="S19" s="100">
        <f t="shared" ref="S19:S30" si="15">GR22/((S$17*$B19)/144)</f>
        <v>0.33203343621399173</v>
      </c>
      <c r="T19" s="100">
        <f t="shared" ref="T19:T30" si="16">HB22/((T$17*$B19)/144)</f>
        <v>0.33302202856451218</v>
      </c>
      <c r="U19" s="100">
        <f t="shared" ref="U19:U30" si="17">HL22/((U$17*$B19)/144)</f>
        <v>0.32744078646547786</v>
      </c>
      <c r="V19" s="100">
        <f t="shared" ref="V19:V30" si="18">HV22/((V$17*$B19)/144)</f>
        <v>0.32856703487112843</v>
      </c>
      <c r="W19" s="100">
        <f t="shared" ref="W19:W30" si="19">IF22/((W$17*$B19)/144)</f>
        <v>0.32958065843621398</v>
      </c>
      <c r="X19" s="64"/>
      <c r="Y19" s="65"/>
      <c r="AT19" s="4"/>
      <c r="AU19" s="891"/>
      <c r="AV19" s="892"/>
      <c r="AW19" s="213"/>
      <c r="AX19" s="213"/>
      <c r="AY19" s="213"/>
      <c r="AZ19" s="213"/>
      <c r="BA19" s="213"/>
      <c r="BB19" s="213"/>
      <c r="BC19" s="213"/>
      <c r="BD19" s="213"/>
      <c r="BE19" s="213"/>
      <c r="BF19" s="213"/>
      <c r="BG19" s="213"/>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1">
        <v>3</v>
      </c>
      <c r="D20" s="98">
        <f t="shared" si="0"/>
        <v>0.20109375000000002</v>
      </c>
      <c r="E20" s="96">
        <f t="shared" si="1"/>
        <v>0.31078125000000001</v>
      </c>
      <c r="F20" s="96">
        <f t="shared" si="2"/>
        <v>0.35343750000000002</v>
      </c>
      <c r="G20" s="96">
        <f t="shared" si="3"/>
        <v>0.37476562499999999</v>
      </c>
      <c r="H20" s="96">
        <f t="shared" si="4"/>
        <v>0.38756250000000003</v>
      </c>
      <c r="I20" s="96">
        <f t="shared" si="5"/>
        <v>0.39609375000000008</v>
      </c>
      <c r="J20" s="96">
        <f t="shared" si="6"/>
        <v>0.40218750000000003</v>
      </c>
      <c r="K20" s="96">
        <f t="shared" si="7"/>
        <v>0.40675781250000004</v>
      </c>
      <c r="L20" s="96">
        <f t="shared" si="8"/>
        <v>0.40218749999999998</v>
      </c>
      <c r="M20" s="96">
        <f t="shared" si="9"/>
        <v>0.40584375</v>
      </c>
      <c r="N20" s="96">
        <f t="shared" si="10"/>
        <v>0.40883522727272725</v>
      </c>
      <c r="O20" s="96">
        <f t="shared" si="11"/>
        <v>0.41056640625000007</v>
      </c>
      <c r="P20" s="96">
        <f t="shared" si="12"/>
        <v>0.41273437500000004</v>
      </c>
      <c r="Q20" s="96">
        <f t="shared" si="13"/>
        <v>0.41459263392857154</v>
      </c>
      <c r="R20" s="96">
        <f t="shared" si="14"/>
        <v>0.41620312500000006</v>
      </c>
      <c r="S20" s="96">
        <f t="shared" si="15"/>
        <v>0.41761230468750005</v>
      </c>
      <c r="T20" s="96">
        <f t="shared" si="16"/>
        <v>0.41885569852941179</v>
      </c>
      <c r="U20" s="96">
        <f t="shared" si="17"/>
        <v>0.41183593750000008</v>
      </c>
      <c r="V20" s="96">
        <f t="shared" si="18"/>
        <v>0.4132524671052632</v>
      </c>
      <c r="W20" s="96">
        <f t="shared" si="19"/>
        <v>0.41452734375</v>
      </c>
      <c r="X20" s="96"/>
      <c r="Y20" s="97"/>
      <c r="AT20" s="4"/>
      <c r="AU20" s="893"/>
      <c r="AV20" s="894"/>
      <c r="AW20" s="12"/>
      <c r="AX20" s="12">
        <v>9</v>
      </c>
      <c r="AY20" s="12" t="str">
        <f>"("&amp;ROUND(AX20*25.4/50,0)*50&amp;")"</f>
        <v>(250)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0"/>
        <v>0.2223171296296296</v>
      </c>
      <c r="E21" s="96">
        <f t="shared" si="1"/>
        <v>0.34358101851851847</v>
      </c>
      <c r="F21" s="96">
        <f t="shared" si="2"/>
        <v>0.39073919753086417</v>
      </c>
      <c r="G21" s="96">
        <f t="shared" si="3"/>
        <v>0.41431828703703705</v>
      </c>
      <c r="H21" s="96">
        <f t="shared" si="4"/>
        <v>0.42846574074074073</v>
      </c>
      <c r="I21" s="96">
        <f t="shared" si="5"/>
        <v>0.43789737654320987</v>
      </c>
      <c r="J21" s="96">
        <f t="shared" si="6"/>
        <v>0.44463425925925926</v>
      </c>
      <c r="K21" s="96">
        <f t="shared" si="7"/>
        <v>0.44968692129629623</v>
      </c>
      <c r="L21" s="96">
        <f t="shared" si="8"/>
        <v>0.44463425925925926</v>
      </c>
      <c r="M21" s="96">
        <f t="shared" si="9"/>
        <v>0.44867638888888889</v>
      </c>
      <c r="N21" s="96">
        <f t="shared" si="10"/>
        <v>0.45198358585858589</v>
      </c>
      <c r="O21" s="96">
        <f t="shared" si="11"/>
        <v>0.45389747299382716</v>
      </c>
      <c r="P21" s="96">
        <f t="shared" si="12"/>
        <v>0.45629424857549861</v>
      </c>
      <c r="Q21" s="96">
        <f t="shared" si="13"/>
        <v>0.45834862764550255</v>
      </c>
      <c r="R21" s="96">
        <f t="shared" si="14"/>
        <v>0.46012908950617287</v>
      </c>
      <c r="S21" s="96">
        <f t="shared" si="15"/>
        <v>0.4616869936342593</v>
      </c>
      <c r="T21" s="96">
        <f t="shared" si="16"/>
        <v>0.46306161492374726</v>
      </c>
      <c r="U21" s="96">
        <f t="shared" si="17"/>
        <v>0.45530099022633752</v>
      </c>
      <c r="V21" s="96">
        <f t="shared" si="18"/>
        <v>0.45686701998050683</v>
      </c>
      <c r="W21" s="96">
        <f t="shared" si="19"/>
        <v>0.45827644675925927</v>
      </c>
      <c r="X21" s="64"/>
      <c r="Y21" s="65"/>
      <c r="AT21" s="4"/>
      <c r="AU21" s="210"/>
      <c r="AV21" s="215"/>
      <c r="AW21" s="214"/>
      <c r="AX21" s="214"/>
      <c r="AY21" s="214">
        <v>0</v>
      </c>
      <c r="AZ21" s="12">
        <f t="shared" ref="AZ21" si="20">AY21+1</f>
        <v>1</v>
      </c>
      <c r="BA21" s="12">
        <f t="shared" ref="BA21" si="21">AZ21+1</f>
        <v>2</v>
      </c>
      <c r="BB21" s="12">
        <f t="shared" ref="BB21" si="22">BA21+1</f>
        <v>3</v>
      </c>
      <c r="BC21" s="12">
        <f t="shared" ref="BC21" si="23">BB21+1</f>
        <v>4</v>
      </c>
      <c r="BD21" s="12">
        <f t="shared" ref="BD21" si="24">BC21+1</f>
        <v>5</v>
      </c>
      <c r="BE21" s="12">
        <f t="shared" ref="BE21" si="25">BD21+1</f>
        <v>6</v>
      </c>
      <c r="BF21" s="12">
        <f t="shared" ref="BF21" si="26">BE21+1</f>
        <v>7</v>
      </c>
      <c r="BG21" s="12">
        <f t="shared" ref="BG21" si="27">BF21+1</f>
        <v>8</v>
      </c>
      <c r="BH21" s="11">
        <v>6</v>
      </c>
      <c r="BI21" s="12">
        <f>BH21+1</f>
        <v>7</v>
      </c>
      <c r="BJ21" s="12">
        <f t="shared" ref="BJ21:DU21" si="28">BI21+1</f>
        <v>8</v>
      </c>
      <c r="BK21" s="12">
        <f t="shared" si="28"/>
        <v>9</v>
      </c>
      <c r="BL21" s="12">
        <f t="shared" si="28"/>
        <v>10</v>
      </c>
      <c r="BM21" s="12">
        <f t="shared" si="28"/>
        <v>11</v>
      </c>
      <c r="BN21" s="12">
        <f t="shared" si="28"/>
        <v>12</v>
      </c>
      <c r="BO21" s="12">
        <f t="shared" si="28"/>
        <v>13</v>
      </c>
      <c r="BP21" s="12">
        <f t="shared" si="28"/>
        <v>14</v>
      </c>
      <c r="BQ21" s="12">
        <f t="shared" si="28"/>
        <v>15</v>
      </c>
      <c r="BR21" s="12">
        <f t="shared" si="28"/>
        <v>16</v>
      </c>
      <c r="BS21" s="12">
        <f t="shared" si="28"/>
        <v>17</v>
      </c>
      <c r="BT21" s="12">
        <f t="shared" si="28"/>
        <v>18</v>
      </c>
      <c r="BU21" s="12">
        <f t="shared" si="28"/>
        <v>19</v>
      </c>
      <c r="BV21" s="12">
        <f t="shared" si="28"/>
        <v>20</v>
      </c>
      <c r="BW21" s="12">
        <f t="shared" si="28"/>
        <v>21</v>
      </c>
      <c r="BX21" s="12">
        <f t="shared" si="28"/>
        <v>22</v>
      </c>
      <c r="BY21" s="12">
        <f t="shared" si="28"/>
        <v>23</v>
      </c>
      <c r="BZ21" s="12">
        <f t="shared" si="28"/>
        <v>24</v>
      </c>
      <c r="CA21" s="12">
        <f t="shared" si="28"/>
        <v>25</v>
      </c>
      <c r="CB21" s="12">
        <f t="shared" si="28"/>
        <v>26</v>
      </c>
      <c r="CC21" s="12">
        <f t="shared" si="28"/>
        <v>27</v>
      </c>
      <c r="CD21" s="12">
        <f t="shared" si="28"/>
        <v>28</v>
      </c>
      <c r="CE21" s="12">
        <f t="shared" si="28"/>
        <v>29</v>
      </c>
      <c r="CF21" s="12">
        <f t="shared" si="28"/>
        <v>30</v>
      </c>
      <c r="CG21" s="12">
        <f t="shared" si="28"/>
        <v>31</v>
      </c>
      <c r="CH21" s="12">
        <f t="shared" si="28"/>
        <v>32</v>
      </c>
      <c r="CI21" s="12">
        <f t="shared" si="28"/>
        <v>33</v>
      </c>
      <c r="CJ21" s="12">
        <f t="shared" si="28"/>
        <v>34</v>
      </c>
      <c r="CK21" s="12">
        <f t="shared" si="28"/>
        <v>35</v>
      </c>
      <c r="CL21" s="12">
        <f t="shared" si="28"/>
        <v>36</v>
      </c>
      <c r="CM21" s="12">
        <f t="shared" si="28"/>
        <v>37</v>
      </c>
      <c r="CN21" s="12">
        <f t="shared" si="28"/>
        <v>38</v>
      </c>
      <c r="CO21" s="12">
        <f t="shared" si="28"/>
        <v>39</v>
      </c>
      <c r="CP21" s="12">
        <f t="shared" si="28"/>
        <v>40</v>
      </c>
      <c r="CQ21" s="12">
        <f t="shared" si="28"/>
        <v>41</v>
      </c>
      <c r="CR21" s="12">
        <f t="shared" si="28"/>
        <v>42</v>
      </c>
      <c r="CS21" s="12">
        <f t="shared" si="28"/>
        <v>43</v>
      </c>
      <c r="CT21" s="12">
        <f t="shared" si="28"/>
        <v>44</v>
      </c>
      <c r="CU21" s="12">
        <f t="shared" si="28"/>
        <v>45</v>
      </c>
      <c r="CV21" s="12">
        <f t="shared" si="28"/>
        <v>46</v>
      </c>
      <c r="CW21" s="12">
        <f t="shared" si="28"/>
        <v>47</v>
      </c>
      <c r="CX21" s="12">
        <f t="shared" si="28"/>
        <v>48</v>
      </c>
      <c r="CY21" s="12">
        <f t="shared" si="28"/>
        <v>49</v>
      </c>
      <c r="CZ21" s="12">
        <f t="shared" si="28"/>
        <v>50</v>
      </c>
      <c r="DA21" s="12">
        <f t="shared" si="28"/>
        <v>51</v>
      </c>
      <c r="DB21" s="12">
        <f t="shared" si="28"/>
        <v>52</v>
      </c>
      <c r="DC21" s="12">
        <f t="shared" si="28"/>
        <v>53</v>
      </c>
      <c r="DD21" s="12">
        <f t="shared" si="28"/>
        <v>54</v>
      </c>
      <c r="DE21" s="12">
        <f t="shared" si="28"/>
        <v>55</v>
      </c>
      <c r="DF21" s="12">
        <f t="shared" si="28"/>
        <v>56</v>
      </c>
      <c r="DG21" s="12">
        <f t="shared" si="28"/>
        <v>57</v>
      </c>
      <c r="DH21" s="12">
        <f t="shared" si="28"/>
        <v>58</v>
      </c>
      <c r="DI21" s="12">
        <f t="shared" si="28"/>
        <v>59</v>
      </c>
      <c r="DJ21" s="12">
        <f t="shared" si="28"/>
        <v>60</v>
      </c>
      <c r="DK21" s="12">
        <f t="shared" si="28"/>
        <v>61</v>
      </c>
      <c r="DL21" s="12">
        <f t="shared" si="28"/>
        <v>62</v>
      </c>
      <c r="DM21" s="12">
        <f t="shared" si="28"/>
        <v>63</v>
      </c>
      <c r="DN21" s="12">
        <f t="shared" si="28"/>
        <v>64</v>
      </c>
      <c r="DO21" s="12">
        <f t="shared" si="28"/>
        <v>65</v>
      </c>
      <c r="DP21" s="12">
        <f t="shared" si="28"/>
        <v>66</v>
      </c>
      <c r="DQ21" s="12">
        <f t="shared" si="28"/>
        <v>67</v>
      </c>
      <c r="DR21" s="12">
        <f t="shared" si="28"/>
        <v>68</v>
      </c>
      <c r="DS21" s="12">
        <f t="shared" si="28"/>
        <v>69</v>
      </c>
      <c r="DT21" s="12">
        <f t="shared" si="28"/>
        <v>70</v>
      </c>
      <c r="DU21" s="12">
        <f t="shared" si="28"/>
        <v>71</v>
      </c>
      <c r="DV21" s="12">
        <f t="shared" ref="DV21:GG21" si="29">DU21+1</f>
        <v>72</v>
      </c>
      <c r="DW21" s="12">
        <f t="shared" si="29"/>
        <v>73</v>
      </c>
      <c r="DX21" s="12">
        <f t="shared" si="29"/>
        <v>74</v>
      </c>
      <c r="DY21" s="12">
        <f t="shared" si="29"/>
        <v>75</v>
      </c>
      <c r="DZ21" s="12">
        <f t="shared" si="29"/>
        <v>76</v>
      </c>
      <c r="EA21" s="12">
        <f t="shared" si="29"/>
        <v>77</v>
      </c>
      <c r="EB21" s="12">
        <f t="shared" si="29"/>
        <v>78</v>
      </c>
      <c r="EC21" s="12">
        <f t="shared" si="29"/>
        <v>79</v>
      </c>
      <c r="ED21" s="12">
        <f t="shared" si="29"/>
        <v>80</v>
      </c>
      <c r="EE21" s="12">
        <f t="shared" si="29"/>
        <v>81</v>
      </c>
      <c r="EF21" s="12">
        <f t="shared" si="29"/>
        <v>82</v>
      </c>
      <c r="EG21" s="12">
        <f t="shared" si="29"/>
        <v>83</v>
      </c>
      <c r="EH21" s="12">
        <f t="shared" si="29"/>
        <v>84</v>
      </c>
      <c r="EI21" s="12">
        <f t="shared" si="29"/>
        <v>85</v>
      </c>
      <c r="EJ21" s="12">
        <f t="shared" si="29"/>
        <v>86</v>
      </c>
      <c r="EK21" s="12">
        <f t="shared" si="29"/>
        <v>87</v>
      </c>
      <c r="EL21" s="12">
        <f t="shared" si="29"/>
        <v>88</v>
      </c>
      <c r="EM21" s="12">
        <f t="shared" si="29"/>
        <v>89</v>
      </c>
      <c r="EN21" s="12">
        <f t="shared" si="29"/>
        <v>90</v>
      </c>
      <c r="EO21" s="12">
        <f t="shared" si="29"/>
        <v>91</v>
      </c>
      <c r="EP21" s="12">
        <f t="shared" si="29"/>
        <v>92</v>
      </c>
      <c r="EQ21" s="12">
        <f t="shared" si="29"/>
        <v>93</v>
      </c>
      <c r="ER21" s="12">
        <f t="shared" si="29"/>
        <v>94</v>
      </c>
      <c r="ES21" s="12">
        <f t="shared" si="29"/>
        <v>95</v>
      </c>
      <c r="ET21" s="12">
        <f t="shared" si="29"/>
        <v>96</v>
      </c>
      <c r="EU21" s="12">
        <f t="shared" si="29"/>
        <v>97</v>
      </c>
      <c r="EV21" s="12">
        <f t="shared" si="29"/>
        <v>98</v>
      </c>
      <c r="EW21" s="12">
        <f t="shared" si="29"/>
        <v>99</v>
      </c>
      <c r="EX21" s="12">
        <f t="shared" si="29"/>
        <v>100</v>
      </c>
      <c r="EY21" s="12">
        <f t="shared" si="29"/>
        <v>101</v>
      </c>
      <c r="EZ21" s="12">
        <f t="shared" si="29"/>
        <v>102</v>
      </c>
      <c r="FA21" s="12">
        <f t="shared" si="29"/>
        <v>103</v>
      </c>
      <c r="FB21" s="12">
        <f t="shared" si="29"/>
        <v>104</v>
      </c>
      <c r="FC21" s="12">
        <f t="shared" si="29"/>
        <v>105</v>
      </c>
      <c r="FD21" s="12">
        <f t="shared" si="29"/>
        <v>106</v>
      </c>
      <c r="FE21" s="12">
        <f t="shared" si="29"/>
        <v>107</v>
      </c>
      <c r="FF21" s="12">
        <f t="shared" si="29"/>
        <v>108</v>
      </c>
      <c r="FG21" s="12">
        <f t="shared" si="29"/>
        <v>109</v>
      </c>
      <c r="FH21" s="12">
        <f t="shared" si="29"/>
        <v>110</v>
      </c>
      <c r="FI21" s="12">
        <f t="shared" si="29"/>
        <v>111</v>
      </c>
      <c r="FJ21" s="12">
        <f t="shared" si="29"/>
        <v>112</v>
      </c>
      <c r="FK21" s="12">
        <f t="shared" si="29"/>
        <v>113</v>
      </c>
      <c r="FL21" s="12">
        <f t="shared" si="29"/>
        <v>114</v>
      </c>
      <c r="FM21" s="12">
        <f t="shared" si="29"/>
        <v>115</v>
      </c>
      <c r="FN21" s="12">
        <f t="shared" si="29"/>
        <v>116</v>
      </c>
      <c r="FO21" s="12">
        <f t="shared" si="29"/>
        <v>117</v>
      </c>
      <c r="FP21" s="12">
        <f t="shared" si="29"/>
        <v>118</v>
      </c>
      <c r="FQ21" s="12">
        <f t="shared" si="29"/>
        <v>119</v>
      </c>
      <c r="FR21" s="12">
        <f t="shared" si="29"/>
        <v>120</v>
      </c>
      <c r="FS21" s="12">
        <f t="shared" si="29"/>
        <v>121</v>
      </c>
      <c r="FT21" s="12">
        <f t="shared" si="29"/>
        <v>122</v>
      </c>
      <c r="FU21" s="12">
        <f t="shared" si="29"/>
        <v>123</v>
      </c>
      <c r="FV21" s="12">
        <f t="shared" si="29"/>
        <v>124</v>
      </c>
      <c r="FW21" s="12">
        <f t="shared" si="29"/>
        <v>125</v>
      </c>
      <c r="FX21" s="12">
        <f t="shared" si="29"/>
        <v>126</v>
      </c>
      <c r="FY21" s="12">
        <f t="shared" si="29"/>
        <v>127</v>
      </c>
      <c r="FZ21" s="12">
        <f t="shared" si="29"/>
        <v>128</v>
      </c>
      <c r="GA21" s="12">
        <f t="shared" si="29"/>
        <v>129</v>
      </c>
      <c r="GB21" s="12">
        <f t="shared" si="29"/>
        <v>130</v>
      </c>
      <c r="GC21" s="12">
        <f t="shared" si="29"/>
        <v>131</v>
      </c>
      <c r="GD21" s="12">
        <f t="shared" si="29"/>
        <v>132</v>
      </c>
      <c r="GE21" s="12">
        <f t="shared" si="29"/>
        <v>133</v>
      </c>
      <c r="GF21" s="12">
        <f t="shared" si="29"/>
        <v>134</v>
      </c>
      <c r="GG21" s="12">
        <f t="shared" si="29"/>
        <v>135</v>
      </c>
      <c r="GH21" s="12">
        <f t="shared" ref="GH21:IG21" si="30">GG21+1</f>
        <v>136</v>
      </c>
      <c r="GI21" s="12">
        <f t="shared" si="30"/>
        <v>137</v>
      </c>
      <c r="GJ21" s="12">
        <f t="shared" si="30"/>
        <v>138</v>
      </c>
      <c r="GK21" s="12">
        <f t="shared" si="30"/>
        <v>139</v>
      </c>
      <c r="GL21" s="12">
        <f t="shared" si="30"/>
        <v>140</v>
      </c>
      <c r="GM21" s="12">
        <f t="shared" si="30"/>
        <v>141</v>
      </c>
      <c r="GN21" s="12">
        <f t="shared" si="30"/>
        <v>142</v>
      </c>
      <c r="GO21" s="12">
        <f t="shared" si="30"/>
        <v>143</v>
      </c>
      <c r="GP21" s="12">
        <f t="shared" si="30"/>
        <v>144</v>
      </c>
      <c r="GQ21" s="12">
        <f t="shared" si="30"/>
        <v>145</v>
      </c>
      <c r="GR21" s="12">
        <f t="shared" si="30"/>
        <v>146</v>
      </c>
      <c r="GS21" s="12">
        <f t="shared" si="30"/>
        <v>147</v>
      </c>
      <c r="GT21" s="12">
        <f t="shared" si="30"/>
        <v>148</v>
      </c>
      <c r="GU21" s="12">
        <f t="shared" si="30"/>
        <v>149</v>
      </c>
      <c r="GV21" s="12">
        <f t="shared" si="30"/>
        <v>150</v>
      </c>
      <c r="GW21" s="12">
        <f t="shared" si="30"/>
        <v>151</v>
      </c>
      <c r="GX21" s="12">
        <f t="shared" si="30"/>
        <v>152</v>
      </c>
      <c r="GY21" s="12">
        <f t="shared" si="30"/>
        <v>153</v>
      </c>
      <c r="GZ21" s="12">
        <f t="shared" si="30"/>
        <v>154</v>
      </c>
      <c r="HA21" s="12">
        <f t="shared" si="30"/>
        <v>155</v>
      </c>
      <c r="HB21" s="12">
        <f t="shared" si="30"/>
        <v>156</v>
      </c>
      <c r="HC21" s="12">
        <f t="shared" si="30"/>
        <v>157</v>
      </c>
      <c r="HD21" s="12">
        <f t="shared" si="30"/>
        <v>158</v>
      </c>
      <c r="HE21" s="12">
        <f t="shared" si="30"/>
        <v>159</v>
      </c>
      <c r="HF21" s="12">
        <f t="shared" si="30"/>
        <v>160</v>
      </c>
      <c r="HG21" s="12">
        <f t="shared" si="30"/>
        <v>161</v>
      </c>
      <c r="HH21" s="12">
        <f t="shared" si="30"/>
        <v>162</v>
      </c>
      <c r="HI21" s="12">
        <f t="shared" si="30"/>
        <v>163</v>
      </c>
      <c r="HJ21" s="12">
        <f t="shared" si="30"/>
        <v>164</v>
      </c>
      <c r="HK21" s="12">
        <f t="shared" si="30"/>
        <v>165</v>
      </c>
      <c r="HL21" s="12">
        <f t="shared" si="30"/>
        <v>166</v>
      </c>
      <c r="HM21" s="12">
        <f t="shared" si="30"/>
        <v>167</v>
      </c>
      <c r="HN21" s="12">
        <f t="shared" si="30"/>
        <v>168</v>
      </c>
      <c r="HO21" s="12">
        <f t="shared" si="30"/>
        <v>169</v>
      </c>
      <c r="HP21" s="12">
        <f t="shared" si="30"/>
        <v>170</v>
      </c>
      <c r="HQ21" s="12">
        <f t="shared" si="30"/>
        <v>171</v>
      </c>
      <c r="HR21" s="12">
        <f t="shared" si="30"/>
        <v>172</v>
      </c>
      <c r="HS21" s="12">
        <f t="shared" si="30"/>
        <v>173</v>
      </c>
      <c r="HT21" s="12">
        <f t="shared" si="30"/>
        <v>174</v>
      </c>
      <c r="HU21" s="12">
        <f t="shared" si="30"/>
        <v>175</v>
      </c>
      <c r="HV21" s="12">
        <f t="shared" si="30"/>
        <v>176</v>
      </c>
      <c r="HW21" s="12">
        <f t="shared" si="30"/>
        <v>177</v>
      </c>
      <c r="HX21" s="12">
        <f t="shared" si="30"/>
        <v>178</v>
      </c>
      <c r="HY21" s="12">
        <f t="shared" si="30"/>
        <v>179</v>
      </c>
      <c r="HZ21" s="12">
        <f t="shared" si="30"/>
        <v>180</v>
      </c>
      <c r="IA21" s="12">
        <f t="shared" si="30"/>
        <v>181</v>
      </c>
      <c r="IB21" s="12">
        <f t="shared" si="30"/>
        <v>182</v>
      </c>
      <c r="IC21" s="12">
        <f t="shared" si="30"/>
        <v>183</v>
      </c>
      <c r="ID21" s="12">
        <f t="shared" si="30"/>
        <v>184</v>
      </c>
      <c r="IE21" s="12">
        <f t="shared" si="30"/>
        <v>185</v>
      </c>
      <c r="IF21" s="12">
        <f t="shared" si="30"/>
        <v>186</v>
      </c>
      <c r="IG21" s="12">
        <f t="shared" si="30"/>
        <v>187</v>
      </c>
      <c r="IH21" s="12">
        <f t="shared" ref="IH21" si="31">IG21+1</f>
        <v>188</v>
      </c>
      <c r="II21" s="12">
        <f t="shared" ref="II21" si="32">IH21+1</f>
        <v>189</v>
      </c>
      <c r="IJ21" s="12">
        <f t="shared" ref="IJ21" si="33">II21+1</f>
        <v>190</v>
      </c>
      <c r="IK21" s="12">
        <f t="shared" ref="IK21" si="34">IJ21+1</f>
        <v>191</v>
      </c>
      <c r="IL21" s="12">
        <f t="shared" ref="IL21" si="35">IK21+1</f>
        <v>192</v>
      </c>
      <c r="IM21" s="12">
        <f t="shared" ref="IM21" si="36">IL21+1</f>
        <v>193</v>
      </c>
      <c r="IN21" s="12">
        <f t="shared" ref="IN21" si="37">IM21+1</f>
        <v>194</v>
      </c>
      <c r="IO21" s="12">
        <f t="shared" ref="IO21" si="38">IN21+1</f>
        <v>195</v>
      </c>
      <c r="IP21" s="15"/>
      <c r="IQ21" s="16"/>
      <c r="IR21" s="16"/>
      <c r="IS21" s="16"/>
      <c r="IT21" s="16"/>
      <c r="IU21" s="16"/>
      <c r="IV21" s="16"/>
      <c r="IW21" s="16"/>
      <c r="IX21" s="8"/>
    </row>
    <row r="22" spans="2:258" ht="15.75" thickBot="1" x14ac:dyDescent="0.3">
      <c r="B22" s="103">
        <f t="shared" ref="B22:B38" si="39">B21+6</f>
        <v>24</v>
      </c>
      <c r="C22" s="221">
        <v>5</v>
      </c>
      <c r="D22" s="98">
        <f t="shared" si="0"/>
        <v>0.24973437500000001</v>
      </c>
      <c r="E22" s="96">
        <f t="shared" si="1"/>
        <v>0.38595312500000001</v>
      </c>
      <c r="F22" s="96">
        <f t="shared" si="2"/>
        <v>0.43892708333333336</v>
      </c>
      <c r="G22" s="96">
        <f t="shared" si="3"/>
        <v>0.46541406250000006</v>
      </c>
      <c r="H22" s="96">
        <f t="shared" si="4"/>
        <v>0.48130624999999999</v>
      </c>
      <c r="I22" s="96">
        <f t="shared" si="5"/>
        <v>0.49190104166666665</v>
      </c>
      <c r="J22" s="96">
        <f t="shared" si="6"/>
        <v>0.49946875000000002</v>
      </c>
      <c r="K22" s="96">
        <f t="shared" si="7"/>
        <v>0.50514453125000003</v>
      </c>
      <c r="L22" s="96">
        <f t="shared" si="8"/>
        <v>0.49946875000000002</v>
      </c>
      <c r="M22" s="96">
        <f t="shared" si="9"/>
        <v>0.50400937500000009</v>
      </c>
      <c r="N22" s="96">
        <f t="shared" si="10"/>
        <v>0.50772443181818183</v>
      </c>
      <c r="O22" s="96">
        <f t="shared" si="11"/>
        <v>0.50987434895833328</v>
      </c>
      <c r="P22" s="96">
        <f t="shared" si="12"/>
        <v>0.51256670673076921</v>
      </c>
      <c r="Q22" s="96">
        <f t="shared" si="13"/>
        <v>0.51487444196428578</v>
      </c>
      <c r="R22" s="96">
        <f t="shared" si="14"/>
        <v>0.51687447916666662</v>
      </c>
      <c r="S22" s="96">
        <f t="shared" si="15"/>
        <v>0.51862451171875001</v>
      </c>
      <c r="T22" s="96">
        <f t="shared" si="16"/>
        <v>0.52016865808823531</v>
      </c>
      <c r="U22" s="96">
        <f t="shared" si="17"/>
        <v>0.51145095486111114</v>
      </c>
      <c r="V22" s="96">
        <f t="shared" si="18"/>
        <v>0.51321011513157888</v>
      </c>
      <c r="W22" s="96">
        <f t="shared" si="19"/>
        <v>0.51479335937500004</v>
      </c>
      <c r="X22" s="64"/>
      <c r="Y22" s="65"/>
      <c r="AT22" s="4"/>
      <c r="AU22" s="219">
        <f>F12</f>
        <v>10.125</v>
      </c>
      <c r="AV22" s="12" t="str">
        <f t="shared" ref="AV22:AV41" si="40">"("&amp;ROUND(AU22*25.4/50,0)*50&amp;")"</f>
        <v>(250)</v>
      </c>
      <c r="AW22" s="214"/>
      <c r="AX22" s="20">
        <f t="shared" ref="AX22:AX41" si="41">($IR22+(($IQ22-1)*$IS22)+$IT22)*BG22/144</f>
        <v>0.13490277777777779</v>
      </c>
      <c r="AY22" s="21" t="str">
        <f t="shared" ref="AY22" si="42">"("&amp;FIXED(AX22*0.092903,2)&amp;")"</f>
        <v>(0.01)</v>
      </c>
      <c r="AZ22" s="22">
        <v>2</v>
      </c>
      <c r="BA22" s="22">
        <f t="shared" ref="BA22:BA41" si="43">$IU$23*AZ22</f>
        <v>3.5</v>
      </c>
      <c r="BB22" s="22">
        <v>0</v>
      </c>
      <c r="BC22" s="22">
        <f t="shared" ref="BC22:BC41" si="44">$IW$23*BB22</f>
        <v>0</v>
      </c>
      <c r="BD22" s="22">
        <v>0</v>
      </c>
      <c r="BE22" s="22">
        <f t="shared" ref="BE22:BE41" si="45">$IV$23*BD22</f>
        <v>0</v>
      </c>
      <c r="BF22" s="22">
        <f t="shared" ref="BF22" si="46">BA22+BC22+BE22</f>
        <v>3.5</v>
      </c>
      <c r="BG22" s="23">
        <f t="shared" ref="BG22:BG41" si="47">AX$20-BA22-BC22-BE22</f>
        <v>5.5</v>
      </c>
      <c r="BH22" s="20">
        <f t="shared" ref="BH22:BH41" si="48">($IR22+(($IQ22-1)*$IS22)+$IT22)*BQ22/144</f>
        <v>0.20848611111111109</v>
      </c>
      <c r="BI22" s="21" t="str">
        <f t="shared" ref="BI22" si="49">"("&amp;FIXED(BH22*0.092903,2)&amp;")"</f>
        <v>(0.02)</v>
      </c>
      <c r="BJ22" s="22">
        <v>2</v>
      </c>
      <c r="BK22" s="22">
        <f t="shared" ref="BK22:BK41" si="50">$IU$23*BJ22</f>
        <v>3.5</v>
      </c>
      <c r="BL22" s="22">
        <v>0</v>
      </c>
      <c r="BM22" s="22">
        <f t="shared" ref="BM22:BM41" si="51">$IW$23*BL22</f>
        <v>0</v>
      </c>
      <c r="BN22" s="22">
        <v>0</v>
      </c>
      <c r="BO22" s="22">
        <f t="shared" ref="BO22:BO41" si="52">$IV$23*BN22</f>
        <v>0</v>
      </c>
      <c r="BP22" s="22">
        <f t="shared" ref="BP22" si="53">BK22+BM22+BO22</f>
        <v>3.5</v>
      </c>
      <c r="BQ22" s="23">
        <f t="shared" ref="BQ22:BQ41" si="54">BH$20-BK22-BM22-BO22</f>
        <v>8.5</v>
      </c>
      <c r="BR22" s="20">
        <f t="shared" ref="BR22:BR41" si="55">($IR22+(($IQ22-1)*$IS22)+$IT22)*CA22/144</f>
        <v>0.35565277777777776</v>
      </c>
      <c r="BS22" s="21" t="str">
        <f t="shared" ref="BS22" si="56">"("&amp;ROUND(BR22*0.092903,2)&amp;")"</f>
        <v>(0.03)</v>
      </c>
      <c r="BT22" s="22">
        <v>2</v>
      </c>
      <c r="BU22" s="22">
        <f t="shared" ref="BU22:BU41" si="57">$IU$23*BT22</f>
        <v>3.5</v>
      </c>
      <c r="BV22" s="22">
        <v>0</v>
      </c>
      <c r="BW22" s="22">
        <f t="shared" ref="BW22:BW41" si="58">$IW$23*BV22</f>
        <v>0</v>
      </c>
      <c r="BX22" s="22">
        <v>0</v>
      </c>
      <c r="BY22" s="22">
        <f t="shared" ref="BY22:BY41" si="59">$IV$23*BX22</f>
        <v>0</v>
      </c>
      <c r="BZ22" s="22">
        <f t="shared" ref="BZ22" si="60">BU22+BW22+BY22</f>
        <v>3.5</v>
      </c>
      <c r="CA22" s="23">
        <f t="shared" ref="CA22:CA41" si="61">BR$20-BU22-BW22-BY22</f>
        <v>14.5</v>
      </c>
      <c r="CB22" s="20">
        <f t="shared" ref="CB22:CB41" si="62">($IR22+(($IQ22-1)*$IS22)+$IT22)*CK22/144</f>
        <v>0.50281944444444449</v>
      </c>
      <c r="CC22" s="21" t="str">
        <f t="shared" ref="CC22" si="63">"("&amp;ROUND(CB22*0.092903,2)&amp;")"</f>
        <v>(0.05)</v>
      </c>
      <c r="CD22" s="22">
        <v>2</v>
      </c>
      <c r="CE22" s="22">
        <f t="shared" ref="CE22:CE41" si="64">$IU$23*CD22</f>
        <v>3.5</v>
      </c>
      <c r="CF22" s="22">
        <v>0</v>
      </c>
      <c r="CG22" s="22">
        <f t="shared" ref="CG22:CG41" si="65">$IW$23*CF22</f>
        <v>0</v>
      </c>
      <c r="CH22" s="22">
        <v>0</v>
      </c>
      <c r="CI22" s="22">
        <f t="shared" ref="CI22:CI41" si="66">$IV$23*CH22</f>
        <v>0</v>
      </c>
      <c r="CJ22" s="22">
        <f t="shared" ref="CJ22" si="67">CE22+CG22+CI22</f>
        <v>3.5</v>
      </c>
      <c r="CK22" s="23">
        <f t="shared" ref="CK22:CK41" si="68">CB$20-CE22-CG22-CI22</f>
        <v>20.5</v>
      </c>
      <c r="CL22" s="20">
        <f t="shared" ref="CL22:CL41" si="69">($IR22+(($IQ22-1)*$IS22)+$IT22)*CU22/144</f>
        <v>0.64998611111111115</v>
      </c>
      <c r="CM22" s="21" t="str">
        <f t="shared" ref="CM22" si="70">"("&amp;ROUND(CL22*0.092903,2)&amp;")"</f>
        <v>(0.06)</v>
      </c>
      <c r="CN22" s="22">
        <v>2</v>
      </c>
      <c r="CO22" s="22">
        <f t="shared" ref="CO22:CO41" si="71">$IU$23*CN22</f>
        <v>3.5</v>
      </c>
      <c r="CP22" s="22">
        <v>0</v>
      </c>
      <c r="CQ22" s="22">
        <f t="shared" ref="CQ22:CQ41" si="72">$IW$23*CP22</f>
        <v>0</v>
      </c>
      <c r="CR22" s="22">
        <v>0</v>
      </c>
      <c r="CS22" s="22">
        <f t="shared" ref="CS22:CS41" si="73">$IV$23*CR22</f>
        <v>0</v>
      </c>
      <c r="CT22" s="22">
        <f t="shared" ref="CT22" si="74">CO22+CQ22+CS22</f>
        <v>3.5</v>
      </c>
      <c r="CU22" s="23">
        <f t="shared" ref="CU22:CU41" si="75">CL$20-CO22-CQ22-CS22</f>
        <v>26.5</v>
      </c>
      <c r="CV22" s="20">
        <f t="shared" ref="CV22:CV41" si="76">($IR22+(($IQ22-1)*$IS22)+$IT22)*DE22/144</f>
        <v>0.79715277777777782</v>
      </c>
      <c r="CW22" s="21" t="str">
        <f t="shared" ref="CW22" si="77">"("&amp;ROUND(CV22*0.092903,2)&amp;")"</f>
        <v>(0.07)</v>
      </c>
      <c r="CX22" s="22">
        <v>2</v>
      </c>
      <c r="CY22" s="22">
        <f t="shared" ref="CY22:CY41" si="78">$IU$23*CX22</f>
        <v>3.5</v>
      </c>
      <c r="CZ22" s="22">
        <v>0</v>
      </c>
      <c r="DA22" s="22">
        <f t="shared" ref="DA22:DA41" si="79">$IW$23*CZ22</f>
        <v>0</v>
      </c>
      <c r="DB22" s="22">
        <v>0</v>
      </c>
      <c r="DC22" s="22">
        <f t="shared" ref="DC22:DC41" si="80">$IV$23*DB22</f>
        <v>0</v>
      </c>
      <c r="DD22" s="22">
        <f t="shared" ref="DD22" si="81">CY22+DA22+DC22</f>
        <v>3.5</v>
      </c>
      <c r="DE22" s="23">
        <f t="shared" ref="DE22:DE41" si="82">CV$20-CY22-DA22-DC22</f>
        <v>32.5</v>
      </c>
      <c r="DF22" s="20">
        <f t="shared" ref="DF22:DF41" si="83">($IR22+(($IQ22-1)*$IS22)+$IT22)*DO22/144</f>
        <v>0.94431944444444449</v>
      </c>
      <c r="DG22" s="21" t="str">
        <f t="shared" ref="DG22" si="84">"("&amp;ROUND(DF22*0.092903,2)&amp;")"</f>
        <v>(0.09)</v>
      </c>
      <c r="DH22" s="22">
        <v>2</v>
      </c>
      <c r="DI22" s="22">
        <f t="shared" ref="DI22:DI41" si="85">$IU$23*DH22</f>
        <v>3.5</v>
      </c>
      <c r="DJ22" s="22">
        <v>0</v>
      </c>
      <c r="DK22" s="22">
        <f t="shared" ref="DK22:DK41" si="86">$IW$23*DJ22</f>
        <v>0</v>
      </c>
      <c r="DL22" s="22">
        <v>0</v>
      </c>
      <c r="DM22" s="22">
        <f t="shared" ref="DM22:DM41" si="87">$IV$23*DL22</f>
        <v>0</v>
      </c>
      <c r="DN22" s="22">
        <f t="shared" ref="DN22" si="88">DI22+DK22+DM22</f>
        <v>3.5</v>
      </c>
      <c r="DO22" s="23">
        <f t="shared" ref="DO22:DO41" si="89">DF$20-DI22-DK22-DM22</f>
        <v>38.5</v>
      </c>
      <c r="DP22" s="20">
        <f t="shared" ref="DP22:DP41" si="90">($IR22+(($IQ22-1)*$IS22)+$IT22)*DY22/144</f>
        <v>1.0914861111111112</v>
      </c>
      <c r="DQ22" s="21" t="str">
        <f t="shared" ref="DQ22" si="91">"("&amp;ROUND(DP22*0.092903,2)&amp;")"</f>
        <v>(0.1)</v>
      </c>
      <c r="DR22" s="22">
        <v>2</v>
      </c>
      <c r="DS22" s="22">
        <f t="shared" ref="DS22:DS41" si="92">$IU$23*DR22</f>
        <v>3.5</v>
      </c>
      <c r="DT22" s="22">
        <v>0</v>
      </c>
      <c r="DU22" s="22">
        <f t="shared" ref="DU22:DU41" si="93">$IW$23*DT22</f>
        <v>0</v>
      </c>
      <c r="DV22" s="22">
        <v>0</v>
      </c>
      <c r="DW22" s="22">
        <f t="shared" ref="DW22:DW41" si="94">$IV$23*DV22</f>
        <v>0</v>
      </c>
      <c r="DX22" s="22">
        <f t="shared" ref="DX22" si="95">DS22+DU22+DW22</f>
        <v>3.5</v>
      </c>
      <c r="DY22" s="23">
        <f t="shared" ref="DY22:DY41" si="96">DP$20-DS22-DU22-DW22</f>
        <v>44.5</v>
      </c>
      <c r="DZ22" s="20">
        <f t="shared" ref="DZ22:DZ41" si="97">($IR22+(($IQ22-1)*$IS22)+$IT22)*EI22/144</f>
        <v>1.2141250000000001</v>
      </c>
      <c r="EA22" s="21" t="str">
        <f t="shared" ref="EA22" si="98">"("&amp;FIXED(DZ22*0.092903,2)&amp;")"</f>
        <v>(0.11)</v>
      </c>
      <c r="EB22" s="22">
        <v>2</v>
      </c>
      <c r="EC22" s="22">
        <f t="shared" ref="EC22:EC41" si="99">$IU$23*EB22</f>
        <v>3.5</v>
      </c>
      <c r="ED22" s="22">
        <v>0</v>
      </c>
      <c r="EE22" s="22">
        <f t="shared" ref="EE22:EE41" si="100">$IW$23*ED22</f>
        <v>0</v>
      </c>
      <c r="EF22" s="22">
        <v>1</v>
      </c>
      <c r="EG22" s="22">
        <f t="shared" ref="EG22:EG41" si="101">$IV$23*EF22</f>
        <v>1</v>
      </c>
      <c r="EH22" s="22">
        <f t="shared" ref="EH22" si="102">EC22+EE22+EG22</f>
        <v>4.5</v>
      </c>
      <c r="EI22" s="23">
        <f t="shared" ref="EI22:EI41" si="103">DZ$20-EC22-EE22-EG22</f>
        <v>49.5</v>
      </c>
      <c r="EJ22" s="20">
        <f t="shared" ref="EJ22:EJ41" si="104">($IR22+(($IQ22-1)*$IS22)+$IT22)*ES22/144</f>
        <v>1.3612916666666668</v>
      </c>
      <c r="EK22" s="21" t="str">
        <f t="shared" ref="EK22" si="105">"("&amp;FIXED(EJ22*0.092903,2)&amp;")"</f>
        <v>(0.13)</v>
      </c>
      <c r="EL22" s="22">
        <v>2</v>
      </c>
      <c r="EM22" s="22">
        <f t="shared" ref="EM22:EM41" si="106">$IU$23*EL22</f>
        <v>3.5</v>
      </c>
      <c r="EN22" s="22">
        <v>0</v>
      </c>
      <c r="EO22" s="22">
        <f t="shared" ref="EO22:EO41" si="107">$IW$23*EN22</f>
        <v>0</v>
      </c>
      <c r="EP22" s="22">
        <v>1</v>
      </c>
      <c r="EQ22" s="22">
        <f t="shared" ref="EQ22:EQ41" si="108">$IV$23*EP22</f>
        <v>1</v>
      </c>
      <c r="ER22" s="22">
        <f t="shared" ref="ER22" si="109">EM22+EO22+EQ22</f>
        <v>4.5</v>
      </c>
      <c r="ES22" s="23">
        <f t="shared" ref="ES22:ES41" si="110">EJ$20-EM22-EO22-EQ22</f>
        <v>55.5</v>
      </c>
      <c r="ET22" s="20">
        <f t="shared" ref="ET22:ET41" si="111">($IR22+(($IQ22-1)*$IS22)+$IT22)*FC22/144</f>
        <v>1.5084583333333332</v>
      </c>
      <c r="EU22" s="21" t="str">
        <f t="shared" ref="EU22" si="112">"("&amp;FIXED(ET22*0.092903,2)&amp;")"</f>
        <v>(0.14)</v>
      </c>
      <c r="EV22" s="22">
        <v>2</v>
      </c>
      <c r="EW22" s="22">
        <f t="shared" ref="EW22:EW41" si="113">$IU$23*EV22</f>
        <v>3.5</v>
      </c>
      <c r="EX22" s="22">
        <v>0</v>
      </c>
      <c r="EY22" s="22">
        <f t="shared" ref="EY22:EY41" si="114">$IW$23*EX22</f>
        <v>0</v>
      </c>
      <c r="EZ22" s="22">
        <v>1</v>
      </c>
      <c r="FA22" s="22">
        <f t="shared" ref="FA22:FA41" si="115">$IV$23*EZ22</f>
        <v>1</v>
      </c>
      <c r="FB22" s="22">
        <f t="shared" ref="FB22" si="116">EW22+EY22+FA22</f>
        <v>4.5</v>
      </c>
      <c r="FC22" s="23">
        <f t="shared" ref="FC22:FC41" si="117">ET$20-EW22-EY22-FA22</f>
        <v>61.5</v>
      </c>
      <c r="FD22" s="20">
        <f t="shared" ref="FD22:FD41" si="118">($IR22+(($IQ22-1)*$IS22)+$IT22)*FM22/144</f>
        <v>1.6525590277777777</v>
      </c>
      <c r="FE22" s="21" t="str">
        <f t="shared" ref="FE22" si="119">"("&amp;FIXED(FD22*0.092903,2)&amp;")"</f>
        <v>(0.15)</v>
      </c>
      <c r="FF22" s="22">
        <v>2</v>
      </c>
      <c r="FG22" s="22">
        <f t="shared" ref="FG22:FG41" si="120">$IU$23*FF22</f>
        <v>3.5</v>
      </c>
      <c r="FH22" s="22">
        <v>1</v>
      </c>
      <c r="FI22" s="22">
        <f t="shared" ref="FI22:FI41" si="121">$IW$23*FH22</f>
        <v>1.125</v>
      </c>
      <c r="FJ22" s="22">
        <v>0</v>
      </c>
      <c r="FK22" s="22">
        <f t="shared" ref="FK22:FK41" si="122">$IV$23*FJ22</f>
        <v>0</v>
      </c>
      <c r="FL22" s="22">
        <f t="shared" ref="FL22" si="123">FG22+FI22+FK22</f>
        <v>4.625</v>
      </c>
      <c r="FM22" s="23">
        <f t="shared" ref="FM22:FM41" si="124">FD$20-FG22-FI22-FK22</f>
        <v>67.375</v>
      </c>
      <c r="FN22" s="20">
        <f t="shared" ref="FN22:FN33" si="125">($IR22+(($IQ22-1)*$IS22)+$IT22)*FW22/144</f>
        <v>1.7997256944444446</v>
      </c>
      <c r="FO22" s="21" t="str">
        <f t="shared" ref="FO22" si="126">"("&amp;FIXED(FN22*0.092903,2)&amp;")"</f>
        <v>(0.17)</v>
      </c>
      <c r="FP22" s="22">
        <v>2</v>
      </c>
      <c r="FQ22" s="22">
        <f t="shared" ref="FQ22:FQ33" si="127">$IU$23*FP22</f>
        <v>3.5</v>
      </c>
      <c r="FR22" s="22">
        <v>1</v>
      </c>
      <c r="FS22" s="22">
        <f t="shared" ref="FS22:FS33" si="128">$IW$23*FR22</f>
        <v>1.125</v>
      </c>
      <c r="FT22" s="22">
        <v>0</v>
      </c>
      <c r="FU22" s="22">
        <f t="shared" ref="FU22:FU33" si="129">$IV$23*FT22</f>
        <v>0</v>
      </c>
      <c r="FV22" s="22">
        <f t="shared" ref="FV22" si="130">FQ22+FS22+FU22</f>
        <v>4.625</v>
      </c>
      <c r="FW22" s="23">
        <f t="shared" ref="FW22:FW33" si="131">FN$20-FQ22-FS22-FU22</f>
        <v>73.375</v>
      </c>
      <c r="FX22" s="20">
        <f t="shared" ref="FX22:FX33" si="132">($IR22+(($IQ22-1)*$IS22)+$IT22)*GG22/144</f>
        <v>1.9468923611111113</v>
      </c>
      <c r="FY22" s="21" t="str">
        <f t="shared" ref="FY22" si="133">"("&amp;FIXED(FX22*0.092903,2)&amp;")"</f>
        <v>(0.18)</v>
      </c>
      <c r="FZ22" s="22">
        <v>2</v>
      </c>
      <c r="GA22" s="22">
        <f t="shared" ref="GA22:GA33" si="134">$IU$23*FZ22</f>
        <v>3.5</v>
      </c>
      <c r="GB22" s="22">
        <v>1</v>
      </c>
      <c r="GC22" s="22">
        <f t="shared" ref="GC22:GC33" si="135">$IW$23*GB22</f>
        <v>1.125</v>
      </c>
      <c r="GD22" s="22">
        <v>0</v>
      </c>
      <c r="GE22" s="22">
        <f t="shared" ref="GE22:GE33" si="136">$IV$23*GD22</f>
        <v>0</v>
      </c>
      <c r="GF22" s="22">
        <f t="shared" ref="GF22" si="137">GA22+GC22+GE22</f>
        <v>4.625</v>
      </c>
      <c r="GG22" s="23">
        <f t="shared" ref="GG22:GG33" si="138">FX$20-GA22-GC22-GE22</f>
        <v>79.375</v>
      </c>
      <c r="GH22" s="20">
        <f t="shared" ref="GH22:GH33" si="139">($IR22+(($IQ22-1)*$IS22)+$IT22)*GQ22/144</f>
        <v>2.094059027777778</v>
      </c>
      <c r="GI22" s="21" t="str">
        <f t="shared" ref="GI22" si="140">"("&amp;FIXED(GH22*0.092903,2)&amp;")"</f>
        <v>(0.19)</v>
      </c>
      <c r="GJ22" s="22">
        <v>2</v>
      </c>
      <c r="GK22" s="22">
        <f t="shared" ref="GK22:GK33" si="141">$IU$23*GJ22</f>
        <v>3.5</v>
      </c>
      <c r="GL22" s="22">
        <v>1</v>
      </c>
      <c r="GM22" s="22">
        <f t="shared" ref="GM22:GM33" si="142">$IW$23*GL22</f>
        <v>1.125</v>
      </c>
      <c r="GN22" s="22">
        <v>0</v>
      </c>
      <c r="GO22" s="22">
        <f t="shared" ref="GO22:GO33" si="143">$IV$23*GN22</f>
        <v>0</v>
      </c>
      <c r="GP22" s="22">
        <f t="shared" ref="GP22" si="144">GK22+GM22+GO22</f>
        <v>4.625</v>
      </c>
      <c r="GQ22" s="23">
        <f t="shared" ref="GQ22:GQ33" si="145">GH$20-GK22-GM22-GO22</f>
        <v>85.375</v>
      </c>
      <c r="GR22" s="20">
        <f t="shared" ref="GR22:GR33" si="146">($IR22+(($IQ22-1)*$IS22)+$IT22)*HA22/144</f>
        <v>2.2412256944444442</v>
      </c>
      <c r="GS22" s="21" t="str">
        <f t="shared" ref="GS22" si="147">"("&amp;FIXED(GR22*0.092903,2)&amp;")"</f>
        <v>(0.21)</v>
      </c>
      <c r="GT22" s="22">
        <v>2</v>
      </c>
      <c r="GU22" s="22">
        <f t="shared" ref="GU22:GU33" si="148">$IU$23*GT22</f>
        <v>3.5</v>
      </c>
      <c r="GV22" s="22">
        <v>1</v>
      </c>
      <c r="GW22" s="22">
        <f t="shared" ref="GW22:GW33" si="149">$IW$23*GV22</f>
        <v>1.125</v>
      </c>
      <c r="GX22" s="22">
        <v>0</v>
      </c>
      <c r="GY22" s="22">
        <f t="shared" ref="GY22:GY33" si="150">$IV$23*GX22</f>
        <v>0</v>
      </c>
      <c r="GZ22" s="22">
        <f t="shared" ref="GZ22" si="151">GU22+GW22+GY22</f>
        <v>4.625</v>
      </c>
      <c r="HA22" s="23">
        <f t="shared" ref="HA22:HA33" si="152">GR$20-GU22-GW22-GY22</f>
        <v>91.375</v>
      </c>
      <c r="HB22" s="20">
        <f t="shared" ref="HB22:HB33" si="153">($IR22+(($IQ22-1)*$IS22)+$IT22)*HK22/144</f>
        <v>2.3883923611111109</v>
      </c>
      <c r="HC22" s="21" t="str">
        <f t="shared" ref="HC22" si="154">"("&amp;FIXED(HB22*0.092903,2)&amp;")"</f>
        <v>(0.22)</v>
      </c>
      <c r="HD22" s="22">
        <v>2</v>
      </c>
      <c r="HE22" s="22">
        <f t="shared" ref="HE22:HE33" si="155">$IU$23*HD22</f>
        <v>3.5</v>
      </c>
      <c r="HF22" s="22">
        <v>1</v>
      </c>
      <c r="HG22" s="22">
        <f t="shared" ref="HG22:HG33" si="156">$IW$23*HF22</f>
        <v>1.125</v>
      </c>
      <c r="HH22" s="22">
        <v>0</v>
      </c>
      <c r="HI22" s="22">
        <f t="shared" ref="HI22:HI33" si="157">$IV$23*HH22</f>
        <v>0</v>
      </c>
      <c r="HJ22" s="22">
        <f t="shared" ref="HJ22" si="158">HE22+HG22+HI22</f>
        <v>4.625</v>
      </c>
      <c r="HK22" s="23">
        <f t="shared" ref="HK22:HK33" si="159">HB$20-HE22-HG22-HI22</f>
        <v>97.375</v>
      </c>
      <c r="HL22" s="20">
        <f t="shared" ref="HL22:HL33" si="160">($IR22+(($IQ22-1)*$IS22)+$IT22)*HU22/144</f>
        <v>2.4865034722222226</v>
      </c>
      <c r="HM22" s="21" t="str">
        <f t="shared" ref="HM22" si="161">"("&amp;FIXED(HL22*0.092903,2)&amp;")"</f>
        <v>(0.23)</v>
      </c>
      <c r="HN22" s="22">
        <v>2</v>
      </c>
      <c r="HO22" s="22">
        <f t="shared" ref="HO22:HO33" si="162">$IU$23*HN22</f>
        <v>3.5</v>
      </c>
      <c r="HP22" s="22">
        <v>1</v>
      </c>
      <c r="HQ22" s="22">
        <f t="shared" ref="HQ22:HQ33" si="163">$IW$23*HP22</f>
        <v>1.125</v>
      </c>
      <c r="HR22" s="22">
        <v>2</v>
      </c>
      <c r="HS22" s="22">
        <f t="shared" ref="HS22:HS33" si="164">$IV$23*HR22</f>
        <v>2</v>
      </c>
      <c r="HT22" s="22">
        <f t="shared" ref="HT22" si="165">HO22+HQ22+HS22</f>
        <v>6.625</v>
      </c>
      <c r="HU22" s="23">
        <f t="shared" ref="HU22:HU33" si="166">HL$20-HO22-HQ22-HS22</f>
        <v>101.375</v>
      </c>
      <c r="HV22" s="20">
        <f t="shared" ref="HV22:HV33" si="167">($IR22+(($IQ22-1)*$IS22)+$IT22)*IE22/144</f>
        <v>2.6336701388888888</v>
      </c>
      <c r="HW22" s="21" t="str">
        <f t="shared" ref="HW22" si="168">"("&amp;FIXED(HV22*0.092903,2)&amp;")"</f>
        <v>(0.24)</v>
      </c>
      <c r="HX22" s="22">
        <v>2</v>
      </c>
      <c r="HY22" s="22">
        <f t="shared" ref="HY22:HY33" si="169">$IU$23*HX22</f>
        <v>3.5</v>
      </c>
      <c r="HZ22" s="22">
        <v>1</v>
      </c>
      <c r="IA22" s="22">
        <f t="shared" ref="IA22:IA33" si="170">$IW$23*HZ22</f>
        <v>1.125</v>
      </c>
      <c r="IB22" s="22">
        <v>2</v>
      </c>
      <c r="IC22" s="22">
        <f t="shared" ref="IC22:IC33" si="171">$IV$23*IB22</f>
        <v>2</v>
      </c>
      <c r="ID22" s="22">
        <f t="shared" ref="ID22" si="172">HY22+IA22+IC22</f>
        <v>6.625</v>
      </c>
      <c r="IE22" s="23">
        <f t="shared" ref="IE22:IE33" si="173">HV$20-HY22-IA22-IC22</f>
        <v>107.375</v>
      </c>
      <c r="IF22" s="20">
        <f t="shared" ref="IF22:IF33" si="174">($IR22+(($IQ22-1)*$IS22)+$IT22)*IO22/144</f>
        <v>2.7808368055555555</v>
      </c>
      <c r="IG22" s="21" t="str">
        <f t="shared" ref="IG22" si="175">"("&amp;FIXED(IF22*0.092903,2)&amp;")"</f>
        <v>(0.26)</v>
      </c>
      <c r="IH22" s="22">
        <v>2</v>
      </c>
      <c r="II22" s="22">
        <f t="shared" ref="II22:II33" si="176">$IU$23*IH22</f>
        <v>3.5</v>
      </c>
      <c r="IJ22" s="22">
        <v>1</v>
      </c>
      <c r="IK22" s="22">
        <f t="shared" ref="IK22:IK33" si="177">$IW$23*IJ22</f>
        <v>1.125</v>
      </c>
      <c r="IL22" s="22">
        <v>2</v>
      </c>
      <c r="IM22" s="22">
        <f t="shared" ref="IM22:IM33" si="178">$IV$23*IL22</f>
        <v>2</v>
      </c>
      <c r="IN22" s="22">
        <f t="shared" ref="IN22" si="179">II22+IK22+IM22</f>
        <v>6.625</v>
      </c>
      <c r="IO22" s="23">
        <f t="shared" ref="IO22:IO33" si="180">IF$20-II22-IK22-IM22</f>
        <v>113.375</v>
      </c>
      <c r="IP22" s="15"/>
      <c r="IQ22" s="25">
        <v>1</v>
      </c>
      <c r="IR22" s="26">
        <v>3.1160000000000001</v>
      </c>
      <c r="IS22" s="26">
        <v>3.0659999999999998</v>
      </c>
      <c r="IT22" s="26">
        <v>0.41599999999999998</v>
      </c>
      <c r="IU22" s="26">
        <v>1.75</v>
      </c>
      <c r="IV22" s="26">
        <v>1</v>
      </c>
      <c r="IW22" s="26">
        <v>1.125</v>
      </c>
      <c r="IX22" s="8"/>
    </row>
    <row r="23" spans="2:258" ht="15.75" thickBot="1" x14ac:dyDescent="0.3">
      <c r="B23" s="103">
        <f t="shared" si="39"/>
        <v>30</v>
      </c>
      <c r="C23" s="221">
        <v>6</v>
      </c>
      <c r="D23" s="98">
        <f t="shared" si="0"/>
        <v>0.26780416666666668</v>
      </c>
      <c r="E23" s="96">
        <f t="shared" si="1"/>
        <v>0.41387916666666663</v>
      </c>
      <c r="F23" s="96">
        <f t="shared" si="2"/>
        <v>0.47068611111111114</v>
      </c>
      <c r="G23" s="96">
        <f t="shared" si="3"/>
        <v>0.49908958333333331</v>
      </c>
      <c r="H23" s="96">
        <f t="shared" si="4"/>
        <v>0.51613166666666677</v>
      </c>
      <c r="I23" s="96">
        <f t="shared" si="5"/>
        <v>0.52749305555555559</v>
      </c>
      <c r="J23" s="96">
        <f t="shared" si="6"/>
        <v>0.53560833333333324</v>
      </c>
      <c r="K23" s="96">
        <f t="shared" si="7"/>
        <v>0.54169479166666668</v>
      </c>
      <c r="L23" s="96">
        <f t="shared" si="8"/>
        <v>0.53560833333333335</v>
      </c>
      <c r="M23" s="96">
        <f t="shared" si="9"/>
        <v>0.54047750000000006</v>
      </c>
      <c r="N23" s="96">
        <f t="shared" si="10"/>
        <v>0.54446136363636366</v>
      </c>
      <c r="O23" s="96">
        <f t="shared" si="11"/>
        <v>0.54676684027777778</v>
      </c>
      <c r="P23" s="96">
        <f t="shared" si="12"/>
        <v>0.5496540064102563</v>
      </c>
      <c r="Q23" s="96">
        <f t="shared" si="13"/>
        <v>0.55212872023809523</v>
      </c>
      <c r="R23" s="96">
        <f t="shared" si="14"/>
        <v>0.55427347222222234</v>
      </c>
      <c r="S23" s="96">
        <f t="shared" si="15"/>
        <v>0.55615013020833337</v>
      </c>
      <c r="T23" s="96">
        <f t="shared" si="16"/>
        <v>0.55780600490196075</v>
      </c>
      <c r="U23" s="96">
        <f t="shared" si="17"/>
        <v>0.54845752314814811</v>
      </c>
      <c r="V23" s="96">
        <f t="shared" si="18"/>
        <v>0.55034396929824558</v>
      </c>
      <c r="W23" s="96">
        <f t="shared" si="19"/>
        <v>0.55204177083333339</v>
      </c>
      <c r="X23" s="64"/>
      <c r="Y23" s="65"/>
      <c r="AT23" s="4"/>
      <c r="AU23" s="14">
        <v>12</v>
      </c>
      <c r="AV23" s="12" t="str">
        <f t="shared" si="40"/>
        <v>(300)</v>
      </c>
      <c r="AW23" s="19">
        <v>8</v>
      </c>
      <c r="AX23" s="20">
        <f t="shared" si="41"/>
        <v>0.20109375000000002</v>
      </c>
      <c r="AY23" s="21" t="str">
        <f>"("&amp;FIXED(AX23*0.092903,2)&amp;")"</f>
        <v>(0.02)</v>
      </c>
      <c r="AZ23" s="22">
        <v>2</v>
      </c>
      <c r="BA23" s="22">
        <f t="shared" si="43"/>
        <v>3.5</v>
      </c>
      <c r="BB23" s="22">
        <v>0</v>
      </c>
      <c r="BC23" s="22">
        <f t="shared" si="44"/>
        <v>0</v>
      </c>
      <c r="BD23" s="22">
        <v>0</v>
      </c>
      <c r="BE23" s="22">
        <f t="shared" si="45"/>
        <v>0</v>
      </c>
      <c r="BF23" s="22">
        <f>BA23+BC23+BE23</f>
        <v>3.5</v>
      </c>
      <c r="BG23" s="23">
        <f t="shared" si="47"/>
        <v>5.5</v>
      </c>
      <c r="BH23" s="373">
        <f t="shared" si="48"/>
        <v>0.31078125000000001</v>
      </c>
      <c r="BI23" s="374" t="str">
        <f>"("&amp;FIXED(BH23*0.092903,2)&amp;")"</f>
        <v>(0.03)</v>
      </c>
      <c r="BJ23" s="375">
        <v>2</v>
      </c>
      <c r="BK23" s="375">
        <f t="shared" si="50"/>
        <v>3.5</v>
      </c>
      <c r="BL23" s="375">
        <v>0</v>
      </c>
      <c r="BM23" s="375">
        <f t="shared" si="51"/>
        <v>0</v>
      </c>
      <c r="BN23" s="375">
        <v>0</v>
      </c>
      <c r="BO23" s="375">
        <f t="shared" si="52"/>
        <v>0</v>
      </c>
      <c r="BP23" s="375">
        <f>BK23+BM23+BO23</f>
        <v>3.5</v>
      </c>
      <c r="BQ23" s="376">
        <f t="shared" si="54"/>
        <v>8.5</v>
      </c>
      <c r="BR23" s="373">
        <f t="shared" si="55"/>
        <v>0.53015625</v>
      </c>
      <c r="BS23" s="374" t="str">
        <f t="shared" ref="BS23:BS41" si="181">"("&amp;ROUND(BR23*0.092903,2)&amp;")"</f>
        <v>(0.05)</v>
      </c>
      <c r="BT23" s="375">
        <v>2</v>
      </c>
      <c r="BU23" s="375">
        <f t="shared" si="57"/>
        <v>3.5</v>
      </c>
      <c r="BV23" s="375">
        <v>0</v>
      </c>
      <c r="BW23" s="375">
        <f t="shared" si="58"/>
        <v>0</v>
      </c>
      <c r="BX23" s="375">
        <v>0</v>
      </c>
      <c r="BY23" s="375">
        <f t="shared" si="59"/>
        <v>0</v>
      </c>
      <c r="BZ23" s="375">
        <f>BU23+BW23+BY23</f>
        <v>3.5</v>
      </c>
      <c r="CA23" s="376">
        <f t="shared" si="61"/>
        <v>14.5</v>
      </c>
      <c r="CB23" s="373">
        <f t="shared" si="62"/>
        <v>0.74953124999999998</v>
      </c>
      <c r="CC23" s="374" t="str">
        <f t="shared" ref="CC23:CC41" si="182">"("&amp;ROUND(CB23*0.092903,2)&amp;")"</f>
        <v>(0.07)</v>
      </c>
      <c r="CD23" s="375">
        <v>2</v>
      </c>
      <c r="CE23" s="375">
        <f t="shared" si="64"/>
        <v>3.5</v>
      </c>
      <c r="CF23" s="375">
        <v>0</v>
      </c>
      <c r="CG23" s="375">
        <f t="shared" si="65"/>
        <v>0</v>
      </c>
      <c r="CH23" s="375">
        <v>0</v>
      </c>
      <c r="CI23" s="375">
        <f t="shared" si="66"/>
        <v>0</v>
      </c>
      <c r="CJ23" s="375">
        <f>CE23+CG23+CI23</f>
        <v>3.5</v>
      </c>
      <c r="CK23" s="376">
        <f t="shared" si="68"/>
        <v>20.5</v>
      </c>
      <c r="CL23" s="373">
        <f t="shared" si="69"/>
        <v>0.96890625000000008</v>
      </c>
      <c r="CM23" s="374" t="str">
        <f t="shared" ref="CM23:CM41" si="183">"("&amp;ROUND(CL23*0.092903,2)&amp;")"</f>
        <v>(0.09)</v>
      </c>
      <c r="CN23" s="375">
        <v>2</v>
      </c>
      <c r="CO23" s="375">
        <f t="shared" si="71"/>
        <v>3.5</v>
      </c>
      <c r="CP23" s="375">
        <v>0</v>
      </c>
      <c r="CQ23" s="375">
        <f t="shared" si="72"/>
        <v>0</v>
      </c>
      <c r="CR23" s="375">
        <v>0</v>
      </c>
      <c r="CS23" s="375">
        <f t="shared" si="73"/>
        <v>0</v>
      </c>
      <c r="CT23" s="375">
        <f>CO23+CQ23+CS23</f>
        <v>3.5</v>
      </c>
      <c r="CU23" s="376">
        <f t="shared" si="75"/>
        <v>26.5</v>
      </c>
      <c r="CV23" s="373">
        <f t="shared" si="76"/>
        <v>1.1882812500000002</v>
      </c>
      <c r="CW23" s="374" t="str">
        <f t="shared" ref="CW23:CW41" si="184">"("&amp;ROUND(CV23*0.092903,2)&amp;")"</f>
        <v>(0.11)</v>
      </c>
      <c r="CX23" s="375">
        <v>2</v>
      </c>
      <c r="CY23" s="375">
        <f t="shared" si="78"/>
        <v>3.5</v>
      </c>
      <c r="CZ23" s="375">
        <v>0</v>
      </c>
      <c r="DA23" s="375">
        <f t="shared" si="79"/>
        <v>0</v>
      </c>
      <c r="DB23" s="375">
        <v>0</v>
      </c>
      <c r="DC23" s="375">
        <f t="shared" si="80"/>
        <v>0</v>
      </c>
      <c r="DD23" s="375">
        <f>CY23+DA23+DC23</f>
        <v>3.5</v>
      </c>
      <c r="DE23" s="376">
        <f t="shared" si="82"/>
        <v>32.5</v>
      </c>
      <c r="DF23" s="373">
        <f t="shared" si="83"/>
        <v>1.4076562500000001</v>
      </c>
      <c r="DG23" s="374" t="str">
        <f t="shared" ref="DG23:DG41" si="185">"("&amp;ROUND(DF23*0.092903,2)&amp;")"</f>
        <v>(0.13)</v>
      </c>
      <c r="DH23" s="375">
        <v>2</v>
      </c>
      <c r="DI23" s="375">
        <f t="shared" si="85"/>
        <v>3.5</v>
      </c>
      <c r="DJ23" s="375">
        <v>0</v>
      </c>
      <c r="DK23" s="375">
        <f t="shared" si="86"/>
        <v>0</v>
      </c>
      <c r="DL23" s="375">
        <v>0</v>
      </c>
      <c r="DM23" s="375">
        <f t="shared" si="87"/>
        <v>0</v>
      </c>
      <c r="DN23" s="375">
        <f>DI23+DK23+DM23</f>
        <v>3.5</v>
      </c>
      <c r="DO23" s="376">
        <f t="shared" si="89"/>
        <v>38.5</v>
      </c>
      <c r="DP23" s="373">
        <f t="shared" si="90"/>
        <v>1.6270312500000002</v>
      </c>
      <c r="DQ23" s="374" t="str">
        <f t="shared" ref="DQ23:DQ41" si="186">"("&amp;ROUND(DP23*0.092903,2)&amp;")"</f>
        <v>(0.15)</v>
      </c>
      <c r="DR23" s="375">
        <v>2</v>
      </c>
      <c r="DS23" s="375">
        <f t="shared" si="92"/>
        <v>3.5</v>
      </c>
      <c r="DT23" s="375">
        <v>0</v>
      </c>
      <c r="DU23" s="375">
        <f t="shared" si="93"/>
        <v>0</v>
      </c>
      <c r="DV23" s="375">
        <v>0</v>
      </c>
      <c r="DW23" s="375">
        <f t="shared" si="94"/>
        <v>0</v>
      </c>
      <c r="DX23" s="375">
        <f>DS23+DU23+DW23</f>
        <v>3.5</v>
      </c>
      <c r="DY23" s="376">
        <f t="shared" si="96"/>
        <v>44.5</v>
      </c>
      <c r="DZ23" s="373">
        <f t="shared" si="97"/>
        <v>1.80984375</v>
      </c>
      <c r="EA23" s="374" t="str">
        <f>"("&amp;FIXED(DZ23*0.092903,2)&amp;")"</f>
        <v>(0.17)</v>
      </c>
      <c r="EB23" s="375">
        <v>2</v>
      </c>
      <c r="EC23" s="375">
        <f t="shared" si="99"/>
        <v>3.5</v>
      </c>
      <c r="ED23" s="375">
        <v>0</v>
      </c>
      <c r="EE23" s="375">
        <f t="shared" si="100"/>
        <v>0</v>
      </c>
      <c r="EF23" s="375">
        <v>1</v>
      </c>
      <c r="EG23" s="375">
        <f t="shared" si="101"/>
        <v>1</v>
      </c>
      <c r="EH23" s="375">
        <f>EC23+EE23+EG23</f>
        <v>4.5</v>
      </c>
      <c r="EI23" s="376">
        <f t="shared" si="103"/>
        <v>49.5</v>
      </c>
      <c r="EJ23" s="373">
        <f t="shared" si="104"/>
        <v>2.0292187500000001</v>
      </c>
      <c r="EK23" s="374" t="str">
        <f>"("&amp;FIXED(EJ23*0.092903,2)&amp;")"</f>
        <v>(0.19)</v>
      </c>
      <c r="EL23" s="375">
        <v>2</v>
      </c>
      <c r="EM23" s="375">
        <f t="shared" si="106"/>
        <v>3.5</v>
      </c>
      <c r="EN23" s="375">
        <v>0</v>
      </c>
      <c r="EO23" s="375">
        <f t="shared" si="107"/>
        <v>0</v>
      </c>
      <c r="EP23" s="375">
        <v>1</v>
      </c>
      <c r="EQ23" s="375">
        <f t="shared" si="108"/>
        <v>1</v>
      </c>
      <c r="ER23" s="375">
        <f>EM23+EO23+EQ23</f>
        <v>4.5</v>
      </c>
      <c r="ES23" s="376">
        <f t="shared" si="110"/>
        <v>55.5</v>
      </c>
      <c r="ET23" s="373">
        <f t="shared" si="111"/>
        <v>2.2485937499999999</v>
      </c>
      <c r="EU23" s="374" t="str">
        <f>"("&amp;FIXED(ET23*0.092903,2)&amp;")"</f>
        <v>(0.21)</v>
      </c>
      <c r="EV23" s="375">
        <v>2</v>
      </c>
      <c r="EW23" s="375">
        <f t="shared" si="113"/>
        <v>3.5</v>
      </c>
      <c r="EX23" s="375">
        <v>0</v>
      </c>
      <c r="EY23" s="375">
        <f t="shared" si="114"/>
        <v>0</v>
      </c>
      <c r="EZ23" s="375">
        <v>1</v>
      </c>
      <c r="FA23" s="375">
        <f t="shared" si="115"/>
        <v>1</v>
      </c>
      <c r="FB23" s="375">
        <f>EW23+EY23+FA23</f>
        <v>4.5</v>
      </c>
      <c r="FC23" s="376">
        <f t="shared" si="117"/>
        <v>61.5</v>
      </c>
      <c r="FD23" s="373">
        <f t="shared" si="118"/>
        <v>2.4633984375000004</v>
      </c>
      <c r="FE23" s="374" t="str">
        <f>"("&amp;FIXED(FD23*0.092903,2)&amp;")"</f>
        <v>(0.23)</v>
      </c>
      <c r="FF23" s="375">
        <v>2</v>
      </c>
      <c r="FG23" s="375">
        <f t="shared" si="120"/>
        <v>3.5</v>
      </c>
      <c r="FH23" s="375">
        <v>1</v>
      </c>
      <c r="FI23" s="375">
        <f t="shared" si="121"/>
        <v>1.125</v>
      </c>
      <c r="FJ23" s="375">
        <v>0</v>
      </c>
      <c r="FK23" s="375">
        <f t="shared" si="122"/>
        <v>0</v>
      </c>
      <c r="FL23" s="375">
        <f>FG23+FI23+FK23</f>
        <v>4.625</v>
      </c>
      <c r="FM23" s="376">
        <f t="shared" si="124"/>
        <v>67.375</v>
      </c>
      <c r="FN23" s="373">
        <f t="shared" si="125"/>
        <v>2.6827734375000003</v>
      </c>
      <c r="FO23" s="374" t="str">
        <f>"("&amp;FIXED(FN23*0.092903,2)&amp;")"</f>
        <v>(0.25)</v>
      </c>
      <c r="FP23" s="375">
        <v>2</v>
      </c>
      <c r="FQ23" s="375">
        <f t="shared" si="127"/>
        <v>3.5</v>
      </c>
      <c r="FR23" s="375">
        <v>1</v>
      </c>
      <c r="FS23" s="375">
        <f t="shared" si="128"/>
        <v>1.125</v>
      </c>
      <c r="FT23" s="375">
        <v>0</v>
      </c>
      <c r="FU23" s="375">
        <f t="shared" si="129"/>
        <v>0</v>
      </c>
      <c r="FV23" s="375">
        <f>FQ23+FS23+FU23</f>
        <v>4.625</v>
      </c>
      <c r="FW23" s="376">
        <f t="shared" si="131"/>
        <v>73.375</v>
      </c>
      <c r="FX23" s="373">
        <f t="shared" si="132"/>
        <v>2.9021484375000006</v>
      </c>
      <c r="FY23" s="374" t="str">
        <f>"("&amp;FIXED(FX23*0.092903,2)&amp;")"</f>
        <v>(0.27)</v>
      </c>
      <c r="FZ23" s="375">
        <v>2</v>
      </c>
      <c r="GA23" s="375">
        <f t="shared" si="134"/>
        <v>3.5</v>
      </c>
      <c r="GB23" s="375">
        <v>1</v>
      </c>
      <c r="GC23" s="375">
        <f t="shared" si="135"/>
        <v>1.125</v>
      </c>
      <c r="GD23" s="375">
        <v>0</v>
      </c>
      <c r="GE23" s="375">
        <f t="shared" si="136"/>
        <v>0</v>
      </c>
      <c r="GF23" s="375">
        <f>GA23+GC23+GE23</f>
        <v>4.625</v>
      </c>
      <c r="GG23" s="376">
        <f t="shared" si="138"/>
        <v>79.375</v>
      </c>
      <c r="GH23" s="373">
        <f t="shared" si="139"/>
        <v>3.1215234375000005</v>
      </c>
      <c r="GI23" s="374" t="str">
        <f>"("&amp;FIXED(GH23*0.092903,2)&amp;")"</f>
        <v>(0.29)</v>
      </c>
      <c r="GJ23" s="375">
        <v>2</v>
      </c>
      <c r="GK23" s="375">
        <f t="shared" si="141"/>
        <v>3.5</v>
      </c>
      <c r="GL23" s="375">
        <v>1</v>
      </c>
      <c r="GM23" s="375">
        <f t="shared" si="142"/>
        <v>1.125</v>
      </c>
      <c r="GN23" s="375">
        <v>0</v>
      </c>
      <c r="GO23" s="375">
        <f t="shared" si="143"/>
        <v>0</v>
      </c>
      <c r="GP23" s="375">
        <f>GK23+GM23+GO23</f>
        <v>4.625</v>
      </c>
      <c r="GQ23" s="376">
        <f t="shared" si="145"/>
        <v>85.375</v>
      </c>
      <c r="GR23" s="373">
        <f t="shared" si="146"/>
        <v>3.3408984375000004</v>
      </c>
      <c r="GS23" s="374" t="str">
        <f>"("&amp;FIXED(GR23*0.092903,2)&amp;")"</f>
        <v>(0.31)</v>
      </c>
      <c r="GT23" s="375">
        <v>2</v>
      </c>
      <c r="GU23" s="375">
        <f t="shared" si="148"/>
        <v>3.5</v>
      </c>
      <c r="GV23" s="375">
        <v>1</v>
      </c>
      <c r="GW23" s="375">
        <f t="shared" si="149"/>
        <v>1.125</v>
      </c>
      <c r="GX23" s="375">
        <v>0</v>
      </c>
      <c r="GY23" s="375">
        <f t="shared" si="150"/>
        <v>0</v>
      </c>
      <c r="GZ23" s="375">
        <f>GU23+GW23+GY23</f>
        <v>4.625</v>
      </c>
      <c r="HA23" s="376">
        <f t="shared" si="152"/>
        <v>91.375</v>
      </c>
      <c r="HB23" s="373">
        <f t="shared" si="153"/>
        <v>3.5602734375000002</v>
      </c>
      <c r="HC23" s="374" t="str">
        <f>"("&amp;FIXED(HB23*0.092903,2)&amp;")"</f>
        <v>(0.33)</v>
      </c>
      <c r="HD23" s="375">
        <v>2</v>
      </c>
      <c r="HE23" s="375">
        <f t="shared" si="155"/>
        <v>3.5</v>
      </c>
      <c r="HF23" s="375">
        <v>1</v>
      </c>
      <c r="HG23" s="375">
        <f t="shared" si="156"/>
        <v>1.125</v>
      </c>
      <c r="HH23" s="375">
        <v>0</v>
      </c>
      <c r="HI23" s="375">
        <f t="shared" si="157"/>
        <v>0</v>
      </c>
      <c r="HJ23" s="375">
        <f>HE23+HG23+HI23</f>
        <v>4.625</v>
      </c>
      <c r="HK23" s="376">
        <f t="shared" si="159"/>
        <v>97.375</v>
      </c>
      <c r="HL23" s="373">
        <f t="shared" si="160"/>
        <v>3.7065234375000009</v>
      </c>
      <c r="HM23" s="374" t="str">
        <f>"("&amp;FIXED(HL23*0.092903,2)&amp;")"</f>
        <v>(0.34)</v>
      </c>
      <c r="HN23" s="375">
        <v>2</v>
      </c>
      <c r="HO23" s="375">
        <f t="shared" si="162"/>
        <v>3.5</v>
      </c>
      <c r="HP23" s="375">
        <v>1</v>
      </c>
      <c r="HQ23" s="375">
        <f t="shared" si="163"/>
        <v>1.125</v>
      </c>
      <c r="HR23" s="375">
        <v>2</v>
      </c>
      <c r="HS23" s="375">
        <f t="shared" si="164"/>
        <v>2</v>
      </c>
      <c r="HT23" s="375">
        <f>HO23+HQ23+HS23</f>
        <v>6.625</v>
      </c>
      <c r="HU23" s="376">
        <f t="shared" si="166"/>
        <v>101.375</v>
      </c>
      <c r="HV23" s="373">
        <f t="shared" si="167"/>
        <v>3.9258984375000003</v>
      </c>
      <c r="HW23" s="374" t="str">
        <f>"("&amp;FIXED(HV23*0.092903,2)&amp;")"</f>
        <v>(0.36)</v>
      </c>
      <c r="HX23" s="375">
        <v>2</v>
      </c>
      <c r="HY23" s="375">
        <f t="shared" si="169"/>
        <v>3.5</v>
      </c>
      <c r="HZ23" s="375">
        <v>1</v>
      </c>
      <c r="IA23" s="375">
        <f t="shared" si="170"/>
        <v>1.125</v>
      </c>
      <c r="IB23" s="375">
        <v>2</v>
      </c>
      <c r="IC23" s="375">
        <f t="shared" si="171"/>
        <v>2</v>
      </c>
      <c r="ID23" s="375">
        <f>HY23+IA23+IC23</f>
        <v>6.625</v>
      </c>
      <c r="IE23" s="376">
        <f t="shared" si="173"/>
        <v>107.375</v>
      </c>
      <c r="IF23" s="373">
        <f t="shared" si="174"/>
        <v>4.1452734375000002</v>
      </c>
      <c r="IG23" s="374" t="str">
        <f>"("&amp;FIXED(IF23*0.092903,2)&amp;")"</f>
        <v>(0.39)</v>
      </c>
      <c r="IH23" s="22">
        <v>2</v>
      </c>
      <c r="II23" s="22">
        <f t="shared" si="176"/>
        <v>3.5</v>
      </c>
      <c r="IJ23" s="22">
        <v>1</v>
      </c>
      <c r="IK23" s="22">
        <f t="shared" si="177"/>
        <v>1.125</v>
      </c>
      <c r="IL23" s="22">
        <v>2</v>
      </c>
      <c r="IM23" s="22">
        <f t="shared" si="178"/>
        <v>2</v>
      </c>
      <c r="IN23" s="22">
        <f>II23+IK23+IM23</f>
        <v>6.625</v>
      </c>
      <c r="IO23" s="23">
        <f t="shared" si="180"/>
        <v>113.375</v>
      </c>
      <c r="IP23" s="24"/>
      <c r="IQ23" s="25">
        <f>ROUNDDOWN(($AU23-5)/5,0)</f>
        <v>1</v>
      </c>
      <c r="IR23" s="26">
        <v>3.1160000000000001</v>
      </c>
      <c r="IS23" s="26">
        <v>3.0659999999999998</v>
      </c>
      <c r="IT23" s="26">
        <v>2.149</v>
      </c>
      <c r="IU23" s="26">
        <v>1.75</v>
      </c>
      <c r="IV23" s="26">
        <v>1</v>
      </c>
      <c r="IW23" s="26">
        <v>1.125</v>
      </c>
      <c r="IX23" s="8"/>
    </row>
    <row r="24" spans="2:258" ht="15.75" thickBot="1" x14ac:dyDescent="0.3">
      <c r="B24" s="103">
        <f t="shared" si="39"/>
        <v>36</v>
      </c>
      <c r="C24" s="221">
        <v>7</v>
      </c>
      <c r="D24" s="98">
        <f t="shared" si="0"/>
        <v>0.26729745370370367</v>
      </c>
      <c r="E24" s="96">
        <f t="shared" si="1"/>
        <v>0.41309606481481476</v>
      </c>
      <c r="F24" s="96">
        <f t="shared" si="2"/>
        <v>0.46979552469135794</v>
      </c>
      <c r="G24" s="96">
        <f t="shared" si="3"/>
        <v>0.4981452546296295</v>
      </c>
      <c r="H24" s="96">
        <f t="shared" si="4"/>
        <v>0.51515509259259251</v>
      </c>
      <c r="I24" s="96">
        <f t="shared" si="5"/>
        <v>0.52649498456790111</v>
      </c>
      <c r="J24" s="96">
        <f t="shared" si="6"/>
        <v>0.53459490740740734</v>
      </c>
      <c r="K24" s="96">
        <f t="shared" si="7"/>
        <v>0.54066984953703701</v>
      </c>
      <c r="L24" s="96">
        <f t="shared" si="8"/>
        <v>0.53459490740740734</v>
      </c>
      <c r="M24" s="96">
        <f t="shared" si="9"/>
        <v>0.53945486111111096</v>
      </c>
      <c r="N24" s="96">
        <f t="shared" si="10"/>
        <v>0.54343118686868674</v>
      </c>
      <c r="O24" s="96">
        <f t="shared" si="11"/>
        <v>0.54573230131172834</v>
      </c>
      <c r="P24" s="96">
        <f t="shared" si="12"/>
        <v>0.54861400462962961</v>
      </c>
      <c r="Q24" s="96">
        <f t="shared" si="13"/>
        <v>0.55108403604497358</v>
      </c>
      <c r="R24" s="96">
        <f t="shared" si="14"/>
        <v>0.55322472993827165</v>
      </c>
      <c r="S24" s="96">
        <f t="shared" si="15"/>
        <v>0.55509783709490734</v>
      </c>
      <c r="T24" s="96">
        <f t="shared" si="16"/>
        <v>0.5567505787037037</v>
      </c>
      <c r="U24" s="96">
        <f t="shared" si="17"/>
        <v>0.54741978523662549</v>
      </c>
      <c r="V24" s="96">
        <f t="shared" si="18"/>
        <v>0.54930266203703704</v>
      </c>
      <c r="W24" s="96">
        <f t="shared" si="19"/>
        <v>0.55099725115740728</v>
      </c>
      <c r="X24" s="64"/>
      <c r="Y24" s="65"/>
      <c r="AT24" s="4"/>
      <c r="AU24" s="14">
        <f>AU23+6</f>
        <v>18</v>
      </c>
      <c r="AV24" s="12" t="str">
        <f t="shared" si="40"/>
        <v>(450)</v>
      </c>
      <c r="AW24" s="19">
        <f>AW23+1</f>
        <v>9</v>
      </c>
      <c r="AX24" s="20">
        <f t="shared" si="41"/>
        <v>0.33347569444444441</v>
      </c>
      <c r="AY24" s="21" t="str">
        <f t="shared" ref="AY24:AY30" si="187">"("&amp;FIXED(AX24*0.092903,2)&amp;")"</f>
        <v>(0.03)</v>
      </c>
      <c r="AZ24" s="22">
        <v>2</v>
      </c>
      <c r="BA24" s="22">
        <f t="shared" si="43"/>
        <v>3.5</v>
      </c>
      <c r="BB24" s="22">
        <v>0</v>
      </c>
      <c r="BC24" s="22">
        <f t="shared" si="44"/>
        <v>0</v>
      </c>
      <c r="BD24" s="22">
        <v>0</v>
      </c>
      <c r="BE24" s="22">
        <f t="shared" si="45"/>
        <v>0</v>
      </c>
      <c r="BF24" s="22">
        <f t="shared" ref="BF24:BF41" si="188">BA24+BC24+BE24</f>
        <v>3.5</v>
      </c>
      <c r="BG24" s="23">
        <f t="shared" si="47"/>
        <v>5.5</v>
      </c>
      <c r="BH24" s="373">
        <f t="shared" si="48"/>
        <v>0.51537152777777773</v>
      </c>
      <c r="BI24" s="374" t="str">
        <f t="shared" ref="BI24:BI40" si="189">"("&amp;FIXED(BH24*0.092903,2)&amp;")"</f>
        <v>(0.05)</v>
      </c>
      <c r="BJ24" s="375">
        <v>2</v>
      </c>
      <c r="BK24" s="375">
        <f t="shared" si="50"/>
        <v>3.5</v>
      </c>
      <c r="BL24" s="375">
        <v>0</v>
      </c>
      <c r="BM24" s="375">
        <f t="shared" si="51"/>
        <v>0</v>
      </c>
      <c r="BN24" s="375">
        <v>0</v>
      </c>
      <c r="BO24" s="375">
        <f t="shared" si="52"/>
        <v>0</v>
      </c>
      <c r="BP24" s="375">
        <f t="shared" ref="BP24:BP41" si="190">BK24+BM24+BO24</f>
        <v>3.5</v>
      </c>
      <c r="BQ24" s="376">
        <f t="shared" si="54"/>
        <v>8.5</v>
      </c>
      <c r="BR24" s="373">
        <f t="shared" si="55"/>
        <v>0.87916319444444435</v>
      </c>
      <c r="BS24" s="374" t="str">
        <f t="shared" si="181"/>
        <v>(0.08)</v>
      </c>
      <c r="BT24" s="375">
        <v>2</v>
      </c>
      <c r="BU24" s="375">
        <f t="shared" si="57"/>
        <v>3.5</v>
      </c>
      <c r="BV24" s="375">
        <v>0</v>
      </c>
      <c r="BW24" s="375">
        <f t="shared" si="58"/>
        <v>0</v>
      </c>
      <c r="BX24" s="375">
        <v>0</v>
      </c>
      <c r="BY24" s="375">
        <f t="shared" si="59"/>
        <v>0</v>
      </c>
      <c r="BZ24" s="375">
        <f t="shared" ref="BZ24:BZ41" si="191">BU24+BW24+BY24</f>
        <v>3.5</v>
      </c>
      <c r="CA24" s="376">
        <f t="shared" si="61"/>
        <v>14.5</v>
      </c>
      <c r="CB24" s="373">
        <f t="shared" si="62"/>
        <v>1.2429548611111112</v>
      </c>
      <c r="CC24" s="374" t="str">
        <f t="shared" si="182"/>
        <v>(0.12)</v>
      </c>
      <c r="CD24" s="375">
        <v>2</v>
      </c>
      <c r="CE24" s="375">
        <f t="shared" si="64"/>
        <v>3.5</v>
      </c>
      <c r="CF24" s="375">
        <v>0</v>
      </c>
      <c r="CG24" s="375">
        <f t="shared" si="65"/>
        <v>0</v>
      </c>
      <c r="CH24" s="375">
        <v>0</v>
      </c>
      <c r="CI24" s="375">
        <f t="shared" si="66"/>
        <v>0</v>
      </c>
      <c r="CJ24" s="375">
        <f t="shared" ref="CJ24:CJ41" si="192">CE24+CG24+CI24</f>
        <v>3.5</v>
      </c>
      <c r="CK24" s="376">
        <f t="shared" si="68"/>
        <v>20.5</v>
      </c>
      <c r="CL24" s="373">
        <f t="shared" si="69"/>
        <v>1.6067465277777777</v>
      </c>
      <c r="CM24" s="374" t="str">
        <f t="shared" si="183"/>
        <v>(0.15)</v>
      </c>
      <c r="CN24" s="375">
        <v>2</v>
      </c>
      <c r="CO24" s="375">
        <f t="shared" si="71"/>
        <v>3.5</v>
      </c>
      <c r="CP24" s="375">
        <v>0</v>
      </c>
      <c r="CQ24" s="375">
        <f t="shared" si="72"/>
        <v>0</v>
      </c>
      <c r="CR24" s="375">
        <v>0</v>
      </c>
      <c r="CS24" s="375">
        <f t="shared" si="73"/>
        <v>0</v>
      </c>
      <c r="CT24" s="375">
        <f t="shared" ref="CT24:CT41" si="193">CO24+CQ24+CS24</f>
        <v>3.5</v>
      </c>
      <c r="CU24" s="376">
        <f t="shared" si="75"/>
        <v>26.5</v>
      </c>
      <c r="CV24" s="373">
        <f t="shared" si="76"/>
        <v>1.9705381944444444</v>
      </c>
      <c r="CW24" s="374" t="str">
        <f t="shared" si="184"/>
        <v>(0.18)</v>
      </c>
      <c r="CX24" s="375">
        <v>2</v>
      </c>
      <c r="CY24" s="375">
        <f t="shared" si="78"/>
        <v>3.5</v>
      </c>
      <c r="CZ24" s="375">
        <v>0</v>
      </c>
      <c r="DA24" s="375">
        <f t="shared" si="79"/>
        <v>0</v>
      </c>
      <c r="DB24" s="375">
        <v>0</v>
      </c>
      <c r="DC24" s="375">
        <f t="shared" si="80"/>
        <v>0</v>
      </c>
      <c r="DD24" s="375">
        <f t="shared" ref="DD24:DD41" si="194">CY24+DA24+DC24</f>
        <v>3.5</v>
      </c>
      <c r="DE24" s="376">
        <f t="shared" si="82"/>
        <v>32.5</v>
      </c>
      <c r="DF24" s="373">
        <f t="shared" si="83"/>
        <v>2.3343298611111112</v>
      </c>
      <c r="DG24" s="374" t="str">
        <f t="shared" si="185"/>
        <v>(0.22)</v>
      </c>
      <c r="DH24" s="375">
        <v>2</v>
      </c>
      <c r="DI24" s="375">
        <f t="shared" si="85"/>
        <v>3.5</v>
      </c>
      <c r="DJ24" s="375">
        <v>0</v>
      </c>
      <c r="DK24" s="375">
        <f t="shared" si="86"/>
        <v>0</v>
      </c>
      <c r="DL24" s="375">
        <v>0</v>
      </c>
      <c r="DM24" s="375">
        <f t="shared" si="87"/>
        <v>0</v>
      </c>
      <c r="DN24" s="375">
        <f t="shared" ref="DN24:DN41" si="195">DI24+DK24+DM24</f>
        <v>3.5</v>
      </c>
      <c r="DO24" s="376">
        <f t="shared" si="89"/>
        <v>38.5</v>
      </c>
      <c r="DP24" s="373">
        <f t="shared" si="90"/>
        <v>2.6981215277777775</v>
      </c>
      <c r="DQ24" s="374" t="str">
        <f t="shared" si="186"/>
        <v>(0.25)</v>
      </c>
      <c r="DR24" s="375">
        <v>2</v>
      </c>
      <c r="DS24" s="375">
        <f t="shared" si="92"/>
        <v>3.5</v>
      </c>
      <c r="DT24" s="375">
        <v>0</v>
      </c>
      <c r="DU24" s="375">
        <f t="shared" si="93"/>
        <v>0</v>
      </c>
      <c r="DV24" s="375">
        <v>0</v>
      </c>
      <c r="DW24" s="375">
        <f t="shared" si="94"/>
        <v>0</v>
      </c>
      <c r="DX24" s="375">
        <f t="shared" ref="DX24:DX41" si="196">DS24+DU24+DW24</f>
        <v>3.5</v>
      </c>
      <c r="DY24" s="376">
        <f t="shared" si="96"/>
        <v>44.5</v>
      </c>
      <c r="DZ24" s="373">
        <f t="shared" si="97"/>
        <v>3.0012812499999999</v>
      </c>
      <c r="EA24" s="374" t="str">
        <f t="shared" ref="EA24:EA40" si="197">"("&amp;FIXED(DZ24*0.092903,2)&amp;")"</f>
        <v>(0.28)</v>
      </c>
      <c r="EB24" s="375">
        <v>2</v>
      </c>
      <c r="EC24" s="375">
        <f t="shared" si="99"/>
        <v>3.5</v>
      </c>
      <c r="ED24" s="375">
        <v>0</v>
      </c>
      <c r="EE24" s="375">
        <f t="shared" si="100"/>
        <v>0</v>
      </c>
      <c r="EF24" s="375">
        <v>1</v>
      </c>
      <c r="EG24" s="375">
        <f t="shared" si="101"/>
        <v>1</v>
      </c>
      <c r="EH24" s="375">
        <f t="shared" ref="EH24:EH41" si="198">EC24+EE24+EG24</f>
        <v>4.5</v>
      </c>
      <c r="EI24" s="376">
        <f t="shared" si="103"/>
        <v>49.5</v>
      </c>
      <c r="EJ24" s="373">
        <f t="shared" si="104"/>
        <v>3.3650729166666666</v>
      </c>
      <c r="EK24" s="374" t="str">
        <f t="shared" ref="EK24:EK30" si="199">"("&amp;FIXED(EJ24*0.092903,2)&amp;")"</f>
        <v>(0.31)</v>
      </c>
      <c r="EL24" s="375">
        <v>2</v>
      </c>
      <c r="EM24" s="375">
        <f t="shared" si="106"/>
        <v>3.5</v>
      </c>
      <c r="EN24" s="375">
        <v>0</v>
      </c>
      <c r="EO24" s="375">
        <f t="shared" si="107"/>
        <v>0</v>
      </c>
      <c r="EP24" s="375">
        <v>1</v>
      </c>
      <c r="EQ24" s="375">
        <f t="shared" si="108"/>
        <v>1</v>
      </c>
      <c r="ER24" s="375">
        <f t="shared" ref="ER24:ER41" si="200">EM24+EO24+EQ24</f>
        <v>4.5</v>
      </c>
      <c r="ES24" s="376">
        <f t="shared" si="110"/>
        <v>55.5</v>
      </c>
      <c r="ET24" s="373">
        <f t="shared" si="111"/>
        <v>3.7288645833333334</v>
      </c>
      <c r="EU24" s="374" t="str">
        <f t="shared" ref="EU24:EU30" si="201">"("&amp;FIXED(ET24*0.092903,2)&amp;")"</f>
        <v>(0.35)</v>
      </c>
      <c r="EV24" s="375">
        <v>2</v>
      </c>
      <c r="EW24" s="375">
        <f t="shared" si="113"/>
        <v>3.5</v>
      </c>
      <c r="EX24" s="375">
        <v>0</v>
      </c>
      <c r="EY24" s="375">
        <f t="shared" si="114"/>
        <v>0</v>
      </c>
      <c r="EZ24" s="375">
        <v>1</v>
      </c>
      <c r="FA24" s="375">
        <f t="shared" si="115"/>
        <v>1</v>
      </c>
      <c r="FB24" s="375">
        <f t="shared" ref="FB24:FB41" si="202">EW24+EY24+FA24</f>
        <v>4.5</v>
      </c>
      <c r="FC24" s="376">
        <f t="shared" si="117"/>
        <v>61.5</v>
      </c>
      <c r="FD24" s="373">
        <f t="shared" si="118"/>
        <v>4.0850772569444445</v>
      </c>
      <c r="FE24" s="374" t="str">
        <f t="shared" ref="FE24:FO40" si="203">"("&amp;FIXED(FD24*0.092903,2)&amp;")"</f>
        <v>(0.38)</v>
      </c>
      <c r="FF24" s="375">
        <v>2</v>
      </c>
      <c r="FG24" s="375">
        <f t="shared" si="120"/>
        <v>3.5</v>
      </c>
      <c r="FH24" s="375">
        <v>1</v>
      </c>
      <c r="FI24" s="375">
        <f t="shared" si="121"/>
        <v>1.125</v>
      </c>
      <c r="FJ24" s="375">
        <v>0</v>
      </c>
      <c r="FK24" s="375">
        <f t="shared" si="122"/>
        <v>0</v>
      </c>
      <c r="FL24" s="375">
        <f t="shared" ref="FL24:FL41" si="204">FG24+FI24+FK24</f>
        <v>4.625</v>
      </c>
      <c r="FM24" s="376">
        <f t="shared" si="124"/>
        <v>67.375</v>
      </c>
      <c r="FN24" s="373">
        <f t="shared" si="125"/>
        <v>4.4488689236111112</v>
      </c>
      <c r="FO24" s="374" t="str">
        <f t="shared" si="203"/>
        <v>(0.41)</v>
      </c>
      <c r="FP24" s="375">
        <v>2</v>
      </c>
      <c r="FQ24" s="375">
        <f t="shared" si="127"/>
        <v>3.5</v>
      </c>
      <c r="FR24" s="375">
        <v>1</v>
      </c>
      <c r="FS24" s="375">
        <f t="shared" si="128"/>
        <v>1.125</v>
      </c>
      <c r="FT24" s="375">
        <v>0</v>
      </c>
      <c r="FU24" s="375">
        <f t="shared" si="129"/>
        <v>0</v>
      </c>
      <c r="FV24" s="375">
        <f t="shared" ref="FV24:FV33" si="205">FQ24+FS24+FU24</f>
        <v>4.625</v>
      </c>
      <c r="FW24" s="376">
        <f t="shared" si="131"/>
        <v>73.375</v>
      </c>
      <c r="FX24" s="373">
        <f t="shared" si="132"/>
        <v>4.812660590277777</v>
      </c>
      <c r="FY24" s="374" t="str">
        <f t="shared" ref="FY24:FY30" si="206">"("&amp;FIXED(FX24*0.092903,2)&amp;")"</f>
        <v>(0.45)</v>
      </c>
      <c r="FZ24" s="375">
        <v>2</v>
      </c>
      <c r="GA24" s="375">
        <f t="shared" si="134"/>
        <v>3.5</v>
      </c>
      <c r="GB24" s="375">
        <v>1</v>
      </c>
      <c r="GC24" s="375">
        <f t="shared" si="135"/>
        <v>1.125</v>
      </c>
      <c r="GD24" s="375">
        <v>0</v>
      </c>
      <c r="GE24" s="375">
        <f t="shared" si="136"/>
        <v>0</v>
      </c>
      <c r="GF24" s="375">
        <f t="shared" ref="GF24:GF33" si="207">GA24+GC24+GE24</f>
        <v>4.625</v>
      </c>
      <c r="GG24" s="376">
        <f t="shared" si="138"/>
        <v>79.375</v>
      </c>
      <c r="GH24" s="373">
        <f t="shared" si="139"/>
        <v>5.1764522569444447</v>
      </c>
      <c r="GI24" s="374" t="str">
        <f t="shared" ref="GI24:GI30" si="208">"("&amp;FIXED(GH24*0.092903,2)&amp;")"</f>
        <v>(0.48)</v>
      </c>
      <c r="GJ24" s="375">
        <v>2</v>
      </c>
      <c r="GK24" s="375">
        <f t="shared" si="141"/>
        <v>3.5</v>
      </c>
      <c r="GL24" s="375">
        <v>1</v>
      </c>
      <c r="GM24" s="375">
        <f t="shared" si="142"/>
        <v>1.125</v>
      </c>
      <c r="GN24" s="375">
        <v>0</v>
      </c>
      <c r="GO24" s="375">
        <f t="shared" si="143"/>
        <v>0</v>
      </c>
      <c r="GP24" s="375">
        <f t="shared" ref="GP24:GP33" si="209">GK24+GM24+GO24</f>
        <v>4.625</v>
      </c>
      <c r="GQ24" s="376">
        <f t="shared" si="145"/>
        <v>85.375</v>
      </c>
      <c r="GR24" s="373">
        <f t="shared" si="146"/>
        <v>5.5402439236111114</v>
      </c>
      <c r="GS24" s="374" t="str">
        <f t="shared" ref="GS24:GS30" si="210">"("&amp;FIXED(GR24*0.092903,2)&amp;")"</f>
        <v>(0.51)</v>
      </c>
      <c r="GT24" s="375">
        <v>2</v>
      </c>
      <c r="GU24" s="375">
        <f t="shared" si="148"/>
        <v>3.5</v>
      </c>
      <c r="GV24" s="375">
        <v>1</v>
      </c>
      <c r="GW24" s="375">
        <f t="shared" si="149"/>
        <v>1.125</v>
      </c>
      <c r="GX24" s="375">
        <v>0</v>
      </c>
      <c r="GY24" s="375">
        <f t="shared" si="150"/>
        <v>0</v>
      </c>
      <c r="GZ24" s="375">
        <f t="shared" ref="GZ24:GZ33" si="211">GU24+GW24+GY24</f>
        <v>4.625</v>
      </c>
      <c r="HA24" s="376">
        <f t="shared" si="152"/>
        <v>91.375</v>
      </c>
      <c r="HB24" s="373">
        <f t="shared" si="153"/>
        <v>5.9040355902777772</v>
      </c>
      <c r="HC24" s="374" t="str">
        <f t="shared" ref="HC24:HC30" si="212">"("&amp;FIXED(HB24*0.092903,2)&amp;")"</f>
        <v>(0.55)</v>
      </c>
      <c r="HD24" s="375">
        <v>2</v>
      </c>
      <c r="HE24" s="375">
        <f t="shared" si="155"/>
        <v>3.5</v>
      </c>
      <c r="HF24" s="375">
        <v>1</v>
      </c>
      <c r="HG24" s="375">
        <f t="shared" si="156"/>
        <v>1.125</v>
      </c>
      <c r="HH24" s="375">
        <v>0</v>
      </c>
      <c r="HI24" s="375">
        <f t="shared" si="157"/>
        <v>0</v>
      </c>
      <c r="HJ24" s="375">
        <f t="shared" ref="HJ24:HJ33" si="213">HE24+HG24+HI24</f>
        <v>4.625</v>
      </c>
      <c r="HK24" s="376">
        <f t="shared" si="159"/>
        <v>97.375</v>
      </c>
      <c r="HL24" s="373">
        <f t="shared" si="160"/>
        <v>6.1465633680555563</v>
      </c>
      <c r="HM24" s="374" t="str">
        <f t="shared" ref="HM24:HM33" si="214">"("&amp;FIXED(HL24*0.092903,2)&amp;")"</f>
        <v>(0.57)</v>
      </c>
      <c r="HN24" s="375">
        <v>2</v>
      </c>
      <c r="HO24" s="375">
        <f t="shared" si="162"/>
        <v>3.5</v>
      </c>
      <c r="HP24" s="375">
        <v>1</v>
      </c>
      <c r="HQ24" s="375">
        <f t="shared" si="163"/>
        <v>1.125</v>
      </c>
      <c r="HR24" s="375">
        <v>2</v>
      </c>
      <c r="HS24" s="375">
        <f t="shared" si="164"/>
        <v>2</v>
      </c>
      <c r="HT24" s="375">
        <f t="shared" ref="HT24:HT33" si="215">HO24+HQ24+HS24</f>
        <v>6.625</v>
      </c>
      <c r="HU24" s="376">
        <f t="shared" si="166"/>
        <v>101.375</v>
      </c>
      <c r="HV24" s="373">
        <f t="shared" si="167"/>
        <v>6.5103550347222221</v>
      </c>
      <c r="HW24" s="374" t="str">
        <f t="shared" ref="HW24:HW30" si="216">"("&amp;FIXED(HV24*0.092903,2)&amp;")"</f>
        <v>(0.60)</v>
      </c>
      <c r="HX24" s="375">
        <v>2</v>
      </c>
      <c r="HY24" s="375">
        <f t="shared" si="169"/>
        <v>3.5</v>
      </c>
      <c r="HZ24" s="375">
        <v>1</v>
      </c>
      <c r="IA24" s="375">
        <f t="shared" si="170"/>
        <v>1.125</v>
      </c>
      <c r="IB24" s="375">
        <v>2</v>
      </c>
      <c r="IC24" s="375">
        <f t="shared" si="171"/>
        <v>2</v>
      </c>
      <c r="ID24" s="375">
        <f t="shared" ref="ID24:ID33" si="217">HY24+IA24+IC24</f>
        <v>6.625</v>
      </c>
      <c r="IE24" s="376">
        <f t="shared" si="173"/>
        <v>107.375</v>
      </c>
      <c r="IF24" s="373">
        <f t="shared" si="174"/>
        <v>6.8741467013888888</v>
      </c>
      <c r="IG24" s="374" t="str">
        <f t="shared" ref="IG24:IG30" si="218">"("&amp;FIXED(IF24*0.092903,2)&amp;")"</f>
        <v>(0.64)</v>
      </c>
      <c r="IH24" s="22">
        <v>2</v>
      </c>
      <c r="II24" s="22">
        <f t="shared" si="176"/>
        <v>3.5</v>
      </c>
      <c r="IJ24" s="22">
        <v>1</v>
      </c>
      <c r="IK24" s="22">
        <f t="shared" si="177"/>
        <v>1.125</v>
      </c>
      <c r="IL24" s="22">
        <v>2</v>
      </c>
      <c r="IM24" s="22">
        <f t="shared" si="178"/>
        <v>2</v>
      </c>
      <c r="IN24" s="22">
        <f t="shared" ref="IN24:IN33" si="219">II24+IK24+IM24</f>
        <v>6.625</v>
      </c>
      <c r="IO24" s="23">
        <f t="shared" si="180"/>
        <v>113.375</v>
      </c>
      <c r="IP24" s="24"/>
      <c r="IQ24" s="25">
        <v>2</v>
      </c>
      <c r="IR24" s="26">
        <v>3.1160000000000001</v>
      </c>
      <c r="IS24" s="26">
        <v>3.0659999999999998</v>
      </c>
      <c r="IT24" s="26">
        <v>2.5489999999999999</v>
      </c>
      <c r="IU24" s="26">
        <v>1.75</v>
      </c>
      <c r="IV24" s="26">
        <v>1</v>
      </c>
      <c r="IW24" s="26">
        <v>1.125</v>
      </c>
      <c r="IX24" s="8"/>
    </row>
    <row r="25" spans="2:258" ht="15.75" thickBot="1" x14ac:dyDescent="0.3">
      <c r="B25" s="103">
        <f t="shared" si="39"/>
        <v>42</v>
      </c>
      <c r="C25" s="221">
        <v>8</v>
      </c>
      <c r="D25" s="98">
        <f t="shared" si="0"/>
        <v>0.27653869047619051</v>
      </c>
      <c r="E25" s="96">
        <f t="shared" si="1"/>
        <v>0.42737797619047624</v>
      </c>
      <c r="F25" s="96">
        <f t="shared" si="2"/>
        <v>0.48603769841269845</v>
      </c>
      <c r="G25" s="96">
        <f t="shared" si="3"/>
        <v>0.51536755952380953</v>
      </c>
      <c r="H25" s="96">
        <f t="shared" si="4"/>
        <v>0.53296547619047618</v>
      </c>
      <c r="I25" s="96">
        <f t="shared" si="5"/>
        <v>0.54469742063492055</v>
      </c>
      <c r="J25" s="96">
        <f t="shared" si="6"/>
        <v>0.5530773809523809</v>
      </c>
      <c r="K25" s="96">
        <f t="shared" si="7"/>
        <v>0.55936235119047617</v>
      </c>
      <c r="L25" s="96">
        <f t="shared" si="8"/>
        <v>0.5530773809523809</v>
      </c>
      <c r="M25" s="96">
        <f t="shared" si="9"/>
        <v>0.55810535714285714</v>
      </c>
      <c r="N25" s="96">
        <f>ET28/((N$17*$B25)/144)</f>
        <v>0.56221915584415583</v>
      </c>
      <c r="O25" s="96">
        <f t="shared" si="11"/>
        <v>0.56459982638888895</v>
      </c>
      <c r="P25" s="96">
        <f t="shared" si="12"/>
        <v>0.56758115842490842</v>
      </c>
      <c r="Q25" s="96">
        <f t="shared" si="13"/>
        <v>0.57013658588435367</v>
      </c>
      <c r="R25" s="96">
        <f t="shared" si="14"/>
        <v>0.57235128968253979</v>
      </c>
      <c r="S25" s="96">
        <f t="shared" si="15"/>
        <v>0.57428915550595239</v>
      </c>
      <c r="T25" s="96">
        <f t="shared" si="16"/>
        <v>0.5759990371148459</v>
      </c>
      <c r="U25" s="96">
        <f t="shared" si="17"/>
        <v>0.56634565145502636</v>
      </c>
      <c r="V25" s="96">
        <f t="shared" si="18"/>
        <v>0.56829362468671685</v>
      </c>
      <c r="W25" s="96">
        <f t="shared" si="19"/>
        <v>0.57004680059523805</v>
      </c>
      <c r="X25" s="64"/>
      <c r="Y25" s="65"/>
      <c r="AT25" s="4"/>
      <c r="AU25" s="14">
        <f t="shared" ref="AU25:AU41" si="220">AU24+6</f>
        <v>24</v>
      </c>
      <c r="AV25" s="12" t="str">
        <f t="shared" si="40"/>
        <v>(600)</v>
      </c>
      <c r="AW25" s="19">
        <f t="shared" ref="AW25:AW41" si="221">AW24+1</f>
        <v>10</v>
      </c>
      <c r="AX25" s="20">
        <f t="shared" si="41"/>
        <v>0.49946875000000002</v>
      </c>
      <c r="AY25" s="21" t="str">
        <f t="shared" si="187"/>
        <v>(0.05)</v>
      </c>
      <c r="AZ25" s="22">
        <v>2</v>
      </c>
      <c r="BA25" s="22">
        <f t="shared" si="43"/>
        <v>3.5</v>
      </c>
      <c r="BB25" s="22">
        <v>0</v>
      </c>
      <c r="BC25" s="22">
        <f t="shared" si="44"/>
        <v>0</v>
      </c>
      <c r="BD25" s="22">
        <v>0</v>
      </c>
      <c r="BE25" s="22">
        <f t="shared" si="45"/>
        <v>0</v>
      </c>
      <c r="BF25" s="22">
        <f t="shared" si="188"/>
        <v>3.5</v>
      </c>
      <c r="BG25" s="23">
        <f t="shared" si="47"/>
        <v>5.5</v>
      </c>
      <c r="BH25" s="373">
        <f t="shared" si="48"/>
        <v>0.77190625000000002</v>
      </c>
      <c r="BI25" s="374" t="str">
        <f t="shared" si="189"/>
        <v>(0.07)</v>
      </c>
      <c r="BJ25" s="375">
        <v>2</v>
      </c>
      <c r="BK25" s="375">
        <f t="shared" si="50"/>
        <v>3.5</v>
      </c>
      <c r="BL25" s="375">
        <v>0</v>
      </c>
      <c r="BM25" s="375">
        <f t="shared" si="51"/>
        <v>0</v>
      </c>
      <c r="BN25" s="375">
        <v>0</v>
      </c>
      <c r="BO25" s="375">
        <f t="shared" si="52"/>
        <v>0</v>
      </c>
      <c r="BP25" s="375">
        <f t="shared" si="190"/>
        <v>3.5</v>
      </c>
      <c r="BQ25" s="376">
        <f t="shared" si="54"/>
        <v>8.5</v>
      </c>
      <c r="BR25" s="373">
        <f t="shared" si="55"/>
        <v>1.31678125</v>
      </c>
      <c r="BS25" s="374" t="str">
        <f t="shared" si="181"/>
        <v>(0.12)</v>
      </c>
      <c r="BT25" s="375">
        <v>2</v>
      </c>
      <c r="BU25" s="375">
        <f t="shared" si="57"/>
        <v>3.5</v>
      </c>
      <c r="BV25" s="375">
        <v>0</v>
      </c>
      <c r="BW25" s="375">
        <f t="shared" si="58"/>
        <v>0</v>
      </c>
      <c r="BX25" s="375">
        <v>0</v>
      </c>
      <c r="BY25" s="375">
        <f t="shared" si="59"/>
        <v>0</v>
      </c>
      <c r="BZ25" s="375">
        <f t="shared" si="191"/>
        <v>3.5</v>
      </c>
      <c r="CA25" s="376">
        <f t="shared" si="61"/>
        <v>14.5</v>
      </c>
      <c r="CB25" s="373">
        <f t="shared" si="62"/>
        <v>1.8616562500000002</v>
      </c>
      <c r="CC25" s="374" t="str">
        <f t="shared" si="182"/>
        <v>(0.17)</v>
      </c>
      <c r="CD25" s="375">
        <v>2</v>
      </c>
      <c r="CE25" s="375">
        <f t="shared" si="64"/>
        <v>3.5</v>
      </c>
      <c r="CF25" s="375">
        <v>0</v>
      </c>
      <c r="CG25" s="375">
        <f t="shared" si="65"/>
        <v>0</v>
      </c>
      <c r="CH25" s="375">
        <v>0</v>
      </c>
      <c r="CI25" s="375">
        <f t="shared" si="66"/>
        <v>0</v>
      </c>
      <c r="CJ25" s="375">
        <f t="shared" si="192"/>
        <v>3.5</v>
      </c>
      <c r="CK25" s="376">
        <f t="shared" si="68"/>
        <v>20.5</v>
      </c>
      <c r="CL25" s="373">
        <f t="shared" si="69"/>
        <v>2.40653125</v>
      </c>
      <c r="CM25" s="374" t="str">
        <f t="shared" si="183"/>
        <v>(0.22)</v>
      </c>
      <c r="CN25" s="375">
        <v>2</v>
      </c>
      <c r="CO25" s="375">
        <f t="shared" si="71"/>
        <v>3.5</v>
      </c>
      <c r="CP25" s="375">
        <v>0</v>
      </c>
      <c r="CQ25" s="375">
        <f t="shared" si="72"/>
        <v>0</v>
      </c>
      <c r="CR25" s="375">
        <v>0</v>
      </c>
      <c r="CS25" s="375">
        <f t="shared" si="73"/>
        <v>0</v>
      </c>
      <c r="CT25" s="375">
        <f t="shared" si="193"/>
        <v>3.5</v>
      </c>
      <c r="CU25" s="376">
        <f t="shared" si="75"/>
        <v>26.5</v>
      </c>
      <c r="CV25" s="373">
        <f t="shared" si="76"/>
        <v>2.9514062499999998</v>
      </c>
      <c r="CW25" s="374" t="str">
        <f t="shared" si="184"/>
        <v>(0.27)</v>
      </c>
      <c r="CX25" s="375">
        <v>2</v>
      </c>
      <c r="CY25" s="375">
        <f t="shared" si="78"/>
        <v>3.5</v>
      </c>
      <c r="CZ25" s="375">
        <v>0</v>
      </c>
      <c r="DA25" s="375">
        <f t="shared" si="79"/>
        <v>0</v>
      </c>
      <c r="DB25" s="375">
        <v>0</v>
      </c>
      <c r="DC25" s="375">
        <f t="shared" si="80"/>
        <v>0</v>
      </c>
      <c r="DD25" s="375">
        <f t="shared" si="194"/>
        <v>3.5</v>
      </c>
      <c r="DE25" s="376">
        <f t="shared" si="82"/>
        <v>32.5</v>
      </c>
      <c r="DF25" s="373">
        <f t="shared" si="83"/>
        <v>3.49628125</v>
      </c>
      <c r="DG25" s="374" t="str">
        <f t="shared" si="185"/>
        <v>(0.32)</v>
      </c>
      <c r="DH25" s="375">
        <v>2</v>
      </c>
      <c r="DI25" s="375">
        <f t="shared" si="85"/>
        <v>3.5</v>
      </c>
      <c r="DJ25" s="375">
        <v>0</v>
      </c>
      <c r="DK25" s="375">
        <f t="shared" si="86"/>
        <v>0</v>
      </c>
      <c r="DL25" s="375">
        <v>0</v>
      </c>
      <c r="DM25" s="375">
        <f t="shared" si="87"/>
        <v>0</v>
      </c>
      <c r="DN25" s="375">
        <f t="shared" si="195"/>
        <v>3.5</v>
      </c>
      <c r="DO25" s="376">
        <f t="shared" si="89"/>
        <v>38.5</v>
      </c>
      <c r="DP25" s="373">
        <f t="shared" si="90"/>
        <v>4.0411562500000002</v>
      </c>
      <c r="DQ25" s="374" t="str">
        <f t="shared" si="186"/>
        <v>(0.38)</v>
      </c>
      <c r="DR25" s="375">
        <v>2</v>
      </c>
      <c r="DS25" s="375">
        <f t="shared" si="92"/>
        <v>3.5</v>
      </c>
      <c r="DT25" s="375">
        <v>0</v>
      </c>
      <c r="DU25" s="375">
        <f t="shared" si="93"/>
        <v>0</v>
      </c>
      <c r="DV25" s="375">
        <v>0</v>
      </c>
      <c r="DW25" s="375">
        <f t="shared" si="94"/>
        <v>0</v>
      </c>
      <c r="DX25" s="375">
        <f t="shared" si="196"/>
        <v>3.5</v>
      </c>
      <c r="DY25" s="376">
        <f t="shared" si="96"/>
        <v>44.5</v>
      </c>
      <c r="DZ25" s="373">
        <f t="shared" si="97"/>
        <v>4.4952187500000003</v>
      </c>
      <c r="EA25" s="374" t="str">
        <f t="shared" si="197"/>
        <v>(0.42)</v>
      </c>
      <c r="EB25" s="375">
        <v>2</v>
      </c>
      <c r="EC25" s="375">
        <f t="shared" si="99"/>
        <v>3.5</v>
      </c>
      <c r="ED25" s="375">
        <v>0</v>
      </c>
      <c r="EE25" s="375">
        <f t="shared" si="100"/>
        <v>0</v>
      </c>
      <c r="EF25" s="375">
        <v>1</v>
      </c>
      <c r="EG25" s="375">
        <f t="shared" si="101"/>
        <v>1</v>
      </c>
      <c r="EH25" s="375">
        <f t="shared" si="198"/>
        <v>4.5</v>
      </c>
      <c r="EI25" s="376">
        <f t="shared" si="103"/>
        <v>49.5</v>
      </c>
      <c r="EJ25" s="373">
        <f t="shared" si="104"/>
        <v>5.0400937500000005</v>
      </c>
      <c r="EK25" s="374" t="str">
        <f t="shared" si="199"/>
        <v>(0.47)</v>
      </c>
      <c r="EL25" s="375">
        <v>2</v>
      </c>
      <c r="EM25" s="375">
        <f t="shared" si="106"/>
        <v>3.5</v>
      </c>
      <c r="EN25" s="375">
        <v>0</v>
      </c>
      <c r="EO25" s="375">
        <f t="shared" si="107"/>
        <v>0</v>
      </c>
      <c r="EP25" s="375">
        <v>1</v>
      </c>
      <c r="EQ25" s="375">
        <f t="shared" si="108"/>
        <v>1</v>
      </c>
      <c r="ER25" s="375">
        <f t="shared" si="200"/>
        <v>4.5</v>
      </c>
      <c r="ES25" s="376">
        <f t="shared" si="110"/>
        <v>55.5</v>
      </c>
      <c r="ET25" s="373">
        <f t="shared" si="111"/>
        <v>5.5849687499999998</v>
      </c>
      <c r="EU25" s="374" t="str">
        <f t="shared" si="201"/>
        <v>(0.52)</v>
      </c>
      <c r="EV25" s="375">
        <v>2</v>
      </c>
      <c r="EW25" s="375">
        <f t="shared" si="113"/>
        <v>3.5</v>
      </c>
      <c r="EX25" s="375">
        <v>0</v>
      </c>
      <c r="EY25" s="375">
        <f t="shared" si="114"/>
        <v>0</v>
      </c>
      <c r="EZ25" s="375">
        <v>1</v>
      </c>
      <c r="FA25" s="375">
        <f t="shared" si="115"/>
        <v>1</v>
      </c>
      <c r="FB25" s="375">
        <f t="shared" si="202"/>
        <v>4.5</v>
      </c>
      <c r="FC25" s="376">
        <f t="shared" si="117"/>
        <v>61.5</v>
      </c>
      <c r="FD25" s="373">
        <f t="shared" si="118"/>
        <v>6.1184921874999993</v>
      </c>
      <c r="FE25" s="374" t="str">
        <f t="shared" si="203"/>
        <v>(0.57)</v>
      </c>
      <c r="FF25" s="375">
        <v>2</v>
      </c>
      <c r="FG25" s="375">
        <f t="shared" si="120"/>
        <v>3.5</v>
      </c>
      <c r="FH25" s="375">
        <v>1</v>
      </c>
      <c r="FI25" s="375">
        <f t="shared" si="121"/>
        <v>1.125</v>
      </c>
      <c r="FJ25" s="375">
        <v>0</v>
      </c>
      <c r="FK25" s="375">
        <f t="shared" si="122"/>
        <v>0</v>
      </c>
      <c r="FL25" s="375">
        <f t="shared" si="204"/>
        <v>4.625</v>
      </c>
      <c r="FM25" s="376">
        <f t="shared" si="124"/>
        <v>67.375</v>
      </c>
      <c r="FN25" s="373">
        <f t="shared" si="125"/>
        <v>6.6633671874999996</v>
      </c>
      <c r="FO25" s="374" t="str">
        <f t="shared" si="203"/>
        <v>(0.62)</v>
      </c>
      <c r="FP25" s="375">
        <v>2</v>
      </c>
      <c r="FQ25" s="375">
        <f t="shared" si="127"/>
        <v>3.5</v>
      </c>
      <c r="FR25" s="375">
        <v>1</v>
      </c>
      <c r="FS25" s="375">
        <f t="shared" si="128"/>
        <v>1.125</v>
      </c>
      <c r="FT25" s="375">
        <v>0</v>
      </c>
      <c r="FU25" s="375">
        <f t="shared" si="129"/>
        <v>0</v>
      </c>
      <c r="FV25" s="375">
        <f t="shared" si="205"/>
        <v>4.625</v>
      </c>
      <c r="FW25" s="376">
        <f t="shared" si="131"/>
        <v>73.375</v>
      </c>
      <c r="FX25" s="373">
        <f t="shared" si="132"/>
        <v>7.2082421875000007</v>
      </c>
      <c r="FY25" s="374" t="str">
        <f t="shared" si="206"/>
        <v>(0.67)</v>
      </c>
      <c r="FZ25" s="375">
        <v>2</v>
      </c>
      <c r="GA25" s="375">
        <f t="shared" si="134"/>
        <v>3.5</v>
      </c>
      <c r="GB25" s="375">
        <v>1</v>
      </c>
      <c r="GC25" s="375">
        <f t="shared" si="135"/>
        <v>1.125</v>
      </c>
      <c r="GD25" s="375">
        <v>0</v>
      </c>
      <c r="GE25" s="375">
        <f t="shared" si="136"/>
        <v>0</v>
      </c>
      <c r="GF25" s="375">
        <f t="shared" si="207"/>
        <v>4.625</v>
      </c>
      <c r="GG25" s="376">
        <f t="shared" si="138"/>
        <v>79.375</v>
      </c>
      <c r="GH25" s="373">
        <f t="shared" si="139"/>
        <v>7.7531171875</v>
      </c>
      <c r="GI25" s="374" t="str">
        <f t="shared" si="208"/>
        <v>(0.72)</v>
      </c>
      <c r="GJ25" s="375">
        <v>2</v>
      </c>
      <c r="GK25" s="375">
        <f t="shared" si="141"/>
        <v>3.5</v>
      </c>
      <c r="GL25" s="375">
        <v>1</v>
      </c>
      <c r="GM25" s="375">
        <f t="shared" si="142"/>
        <v>1.125</v>
      </c>
      <c r="GN25" s="375">
        <v>0</v>
      </c>
      <c r="GO25" s="375">
        <f t="shared" si="143"/>
        <v>0</v>
      </c>
      <c r="GP25" s="375">
        <f t="shared" si="209"/>
        <v>4.625</v>
      </c>
      <c r="GQ25" s="376">
        <f t="shared" si="145"/>
        <v>85.375</v>
      </c>
      <c r="GR25" s="373">
        <f t="shared" si="146"/>
        <v>8.2979921875000002</v>
      </c>
      <c r="GS25" s="374" t="str">
        <f t="shared" si="210"/>
        <v>(0.77)</v>
      </c>
      <c r="GT25" s="375">
        <v>2</v>
      </c>
      <c r="GU25" s="375">
        <f t="shared" si="148"/>
        <v>3.5</v>
      </c>
      <c r="GV25" s="375">
        <v>1</v>
      </c>
      <c r="GW25" s="375">
        <f t="shared" si="149"/>
        <v>1.125</v>
      </c>
      <c r="GX25" s="375">
        <v>0</v>
      </c>
      <c r="GY25" s="375">
        <f t="shared" si="150"/>
        <v>0</v>
      </c>
      <c r="GZ25" s="375">
        <f t="shared" si="211"/>
        <v>4.625</v>
      </c>
      <c r="HA25" s="376">
        <f t="shared" si="152"/>
        <v>91.375</v>
      </c>
      <c r="HB25" s="373">
        <f t="shared" si="153"/>
        <v>8.8428671874999996</v>
      </c>
      <c r="HC25" s="374" t="str">
        <f t="shared" si="212"/>
        <v>(0.82)</v>
      </c>
      <c r="HD25" s="375">
        <v>2</v>
      </c>
      <c r="HE25" s="375">
        <f t="shared" si="155"/>
        <v>3.5</v>
      </c>
      <c r="HF25" s="375">
        <v>1</v>
      </c>
      <c r="HG25" s="375">
        <f t="shared" si="156"/>
        <v>1.125</v>
      </c>
      <c r="HH25" s="375">
        <v>0</v>
      </c>
      <c r="HI25" s="375">
        <f t="shared" si="157"/>
        <v>0</v>
      </c>
      <c r="HJ25" s="375">
        <f t="shared" si="213"/>
        <v>4.625</v>
      </c>
      <c r="HK25" s="376">
        <f t="shared" si="159"/>
        <v>97.375</v>
      </c>
      <c r="HL25" s="373">
        <f t="shared" si="160"/>
        <v>9.2061171875000003</v>
      </c>
      <c r="HM25" s="374" t="str">
        <f t="shared" si="214"/>
        <v>(0.86)</v>
      </c>
      <c r="HN25" s="375">
        <v>2</v>
      </c>
      <c r="HO25" s="375">
        <f t="shared" si="162"/>
        <v>3.5</v>
      </c>
      <c r="HP25" s="375">
        <v>1</v>
      </c>
      <c r="HQ25" s="375">
        <f t="shared" si="163"/>
        <v>1.125</v>
      </c>
      <c r="HR25" s="375">
        <v>2</v>
      </c>
      <c r="HS25" s="375">
        <f t="shared" si="164"/>
        <v>2</v>
      </c>
      <c r="HT25" s="375">
        <f t="shared" si="215"/>
        <v>6.625</v>
      </c>
      <c r="HU25" s="376">
        <f t="shared" si="166"/>
        <v>101.375</v>
      </c>
      <c r="HV25" s="373">
        <f t="shared" si="167"/>
        <v>9.7509921874999996</v>
      </c>
      <c r="HW25" s="374" t="str">
        <f t="shared" si="216"/>
        <v>(0.91)</v>
      </c>
      <c r="HX25" s="375">
        <v>2</v>
      </c>
      <c r="HY25" s="375">
        <f t="shared" si="169"/>
        <v>3.5</v>
      </c>
      <c r="HZ25" s="375">
        <v>1</v>
      </c>
      <c r="IA25" s="375">
        <f t="shared" si="170"/>
        <v>1.125</v>
      </c>
      <c r="IB25" s="375">
        <v>2</v>
      </c>
      <c r="IC25" s="375">
        <f t="shared" si="171"/>
        <v>2</v>
      </c>
      <c r="ID25" s="375">
        <f t="shared" si="217"/>
        <v>6.625</v>
      </c>
      <c r="IE25" s="376">
        <f t="shared" si="173"/>
        <v>107.375</v>
      </c>
      <c r="IF25" s="373">
        <f t="shared" si="174"/>
        <v>10.295867187500001</v>
      </c>
      <c r="IG25" s="374" t="str">
        <f t="shared" si="218"/>
        <v>(0.96)</v>
      </c>
      <c r="IH25" s="22">
        <v>2</v>
      </c>
      <c r="II25" s="22">
        <f t="shared" si="176"/>
        <v>3.5</v>
      </c>
      <c r="IJ25" s="22">
        <v>1</v>
      </c>
      <c r="IK25" s="22">
        <f t="shared" si="177"/>
        <v>1.125</v>
      </c>
      <c r="IL25" s="22">
        <v>2</v>
      </c>
      <c r="IM25" s="22">
        <f t="shared" si="178"/>
        <v>2</v>
      </c>
      <c r="IN25" s="22">
        <f t="shared" si="219"/>
        <v>6.625</v>
      </c>
      <c r="IO25" s="23">
        <f t="shared" si="180"/>
        <v>113.375</v>
      </c>
      <c r="IP25" s="24"/>
      <c r="IQ25" s="25">
        <v>4</v>
      </c>
      <c r="IR25" s="26">
        <v>3.1160000000000001</v>
      </c>
      <c r="IS25" s="26">
        <v>3.0659999999999998</v>
      </c>
      <c r="IT25" s="26">
        <v>0.76300000000000001</v>
      </c>
      <c r="IU25" s="26">
        <v>1.75</v>
      </c>
      <c r="IV25" s="26">
        <v>1</v>
      </c>
      <c r="IW25" s="26">
        <v>1.125</v>
      </c>
      <c r="IX25" s="8"/>
    </row>
    <row r="26" spans="2:258" ht="15.75" thickBot="1" x14ac:dyDescent="0.3">
      <c r="B26" s="103">
        <f t="shared" si="39"/>
        <v>48</v>
      </c>
      <c r="C26" s="221">
        <v>9</v>
      </c>
      <c r="D26" s="98">
        <f t="shared" si="0"/>
        <v>0.28448177083333337</v>
      </c>
      <c r="E26" s="96">
        <f t="shared" si="1"/>
        <v>0.43965364583333333</v>
      </c>
      <c r="F26" s="96">
        <f t="shared" si="2"/>
        <v>0.49999826388888885</v>
      </c>
      <c r="G26" s="96">
        <f t="shared" si="3"/>
        <v>0.53017057291666658</v>
      </c>
      <c r="H26" s="96">
        <f t="shared" si="4"/>
        <v>0.54827395833333337</v>
      </c>
      <c r="I26" s="96">
        <f t="shared" si="5"/>
        <v>0.56034288194444437</v>
      </c>
      <c r="J26" s="96">
        <f t="shared" si="6"/>
        <v>0.56896354166666663</v>
      </c>
      <c r="K26" s="96">
        <f t="shared" si="7"/>
        <v>0.57542903645833332</v>
      </c>
      <c r="L26" s="96">
        <f t="shared" si="8"/>
        <v>0.56896354166666674</v>
      </c>
      <c r="M26" s="96">
        <f t="shared" si="9"/>
        <v>0.57413593750000003</v>
      </c>
      <c r="N26" s="96">
        <f t="shared" si="10"/>
        <v>0.57836789772727271</v>
      </c>
      <c r="O26" s="96">
        <f t="shared" si="11"/>
        <v>0.58081694878472223</v>
      </c>
      <c r="P26" s="96">
        <f t="shared" si="12"/>
        <v>0.58388391426282049</v>
      </c>
      <c r="Q26" s="96">
        <f t="shared" si="13"/>
        <v>0.58651274181547619</v>
      </c>
      <c r="R26" s="96">
        <f t="shared" si="14"/>
        <v>0.58879105902777773</v>
      </c>
      <c r="S26" s="96">
        <f t="shared" si="15"/>
        <v>0.59078458658854172</v>
      </c>
      <c r="T26" s="96">
        <f t="shared" si="16"/>
        <v>0.592543581495098</v>
      </c>
      <c r="U26" s="96">
        <f t="shared" si="17"/>
        <v>0.58261291956018513</v>
      </c>
      <c r="V26" s="96">
        <f t="shared" si="18"/>
        <v>0.58461684484649112</v>
      </c>
      <c r="W26" s="96">
        <f t="shared" si="19"/>
        <v>0.58642037760416665</v>
      </c>
      <c r="X26" s="64"/>
      <c r="Y26" s="65"/>
      <c r="AT26" s="4"/>
      <c r="AU26" s="27">
        <f t="shared" si="220"/>
        <v>30</v>
      </c>
      <c r="AV26" s="28" t="str">
        <f t="shared" si="40"/>
        <v>(750)</v>
      </c>
      <c r="AW26" s="19">
        <f t="shared" si="221"/>
        <v>11</v>
      </c>
      <c r="AX26" s="20">
        <f t="shared" si="41"/>
        <v>0.66951041666666666</v>
      </c>
      <c r="AY26" s="29" t="str">
        <f t="shared" si="187"/>
        <v>(0.06)</v>
      </c>
      <c r="AZ26" s="22">
        <v>2</v>
      </c>
      <c r="BA26" s="22">
        <f t="shared" si="43"/>
        <v>3.5</v>
      </c>
      <c r="BB26" s="30">
        <v>0</v>
      </c>
      <c r="BC26" s="22">
        <f t="shared" si="44"/>
        <v>0</v>
      </c>
      <c r="BD26" s="30">
        <v>0</v>
      </c>
      <c r="BE26" s="22">
        <f t="shared" si="45"/>
        <v>0</v>
      </c>
      <c r="BF26" s="22">
        <f t="shared" si="188"/>
        <v>3.5</v>
      </c>
      <c r="BG26" s="23">
        <f t="shared" si="47"/>
        <v>5.5</v>
      </c>
      <c r="BH26" s="373">
        <f t="shared" si="48"/>
        <v>1.0346979166666666</v>
      </c>
      <c r="BI26" s="374" t="str">
        <f t="shared" si="189"/>
        <v>(0.10)</v>
      </c>
      <c r="BJ26" s="375">
        <v>2</v>
      </c>
      <c r="BK26" s="375">
        <f t="shared" si="50"/>
        <v>3.5</v>
      </c>
      <c r="BL26" s="375">
        <v>0</v>
      </c>
      <c r="BM26" s="375">
        <f t="shared" si="51"/>
        <v>0</v>
      </c>
      <c r="BN26" s="375">
        <v>0</v>
      </c>
      <c r="BO26" s="375">
        <f t="shared" si="52"/>
        <v>0</v>
      </c>
      <c r="BP26" s="375">
        <f t="shared" si="190"/>
        <v>3.5</v>
      </c>
      <c r="BQ26" s="376">
        <f t="shared" si="54"/>
        <v>8.5</v>
      </c>
      <c r="BR26" s="373">
        <f t="shared" si="55"/>
        <v>1.7650729166666668</v>
      </c>
      <c r="BS26" s="374" t="str">
        <f t="shared" si="181"/>
        <v>(0.16)</v>
      </c>
      <c r="BT26" s="375">
        <v>2</v>
      </c>
      <c r="BU26" s="375">
        <f t="shared" si="57"/>
        <v>3.5</v>
      </c>
      <c r="BV26" s="375">
        <v>0</v>
      </c>
      <c r="BW26" s="375">
        <f t="shared" si="58"/>
        <v>0</v>
      </c>
      <c r="BX26" s="375">
        <v>0</v>
      </c>
      <c r="BY26" s="375">
        <f t="shared" si="59"/>
        <v>0</v>
      </c>
      <c r="BZ26" s="375">
        <f t="shared" si="191"/>
        <v>3.5</v>
      </c>
      <c r="CA26" s="376">
        <f t="shared" si="61"/>
        <v>14.5</v>
      </c>
      <c r="CB26" s="373">
        <f t="shared" si="62"/>
        <v>2.4954479166666665</v>
      </c>
      <c r="CC26" s="374" t="str">
        <f t="shared" si="182"/>
        <v>(0.23)</v>
      </c>
      <c r="CD26" s="375">
        <v>2</v>
      </c>
      <c r="CE26" s="375">
        <f t="shared" si="64"/>
        <v>3.5</v>
      </c>
      <c r="CF26" s="375">
        <v>0</v>
      </c>
      <c r="CG26" s="375">
        <f t="shared" si="65"/>
        <v>0</v>
      </c>
      <c r="CH26" s="375">
        <v>0</v>
      </c>
      <c r="CI26" s="375">
        <f t="shared" si="66"/>
        <v>0</v>
      </c>
      <c r="CJ26" s="375">
        <f t="shared" si="192"/>
        <v>3.5</v>
      </c>
      <c r="CK26" s="376">
        <f t="shared" si="68"/>
        <v>20.5</v>
      </c>
      <c r="CL26" s="373">
        <f t="shared" si="69"/>
        <v>3.225822916666667</v>
      </c>
      <c r="CM26" s="374" t="str">
        <f t="shared" si="183"/>
        <v>(0.3)</v>
      </c>
      <c r="CN26" s="375">
        <v>2</v>
      </c>
      <c r="CO26" s="375">
        <f t="shared" si="71"/>
        <v>3.5</v>
      </c>
      <c r="CP26" s="375">
        <v>0</v>
      </c>
      <c r="CQ26" s="375">
        <f t="shared" si="72"/>
        <v>0</v>
      </c>
      <c r="CR26" s="375">
        <v>0</v>
      </c>
      <c r="CS26" s="375">
        <f t="shared" si="73"/>
        <v>0</v>
      </c>
      <c r="CT26" s="375">
        <f t="shared" si="193"/>
        <v>3.5</v>
      </c>
      <c r="CU26" s="376">
        <f t="shared" si="75"/>
        <v>26.5</v>
      </c>
      <c r="CV26" s="373">
        <f t="shared" si="76"/>
        <v>3.9561979166666665</v>
      </c>
      <c r="CW26" s="374" t="str">
        <f t="shared" si="184"/>
        <v>(0.37)</v>
      </c>
      <c r="CX26" s="375">
        <v>2</v>
      </c>
      <c r="CY26" s="375">
        <f t="shared" si="78"/>
        <v>3.5</v>
      </c>
      <c r="CZ26" s="375">
        <v>0</v>
      </c>
      <c r="DA26" s="375">
        <f t="shared" si="79"/>
        <v>0</v>
      </c>
      <c r="DB26" s="375">
        <v>0</v>
      </c>
      <c r="DC26" s="375">
        <f t="shared" si="80"/>
        <v>0</v>
      </c>
      <c r="DD26" s="375">
        <f t="shared" si="194"/>
        <v>3.5</v>
      </c>
      <c r="DE26" s="376">
        <f t="shared" si="82"/>
        <v>32.5</v>
      </c>
      <c r="DF26" s="373">
        <f t="shared" si="83"/>
        <v>4.6865729166666661</v>
      </c>
      <c r="DG26" s="374" t="str">
        <f t="shared" si="185"/>
        <v>(0.44)</v>
      </c>
      <c r="DH26" s="375">
        <v>2</v>
      </c>
      <c r="DI26" s="375">
        <f t="shared" si="85"/>
        <v>3.5</v>
      </c>
      <c r="DJ26" s="375">
        <v>0</v>
      </c>
      <c r="DK26" s="375">
        <f t="shared" si="86"/>
        <v>0</v>
      </c>
      <c r="DL26" s="375">
        <v>0</v>
      </c>
      <c r="DM26" s="375">
        <f t="shared" si="87"/>
        <v>0</v>
      </c>
      <c r="DN26" s="375">
        <f t="shared" si="195"/>
        <v>3.5</v>
      </c>
      <c r="DO26" s="376">
        <f t="shared" si="89"/>
        <v>38.5</v>
      </c>
      <c r="DP26" s="373">
        <f t="shared" si="90"/>
        <v>5.4169479166666665</v>
      </c>
      <c r="DQ26" s="374" t="str">
        <f t="shared" si="186"/>
        <v>(0.5)</v>
      </c>
      <c r="DR26" s="375">
        <v>2</v>
      </c>
      <c r="DS26" s="375">
        <f t="shared" si="92"/>
        <v>3.5</v>
      </c>
      <c r="DT26" s="375">
        <v>0</v>
      </c>
      <c r="DU26" s="375">
        <f t="shared" si="93"/>
        <v>0</v>
      </c>
      <c r="DV26" s="375">
        <v>0</v>
      </c>
      <c r="DW26" s="375">
        <f t="shared" si="94"/>
        <v>0</v>
      </c>
      <c r="DX26" s="375">
        <f t="shared" si="196"/>
        <v>3.5</v>
      </c>
      <c r="DY26" s="376">
        <f t="shared" si="96"/>
        <v>44.5</v>
      </c>
      <c r="DZ26" s="373">
        <f t="shared" si="97"/>
        <v>6.0255937500000005</v>
      </c>
      <c r="EA26" s="374" t="str">
        <f t="shared" si="197"/>
        <v>(0.56)</v>
      </c>
      <c r="EB26" s="375">
        <v>2</v>
      </c>
      <c r="EC26" s="375">
        <f t="shared" si="99"/>
        <v>3.5</v>
      </c>
      <c r="ED26" s="375">
        <v>0</v>
      </c>
      <c r="EE26" s="375">
        <f t="shared" si="100"/>
        <v>0</v>
      </c>
      <c r="EF26" s="375">
        <v>1</v>
      </c>
      <c r="EG26" s="375">
        <f t="shared" si="101"/>
        <v>1</v>
      </c>
      <c r="EH26" s="375">
        <f t="shared" si="198"/>
        <v>4.5</v>
      </c>
      <c r="EI26" s="376">
        <f t="shared" si="103"/>
        <v>49.5</v>
      </c>
      <c r="EJ26" s="373">
        <f t="shared" si="104"/>
        <v>6.7559687500000001</v>
      </c>
      <c r="EK26" s="374" t="str">
        <f t="shared" si="199"/>
        <v>(0.63)</v>
      </c>
      <c r="EL26" s="375">
        <v>2</v>
      </c>
      <c r="EM26" s="375">
        <f t="shared" si="106"/>
        <v>3.5</v>
      </c>
      <c r="EN26" s="375">
        <v>0</v>
      </c>
      <c r="EO26" s="375">
        <f t="shared" si="107"/>
        <v>0</v>
      </c>
      <c r="EP26" s="375">
        <v>1</v>
      </c>
      <c r="EQ26" s="375">
        <f t="shared" si="108"/>
        <v>1</v>
      </c>
      <c r="ER26" s="375">
        <f t="shared" si="200"/>
        <v>4.5</v>
      </c>
      <c r="ES26" s="376">
        <f t="shared" si="110"/>
        <v>55.5</v>
      </c>
      <c r="ET26" s="373">
        <f t="shared" si="111"/>
        <v>7.4863437499999996</v>
      </c>
      <c r="EU26" s="374" t="str">
        <f t="shared" si="201"/>
        <v>(0.70)</v>
      </c>
      <c r="EV26" s="375">
        <v>2</v>
      </c>
      <c r="EW26" s="375">
        <f t="shared" si="113"/>
        <v>3.5</v>
      </c>
      <c r="EX26" s="375">
        <v>0</v>
      </c>
      <c r="EY26" s="375">
        <f t="shared" si="114"/>
        <v>0</v>
      </c>
      <c r="EZ26" s="375">
        <v>1</v>
      </c>
      <c r="FA26" s="375">
        <f t="shared" si="115"/>
        <v>1</v>
      </c>
      <c r="FB26" s="375">
        <f t="shared" si="202"/>
        <v>4.5</v>
      </c>
      <c r="FC26" s="376">
        <f t="shared" si="117"/>
        <v>61.5</v>
      </c>
      <c r="FD26" s="373">
        <f t="shared" si="118"/>
        <v>8.2015026041666665</v>
      </c>
      <c r="FE26" s="374" t="str">
        <f t="shared" si="203"/>
        <v>(0.76)</v>
      </c>
      <c r="FF26" s="375">
        <v>2</v>
      </c>
      <c r="FG26" s="375">
        <f t="shared" si="120"/>
        <v>3.5</v>
      </c>
      <c r="FH26" s="375">
        <v>1</v>
      </c>
      <c r="FI26" s="375">
        <f t="shared" si="121"/>
        <v>1.125</v>
      </c>
      <c r="FJ26" s="375">
        <v>0</v>
      </c>
      <c r="FK26" s="375">
        <f t="shared" si="122"/>
        <v>0</v>
      </c>
      <c r="FL26" s="375">
        <f t="shared" si="204"/>
        <v>4.625</v>
      </c>
      <c r="FM26" s="376">
        <f t="shared" si="124"/>
        <v>67.375</v>
      </c>
      <c r="FN26" s="373">
        <f t="shared" si="125"/>
        <v>8.9318776041666652</v>
      </c>
      <c r="FO26" s="374" t="str">
        <f t="shared" si="203"/>
        <v>(0.83)</v>
      </c>
      <c r="FP26" s="375">
        <v>2</v>
      </c>
      <c r="FQ26" s="375">
        <f t="shared" si="127"/>
        <v>3.5</v>
      </c>
      <c r="FR26" s="375">
        <v>1</v>
      </c>
      <c r="FS26" s="375">
        <f t="shared" si="128"/>
        <v>1.125</v>
      </c>
      <c r="FT26" s="375">
        <v>0</v>
      </c>
      <c r="FU26" s="375">
        <f t="shared" si="129"/>
        <v>0</v>
      </c>
      <c r="FV26" s="375">
        <f t="shared" si="205"/>
        <v>4.625</v>
      </c>
      <c r="FW26" s="376">
        <f t="shared" si="131"/>
        <v>73.375</v>
      </c>
      <c r="FX26" s="373">
        <f t="shared" si="132"/>
        <v>9.6622526041666656</v>
      </c>
      <c r="FY26" s="374" t="str">
        <f t="shared" si="206"/>
        <v>(0.90)</v>
      </c>
      <c r="FZ26" s="375">
        <v>2</v>
      </c>
      <c r="GA26" s="375">
        <f t="shared" si="134"/>
        <v>3.5</v>
      </c>
      <c r="GB26" s="375">
        <v>1</v>
      </c>
      <c r="GC26" s="375">
        <f t="shared" si="135"/>
        <v>1.125</v>
      </c>
      <c r="GD26" s="375">
        <v>0</v>
      </c>
      <c r="GE26" s="375">
        <f t="shared" si="136"/>
        <v>0</v>
      </c>
      <c r="GF26" s="375">
        <f t="shared" si="207"/>
        <v>4.625</v>
      </c>
      <c r="GG26" s="376">
        <f t="shared" si="138"/>
        <v>79.375</v>
      </c>
      <c r="GH26" s="373">
        <f t="shared" si="139"/>
        <v>10.392627604166668</v>
      </c>
      <c r="GI26" s="374" t="str">
        <f t="shared" si="208"/>
        <v>(0.97)</v>
      </c>
      <c r="GJ26" s="375">
        <v>2</v>
      </c>
      <c r="GK26" s="375">
        <f t="shared" si="141"/>
        <v>3.5</v>
      </c>
      <c r="GL26" s="375">
        <v>1</v>
      </c>
      <c r="GM26" s="375">
        <f t="shared" si="142"/>
        <v>1.125</v>
      </c>
      <c r="GN26" s="375">
        <v>0</v>
      </c>
      <c r="GO26" s="375">
        <f t="shared" si="143"/>
        <v>0</v>
      </c>
      <c r="GP26" s="375">
        <f t="shared" si="209"/>
        <v>4.625</v>
      </c>
      <c r="GQ26" s="376">
        <f t="shared" si="145"/>
        <v>85.375</v>
      </c>
      <c r="GR26" s="373">
        <f t="shared" si="146"/>
        <v>11.123002604166667</v>
      </c>
      <c r="GS26" s="374" t="str">
        <f t="shared" si="210"/>
        <v>(1.03)</v>
      </c>
      <c r="GT26" s="375">
        <v>2</v>
      </c>
      <c r="GU26" s="375">
        <f t="shared" si="148"/>
        <v>3.5</v>
      </c>
      <c r="GV26" s="375">
        <v>1</v>
      </c>
      <c r="GW26" s="375">
        <f t="shared" si="149"/>
        <v>1.125</v>
      </c>
      <c r="GX26" s="375">
        <v>0</v>
      </c>
      <c r="GY26" s="375">
        <f t="shared" si="150"/>
        <v>0</v>
      </c>
      <c r="GZ26" s="375">
        <f t="shared" si="211"/>
        <v>4.625</v>
      </c>
      <c r="HA26" s="376">
        <f t="shared" si="152"/>
        <v>91.375</v>
      </c>
      <c r="HB26" s="373">
        <f t="shared" si="153"/>
        <v>11.853377604166667</v>
      </c>
      <c r="HC26" s="374" t="str">
        <f t="shared" si="212"/>
        <v>(1.10)</v>
      </c>
      <c r="HD26" s="375">
        <v>2</v>
      </c>
      <c r="HE26" s="375">
        <f t="shared" si="155"/>
        <v>3.5</v>
      </c>
      <c r="HF26" s="375">
        <v>1</v>
      </c>
      <c r="HG26" s="375">
        <f t="shared" si="156"/>
        <v>1.125</v>
      </c>
      <c r="HH26" s="375">
        <v>0</v>
      </c>
      <c r="HI26" s="375">
        <f t="shared" si="157"/>
        <v>0</v>
      </c>
      <c r="HJ26" s="375">
        <f t="shared" si="213"/>
        <v>4.625</v>
      </c>
      <c r="HK26" s="376">
        <f t="shared" si="159"/>
        <v>97.375</v>
      </c>
      <c r="HL26" s="373">
        <f t="shared" si="160"/>
        <v>12.340294270833333</v>
      </c>
      <c r="HM26" s="374" t="str">
        <f t="shared" si="214"/>
        <v>(1.15)</v>
      </c>
      <c r="HN26" s="375">
        <v>2</v>
      </c>
      <c r="HO26" s="375">
        <f t="shared" si="162"/>
        <v>3.5</v>
      </c>
      <c r="HP26" s="375">
        <v>1</v>
      </c>
      <c r="HQ26" s="375">
        <f t="shared" si="163"/>
        <v>1.125</v>
      </c>
      <c r="HR26" s="375">
        <v>2</v>
      </c>
      <c r="HS26" s="375">
        <f t="shared" si="164"/>
        <v>2</v>
      </c>
      <c r="HT26" s="375">
        <f t="shared" si="215"/>
        <v>6.625</v>
      </c>
      <c r="HU26" s="376">
        <f t="shared" si="166"/>
        <v>101.375</v>
      </c>
      <c r="HV26" s="373">
        <f t="shared" si="167"/>
        <v>13.070669270833333</v>
      </c>
      <c r="HW26" s="374" t="str">
        <f t="shared" si="216"/>
        <v>(1.21)</v>
      </c>
      <c r="HX26" s="375">
        <v>2</v>
      </c>
      <c r="HY26" s="375">
        <f t="shared" si="169"/>
        <v>3.5</v>
      </c>
      <c r="HZ26" s="375">
        <v>1</v>
      </c>
      <c r="IA26" s="375">
        <f t="shared" si="170"/>
        <v>1.125</v>
      </c>
      <c r="IB26" s="375">
        <v>2</v>
      </c>
      <c r="IC26" s="375">
        <f t="shared" si="171"/>
        <v>2</v>
      </c>
      <c r="ID26" s="375">
        <f t="shared" si="217"/>
        <v>6.625</v>
      </c>
      <c r="IE26" s="376">
        <f t="shared" si="173"/>
        <v>107.375</v>
      </c>
      <c r="IF26" s="373">
        <f t="shared" si="174"/>
        <v>13.801044270833334</v>
      </c>
      <c r="IG26" s="374" t="str">
        <f t="shared" si="218"/>
        <v>(1.28)</v>
      </c>
      <c r="IH26" s="22">
        <v>2</v>
      </c>
      <c r="II26" s="22">
        <f t="shared" si="176"/>
        <v>3.5</v>
      </c>
      <c r="IJ26" s="30">
        <v>1</v>
      </c>
      <c r="IK26" s="22">
        <f t="shared" si="177"/>
        <v>1.125</v>
      </c>
      <c r="IL26" s="22">
        <v>2</v>
      </c>
      <c r="IM26" s="22">
        <f t="shared" si="178"/>
        <v>2</v>
      </c>
      <c r="IN26" s="22">
        <f t="shared" si="219"/>
        <v>6.625</v>
      </c>
      <c r="IO26" s="23">
        <f t="shared" si="180"/>
        <v>113.375</v>
      </c>
      <c r="IP26" s="24"/>
      <c r="IQ26" s="25">
        <v>5</v>
      </c>
      <c r="IR26" s="26">
        <v>3.1160000000000001</v>
      </c>
      <c r="IS26" s="26">
        <v>3.0659999999999998</v>
      </c>
      <c r="IT26" s="26">
        <v>2.149</v>
      </c>
      <c r="IU26" s="26">
        <v>1.75</v>
      </c>
      <c r="IV26" s="26">
        <v>1</v>
      </c>
      <c r="IW26" s="26">
        <v>1.125</v>
      </c>
      <c r="IX26" s="8"/>
    </row>
    <row r="27" spans="2:258" ht="15.75" thickBot="1" x14ac:dyDescent="0.3">
      <c r="B27" s="103">
        <f t="shared" si="39"/>
        <v>54</v>
      </c>
      <c r="C27" s="221">
        <v>10</v>
      </c>
      <c r="D27" s="98">
        <f t="shared" si="0"/>
        <v>0.28229089506172839</v>
      </c>
      <c r="E27" s="96">
        <f t="shared" si="1"/>
        <v>0.43626774691358028</v>
      </c>
      <c r="F27" s="96">
        <f t="shared" si="2"/>
        <v>0.49614763374485593</v>
      </c>
      <c r="G27" s="96">
        <f t="shared" si="3"/>
        <v>0.52608757716049381</v>
      </c>
      <c r="H27" s="96">
        <f t="shared" si="4"/>
        <v>0.54405154320987659</v>
      </c>
      <c r="I27" s="96">
        <f t="shared" si="5"/>
        <v>0.5560275205761317</v>
      </c>
      <c r="J27" s="96">
        <f t="shared" si="6"/>
        <v>0.56458179012345677</v>
      </c>
      <c r="K27" s="96">
        <f t="shared" si="7"/>
        <v>0.57099749228395058</v>
      </c>
      <c r="L27" s="96">
        <f t="shared" si="8"/>
        <v>0.56458179012345677</v>
      </c>
      <c r="M27" s="96">
        <f t="shared" si="9"/>
        <v>0.56971435185185193</v>
      </c>
      <c r="N27" s="96">
        <f t="shared" si="10"/>
        <v>0.57391372053872058</v>
      </c>
      <c r="O27" s="96">
        <f t="shared" si="11"/>
        <v>0.57634391075102875</v>
      </c>
      <c r="P27" s="96">
        <f t="shared" si="12"/>
        <v>0.57938725664767321</v>
      </c>
      <c r="Q27" s="96">
        <f t="shared" si="13"/>
        <v>0.58199583884479722</v>
      </c>
      <c r="R27" s="96">
        <f t="shared" si="14"/>
        <v>0.58425661008230456</v>
      </c>
      <c r="S27" s="96">
        <f t="shared" si="15"/>
        <v>0.58623478491512349</v>
      </c>
      <c r="T27" s="96">
        <f t="shared" si="16"/>
        <v>0.58798023329702254</v>
      </c>
      <c r="U27" s="96">
        <f t="shared" si="17"/>
        <v>0.57812605024005492</v>
      </c>
      <c r="V27" s="96">
        <f t="shared" si="18"/>
        <v>0.58011454272254714</v>
      </c>
      <c r="W27" s="96">
        <f t="shared" si="19"/>
        <v>0.58190418595679005</v>
      </c>
      <c r="X27" s="64"/>
      <c r="Y27" s="65"/>
      <c r="AT27" s="4"/>
      <c r="AU27" s="14">
        <f t="shared" si="220"/>
        <v>36</v>
      </c>
      <c r="AV27" s="12" t="str">
        <f t="shared" si="40"/>
        <v>(900)</v>
      </c>
      <c r="AW27" s="19">
        <f t="shared" si="221"/>
        <v>12</v>
      </c>
      <c r="AX27" s="20">
        <f t="shared" si="41"/>
        <v>0.80189236111111095</v>
      </c>
      <c r="AY27" s="21" t="str">
        <f t="shared" si="187"/>
        <v>(0.07)</v>
      </c>
      <c r="AZ27" s="22">
        <v>2</v>
      </c>
      <c r="BA27" s="22">
        <f t="shared" si="43"/>
        <v>3.5</v>
      </c>
      <c r="BB27" s="22">
        <v>0</v>
      </c>
      <c r="BC27" s="22">
        <f t="shared" si="44"/>
        <v>0</v>
      </c>
      <c r="BD27" s="22">
        <v>0</v>
      </c>
      <c r="BE27" s="22">
        <f t="shared" si="45"/>
        <v>0</v>
      </c>
      <c r="BF27" s="22">
        <f t="shared" si="188"/>
        <v>3.5</v>
      </c>
      <c r="BG27" s="23">
        <f t="shared" si="47"/>
        <v>5.5</v>
      </c>
      <c r="BH27" s="373">
        <f t="shared" si="48"/>
        <v>1.2392881944444443</v>
      </c>
      <c r="BI27" s="374" t="str">
        <f t="shared" si="189"/>
        <v>(0.12)</v>
      </c>
      <c r="BJ27" s="375">
        <v>2</v>
      </c>
      <c r="BK27" s="375">
        <f t="shared" si="50"/>
        <v>3.5</v>
      </c>
      <c r="BL27" s="375">
        <v>0</v>
      </c>
      <c r="BM27" s="375">
        <f t="shared" si="51"/>
        <v>0</v>
      </c>
      <c r="BN27" s="375">
        <v>0</v>
      </c>
      <c r="BO27" s="375">
        <f t="shared" si="52"/>
        <v>0</v>
      </c>
      <c r="BP27" s="375">
        <f t="shared" si="190"/>
        <v>3.5</v>
      </c>
      <c r="BQ27" s="376">
        <f t="shared" si="54"/>
        <v>8.5</v>
      </c>
      <c r="BR27" s="373">
        <f t="shared" si="55"/>
        <v>2.1140798611111107</v>
      </c>
      <c r="BS27" s="374" t="str">
        <f t="shared" si="181"/>
        <v>(0.2)</v>
      </c>
      <c r="BT27" s="375">
        <v>2</v>
      </c>
      <c r="BU27" s="375">
        <f t="shared" si="57"/>
        <v>3.5</v>
      </c>
      <c r="BV27" s="375">
        <v>0</v>
      </c>
      <c r="BW27" s="375">
        <f t="shared" si="58"/>
        <v>0</v>
      </c>
      <c r="BX27" s="375">
        <v>0</v>
      </c>
      <c r="BY27" s="375">
        <f t="shared" si="59"/>
        <v>0</v>
      </c>
      <c r="BZ27" s="375">
        <f t="shared" si="191"/>
        <v>3.5</v>
      </c>
      <c r="CA27" s="376">
        <f t="shared" si="61"/>
        <v>14.5</v>
      </c>
      <c r="CB27" s="373">
        <f t="shared" si="62"/>
        <v>2.9888715277777771</v>
      </c>
      <c r="CC27" s="374" t="str">
        <f t="shared" si="182"/>
        <v>(0.28)</v>
      </c>
      <c r="CD27" s="375">
        <v>2</v>
      </c>
      <c r="CE27" s="375">
        <f t="shared" si="64"/>
        <v>3.5</v>
      </c>
      <c r="CF27" s="375">
        <v>0</v>
      </c>
      <c r="CG27" s="375">
        <f t="shared" si="65"/>
        <v>0</v>
      </c>
      <c r="CH27" s="375">
        <v>0</v>
      </c>
      <c r="CI27" s="375">
        <f t="shared" si="66"/>
        <v>0</v>
      </c>
      <c r="CJ27" s="375">
        <f t="shared" si="192"/>
        <v>3.5</v>
      </c>
      <c r="CK27" s="376">
        <f t="shared" si="68"/>
        <v>20.5</v>
      </c>
      <c r="CL27" s="373">
        <f t="shared" si="69"/>
        <v>3.8636631944444439</v>
      </c>
      <c r="CM27" s="374" t="str">
        <f t="shared" si="183"/>
        <v>(0.36)</v>
      </c>
      <c r="CN27" s="375">
        <v>2</v>
      </c>
      <c r="CO27" s="375">
        <f t="shared" si="71"/>
        <v>3.5</v>
      </c>
      <c r="CP27" s="375">
        <v>0</v>
      </c>
      <c r="CQ27" s="375">
        <f t="shared" si="72"/>
        <v>0</v>
      </c>
      <c r="CR27" s="375">
        <v>0</v>
      </c>
      <c r="CS27" s="375">
        <f t="shared" si="73"/>
        <v>0</v>
      </c>
      <c r="CT27" s="375">
        <f t="shared" si="193"/>
        <v>3.5</v>
      </c>
      <c r="CU27" s="376">
        <f t="shared" si="75"/>
        <v>26.5</v>
      </c>
      <c r="CV27" s="373">
        <f t="shared" si="76"/>
        <v>4.7384548611111104</v>
      </c>
      <c r="CW27" s="374" t="str">
        <f t="shared" si="184"/>
        <v>(0.44)</v>
      </c>
      <c r="CX27" s="375">
        <v>2</v>
      </c>
      <c r="CY27" s="375">
        <f t="shared" si="78"/>
        <v>3.5</v>
      </c>
      <c r="CZ27" s="375">
        <v>0</v>
      </c>
      <c r="DA27" s="375">
        <f t="shared" si="79"/>
        <v>0</v>
      </c>
      <c r="DB27" s="375">
        <v>0</v>
      </c>
      <c r="DC27" s="375">
        <f t="shared" si="80"/>
        <v>0</v>
      </c>
      <c r="DD27" s="375">
        <f t="shared" si="194"/>
        <v>3.5</v>
      </c>
      <c r="DE27" s="376">
        <f t="shared" si="82"/>
        <v>32.5</v>
      </c>
      <c r="DF27" s="373">
        <f t="shared" si="83"/>
        <v>5.6132465277777772</v>
      </c>
      <c r="DG27" s="374" t="str">
        <f t="shared" si="185"/>
        <v>(0.52)</v>
      </c>
      <c r="DH27" s="375">
        <v>2</v>
      </c>
      <c r="DI27" s="375">
        <f t="shared" si="85"/>
        <v>3.5</v>
      </c>
      <c r="DJ27" s="375">
        <v>0</v>
      </c>
      <c r="DK27" s="375">
        <f t="shared" si="86"/>
        <v>0</v>
      </c>
      <c r="DL27" s="375">
        <v>0</v>
      </c>
      <c r="DM27" s="375">
        <f t="shared" si="87"/>
        <v>0</v>
      </c>
      <c r="DN27" s="375">
        <f t="shared" si="195"/>
        <v>3.5</v>
      </c>
      <c r="DO27" s="376">
        <f t="shared" si="89"/>
        <v>38.5</v>
      </c>
      <c r="DP27" s="373">
        <f t="shared" si="90"/>
        <v>6.4880381944444441</v>
      </c>
      <c r="DQ27" s="374" t="str">
        <f t="shared" si="186"/>
        <v>(0.6)</v>
      </c>
      <c r="DR27" s="375">
        <v>2</v>
      </c>
      <c r="DS27" s="375">
        <f t="shared" si="92"/>
        <v>3.5</v>
      </c>
      <c r="DT27" s="375">
        <v>0</v>
      </c>
      <c r="DU27" s="375">
        <f t="shared" si="93"/>
        <v>0</v>
      </c>
      <c r="DV27" s="375">
        <v>0</v>
      </c>
      <c r="DW27" s="375">
        <f t="shared" si="94"/>
        <v>0</v>
      </c>
      <c r="DX27" s="375">
        <f t="shared" si="196"/>
        <v>3.5</v>
      </c>
      <c r="DY27" s="376">
        <f t="shared" si="96"/>
        <v>44.5</v>
      </c>
      <c r="DZ27" s="373">
        <f t="shared" si="97"/>
        <v>7.2170312499999989</v>
      </c>
      <c r="EA27" s="374" t="str">
        <f t="shared" si="197"/>
        <v>(0.67)</v>
      </c>
      <c r="EB27" s="375">
        <v>2</v>
      </c>
      <c r="EC27" s="375">
        <f t="shared" si="99"/>
        <v>3.5</v>
      </c>
      <c r="ED27" s="375">
        <v>0</v>
      </c>
      <c r="EE27" s="375">
        <f t="shared" si="100"/>
        <v>0</v>
      </c>
      <c r="EF27" s="375">
        <v>1</v>
      </c>
      <c r="EG27" s="375">
        <f t="shared" si="101"/>
        <v>1</v>
      </c>
      <c r="EH27" s="375">
        <f t="shared" si="198"/>
        <v>4.5</v>
      </c>
      <c r="EI27" s="376">
        <f t="shared" si="103"/>
        <v>49.5</v>
      </c>
      <c r="EJ27" s="373">
        <f t="shared" si="104"/>
        <v>8.0918229166666649</v>
      </c>
      <c r="EK27" s="374" t="str">
        <f t="shared" si="199"/>
        <v>(0.75)</v>
      </c>
      <c r="EL27" s="375">
        <v>2</v>
      </c>
      <c r="EM27" s="375">
        <f t="shared" si="106"/>
        <v>3.5</v>
      </c>
      <c r="EN27" s="375">
        <v>0</v>
      </c>
      <c r="EO27" s="375">
        <f t="shared" si="107"/>
        <v>0</v>
      </c>
      <c r="EP27" s="375">
        <v>1</v>
      </c>
      <c r="EQ27" s="375">
        <f t="shared" si="108"/>
        <v>1</v>
      </c>
      <c r="ER27" s="375">
        <f t="shared" si="200"/>
        <v>4.5</v>
      </c>
      <c r="ES27" s="376">
        <f t="shared" si="110"/>
        <v>55.5</v>
      </c>
      <c r="ET27" s="373">
        <f t="shared" si="111"/>
        <v>8.9666145833333317</v>
      </c>
      <c r="EU27" s="374" t="str">
        <f t="shared" si="201"/>
        <v>(0.83)</v>
      </c>
      <c r="EV27" s="375">
        <v>2</v>
      </c>
      <c r="EW27" s="375">
        <f t="shared" si="113"/>
        <v>3.5</v>
      </c>
      <c r="EX27" s="375">
        <v>0</v>
      </c>
      <c r="EY27" s="375">
        <f t="shared" si="114"/>
        <v>0</v>
      </c>
      <c r="EZ27" s="375">
        <v>1</v>
      </c>
      <c r="FA27" s="375">
        <f t="shared" si="115"/>
        <v>1</v>
      </c>
      <c r="FB27" s="375">
        <f t="shared" si="202"/>
        <v>4.5</v>
      </c>
      <c r="FC27" s="376">
        <f t="shared" si="117"/>
        <v>61.5</v>
      </c>
      <c r="FD27" s="373">
        <f t="shared" si="118"/>
        <v>9.8231814236111106</v>
      </c>
      <c r="FE27" s="374" t="str">
        <f t="shared" si="203"/>
        <v>(0.91)</v>
      </c>
      <c r="FF27" s="375">
        <v>2</v>
      </c>
      <c r="FG27" s="375">
        <f t="shared" si="120"/>
        <v>3.5</v>
      </c>
      <c r="FH27" s="375">
        <v>1</v>
      </c>
      <c r="FI27" s="375">
        <f t="shared" si="121"/>
        <v>1.125</v>
      </c>
      <c r="FJ27" s="375">
        <v>0</v>
      </c>
      <c r="FK27" s="375">
        <f t="shared" si="122"/>
        <v>0</v>
      </c>
      <c r="FL27" s="375">
        <f t="shared" si="204"/>
        <v>4.625</v>
      </c>
      <c r="FM27" s="376">
        <f t="shared" si="124"/>
        <v>67.375</v>
      </c>
      <c r="FN27" s="373">
        <f t="shared" si="125"/>
        <v>10.697973090277777</v>
      </c>
      <c r="FO27" s="374" t="str">
        <f t="shared" si="203"/>
        <v>(0.99)</v>
      </c>
      <c r="FP27" s="375">
        <v>2</v>
      </c>
      <c r="FQ27" s="375">
        <f t="shared" si="127"/>
        <v>3.5</v>
      </c>
      <c r="FR27" s="375">
        <v>1</v>
      </c>
      <c r="FS27" s="375">
        <f t="shared" si="128"/>
        <v>1.125</v>
      </c>
      <c r="FT27" s="375">
        <v>0</v>
      </c>
      <c r="FU27" s="375">
        <f t="shared" si="129"/>
        <v>0</v>
      </c>
      <c r="FV27" s="375">
        <f t="shared" si="205"/>
        <v>4.625</v>
      </c>
      <c r="FW27" s="376">
        <f t="shared" si="131"/>
        <v>73.375</v>
      </c>
      <c r="FX27" s="373">
        <f t="shared" si="132"/>
        <v>11.572764756944444</v>
      </c>
      <c r="FY27" s="374" t="str">
        <f t="shared" si="206"/>
        <v>(1.08)</v>
      </c>
      <c r="FZ27" s="375">
        <v>2</v>
      </c>
      <c r="GA27" s="375">
        <f t="shared" si="134"/>
        <v>3.5</v>
      </c>
      <c r="GB27" s="375">
        <v>1</v>
      </c>
      <c r="GC27" s="375">
        <f t="shared" si="135"/>
        <v>1.125</v>
      </c>
      <c r="GD27" s="375">
        <v>0</v>
      </c>
      <c r="GE27" s="375">
        <f t="shared" si="136"/>
        <v>0</v>
      </c>
      <c r="GF27" s="375">
        <f t="shared" si="207"/>
        <v>4.625</v>
      </c>
      <c r="GG27" s="376">
        <f t="shared" si="138"/>
        <v>79.375</v>
      </c>
      <c r="GH27" s="373">
        <f t="shared" si="139"/>
        <v>12.447556423611111</v>
      </c>
      <c r="GI27" s="374" t="str">
        <f t="shared" si="208"/>
        <v>(1.16)</v>
      </c>
      <c r="GJ27" s="375">
        <v>2</v>
      </c>
      <c r="GK27" s="375">
        <f t="shared" si="141"/>
        <v>3.5</v>
      </c>
      <c r="GL27" s="375">
        <v>1</v>
      </c>
      <c r="GM27" s="375">
        <f t="shared" si="142"/>
        <v>1.125</v>
      </c>
      <c r="GN27" s="375">
        <v>0</v>
      </c>
      <c r="GO27" s="375">
        <f t="shared" si="143"/>
        <v>0</v>
      </c>
      <c r="GP27" s="375">
        <f t="shared" si="209"/>
        <v>4.625</v>
      </c>
      <c r="GQ27" s="376">
        <f t="shared" si="145"/>
        <v>85.375</v>
      </c>
      <c r="GR27" s="373">
        <f t="shared" si="146"/>
        <v>13.322348090277776</v>
      </c>
      <c r="GS27" s="374" t="str">
        <f t="shared" si="210"/>
        <v>(1.24)</v>
      </c>
      <c r="GT27" s="375">
        <v>2</v>
      </c>
      <c r="GU27" s="375">
        <f t="shared" si="148"/>
        <v>3.5</v>
      </c>
      <c r="GV27" s="375">
        <v>1</v>
      </c>
      <c r="GW27" s="375">
        <f t="shared" si="149"/>
        <v>1.125</v>
      </c>
      <c r="GX27" s="375">
        <v>0</v>
      </c>
      <c r="GY27" s="375">
        <f t="shared" si="150"/>
        <v>0</v>
      </c>
      <c r="GZ27" s="375">
        <f t="shared" si="211"/>
        <v>4.625</v>
      </c>
      <c r="HA27" s="376">
        <f t="shared" si="152"/>
        <v>91.375</v>
      </c>
      <c r="HB27" s="373">
        <f t="shared" si="153"/>
        <v>14.197139756944443</v>
      </c>
      <c r="HC27" s="374" t="str">
        <f t="shared" si="212"/>
        <v>(1.32)</v>
      </c>
      <c r="HD27" s="375">
        <v>2</v>
      </c>
      <c r="HE27" s="375">
        <f t="shared" si="155"/>
        <v>3.5</v>
      </c>
      <c r="HF27" s="375">
        <v>1</v>
      </c>
      <c r="HG27" s="375">
        <f t="shared" si="156"/>
        <v>1.125</v>
      </c>
      <c r="HH27" s="375">
        <v>0</v>
      </c>
      <c r="HI27" s="375">
        <f t="shared" si="157"/>
        <v>0</v>
      </c>
      <c r="HJ27" s="375">
        <f t="shared" si="213"/>
        <v>4.625</v>
      </c>
      <c r="HK27" s="376">
        <f t="shared" si="159"/>
        <v>97.375</v>
      </c>
      <c r="HL27" s="373">
        <f t="shared" si="160"/>
        <v>14.780334201388889</v>
      </c>
      <c r="HM27" s="374" t="str">
        <f t="shared" si="214"/>
        <v>(1.37)</v>
      </c>
      <c r="HN27" s="375">
        <v>2</v>
      </c>
      <c r="HO27" s="375">
        <f t="shared" si="162"/>
        <v>3.5</v>
      </c>
      <c r="HP27" s="375">
        <v>1</v>
      </c>
      <c r="HQ27" s="375">
        <f t="shared" si="163"/>
        <v>1.125</v>
      </c>
      <c r="HR27" s="375">
        <v>2</v>
      </c>
      <c r="HS27" s="375">
        <f t="shared" si="164"/>
        <v>2</v>
      </c>
      <c r="HT27" s="375">
        <f t="shared" si="215"/>
        <v>6.625</v>
      </c>
      <c r="HU27" s="376">
        <f t="shared" si="166"/>
        <v>101.375</v>
      </c>
      <c r="HV27" s="373">
        <f t="shared" si="167"/>
        <v>15.655125868055555</v>
      </c>
      <c r="HW27" s="374" t="str">
        <f t="shared" si="216"/>
        <v>(1.45)</v>
      </c>
      <c r="HX27" s="375">
        <v>2</v>
      </c>
      <c r="HY27" s="375">
        <f t="shared" si="169"/>
        <v>3.5</v>
      </c>
      <c r="HZ27" s="375">
        <v>1</v>
      </c>
      <c r="IA27" s="375">
        <f t="shared" si="170"/>
        <v>1.125</v>
      </c>
      <c r="IB27" s="375">
        <v>2</v>
      </c>
      <c r="IC27" s="375">
        <f t="shared" si="171"/>
        <v>2</v>
      </c>
      <c r="ID27" s="375">
        <f t="shared" si="217"/>
        <v>6.625</v>
      </c>
      <c r="IE27" s="376">
        <f t="shared" si="173"/>
        <v>107.375</v>
      </c>
      <c r="IF27" s="373">
        <f t="shared" si="174"/>
        <v>16.52991753472222</v>
      </c>
      <c r="IG27" s="374" t="str">
        <f t="shared" si="218"/>
        <v>(1.54)</v>
      </c>
      <c r="IH27" s="22">
        <v>2</v>
      </c>
      <c r="II27" s="22">
        <f t="shared" si="176"/>
        <v>3.5</v>
      </c>
      <c r="IJ27" s="22">
        <v>1</v>
      </c>
      <c r="IK27" s="22">
        <f t="shared" si="177"/>
        <v>1.125</v>
      </c>
      <c r="IL27" s="22">
        <v>2</v>
      </c>
      <c r="IM27" s="22">
        <f t="shared" si="178"/>
        <v>2</v>
      </c>
      <c r="IN27" s="22">
        <f t="shared" si="219"/>
        <v>6.625</v>
      </c>
      <c r="IO27" s="23">
        <f t="shared" si="180"/>
        <v>113.375</v>
      </c>
      <c r="IP27" s="24"/>
      <c r="IQ27" s="25">
        <v>6</v>
      </c>
      <c r="IR27" s="26">
        <v>3.1160000000000001</v>
      </c>
      <c r="IS27" s="26">
        <v>3.0659999999999998</v>
      </c>
      <c r="IT27" s="26">
        <v>2.5489999999999999</v>
      </c>
      <c r="IU27" s="26">
        <v>1.75</v>
      </c>
      <c r="IV27" s="26">
        <v>1</v>
      </c>
      <c r="IW27" s="26">
        <v>1.125</v>
      </c>
      <c r="IX27" s="8"/>
    </row>
    <row r="28" spans="2:258" ht="15.75" thickBot="1" x14ac:dyDescent="0.3">
      <c r="B28" s="103">
        <f t="shared" si="39"/>
        <v>60</v>
      </c>
      <c r="C28" s="221">
        <v>11</v>
      </c>
      <c r="D28" s="98">
        <f t="shared" si="0"/>
        <v>0.28726041666666668</v>
      </c>
      <c r="E28" s="96">
        <f t="shared" si="1"/>
        <v>0.44394791666666666</v>
      </c>
      <c r="F28" s="96">
        <f t="shared" si="2"/>
        <v>0.50488194444444434</v>
      </c>
      <c r="G28" s="96">
        <f t="shared" si="3"/>
        <v>0.53534895833333329</v>
      </c>
      <c r="H28" s="96">
        <f t="shared" si="4"/>
        <v>0.55362916666666662</v>
      </c>
      <c r="I28" s="96">
        <f t="shared" si="5"/>
        <v>0.56581597222222213</v>
      </c>
      <c r="J28" s="96">
        <f t="shared" si="6"/>
        <v>0.57452083333333326</v>
      </c>
      <c r="K28" s="96">
        <f t="shared" si="7"/>
        <v>0.58104947916666672</v>
      </c>
      <c r="L28" s="96">
        <f t="shared" si="8"/>
        <v>0.57452083333333326</v>
      </c>
      <c r="M28" s="96">
        <f t="shared" si="9"/>
        <v>0.57974375</v>
      </c>
      <c r="N28" s="96">
        <f t="shared" si="10"/>
        <v>0.58401704545454536</v>
      </c>
      <c r="O28" s="96">
        <f t="shared" si="11"/>
        <v>0.58649001736111106</v>
      </c>
      <c r="P28" s="96">
        <f t="shared" si="12"/>
        <v>0.58958693910256399</v>
      </c>
      <c r="Q28" s="96">
        <f t="shared" si="13"/>
        <v>0.59224144345238094</v>
      </c>
      <c r="R28" s="96">
        <f t="shared" si="14"/>
        <v>0.59454201388888883</v>
      </c>
      <c r="S28" s="96">
        <f t="shared" si="15"/>
        <v>0.59655501302083325</v>
      </c>
      <c r="T28" s="96">
        <f t="shared" si="16"/>
        <v>0.59833118872549018</v>
      </c>
      <c r="U28" s="96">
        <f t="shared" si="17"/>
        <v>0.58830353009259251</v>
      </c>
      <c r="V28" s="96">
        <f t="shared" si="18"/>
        <v>0.59032702850877183</v>
      </c>
      <c r="W28" s="96">
        <f t="shared" si="19"/>
        <v>0.59214817708333334</v>
      </c>
      <c r="X28" s="64"/>
      <c r="Y28" s="65"/>
      <c r="AT28" s="4"/>
      <c r="AU28" s="14">
        <f t="shared" si="220"/>
        <v>42</v>
      </c>
      <c r="AV28" s="12" t="str">
        <f t="shared" si="40"/>
        <v>(1050)</v>
      </c>
      <c r="AW28" s="19">
        <f t="shared" si="221"/>
        <v>13</v>
      </c>
      <c r="AX28" s="20">
        <f t="shared" si="41"/>
        <v>0.96788541666666683</v>
      </c>
      <c r="AY28" s="21" t="str">
        <f t="shared" si="187"/>
        <v>(0.09)</v>
      </c>
      <c r="AZ28" s="22">
        <v>2</v>
      </c>
      <c r="BA28" s="22">
        <f t="shared" si="43"/>
        <v>3.5</v>
      </c>
      <c r="BB28" s="22">
        <v>0</v>
      </c>
      <c r="BC28" s="22">
        <f t="shared" si="44"/>
        <v>0</v>
      </c>
      <c r="BD28" s="22">
        <v>0</v>
      </c>
      <c r="BE28" s="22">
        <f t="shared" si="45"/>
        <v>0</v>
      </c>
      <c r="BF28" s="22">
        <f t="shared" si="188"/>
        <v>3.5</v>
      </c>
      <c r="BG28" s="23">
        <f t="shared" si="47"/>
        <v>5.5</v>
      </c>
      <c r="BH28" s="373">
        <f t="shared" si="48"/>
        <v>1.4958229166666668</v>
      </c>
      <c r="BI28" s="374" t="str">
        <f t="shared" si="189"/>
        <v>(0.14)</v>
      </c>
      <c r="BJ28" s="375">
        <v>2</v>
      </c>
      <c r="BK28" s="375">
        <f t="shared" si="50"/>
        <v>3.5</v>
      </c>
      <c r="BL28" s="375">
        <v>0</v>
      </c>
      <c r="BM28" s="375">
        <f t="shared" si="51"/>
        <v>0</v>
      </c>
      <c r="BN28" s="375">
        <v>0</v>
      </c>
      <c r="BO28" s="375">
        <f t="shared" si="52"/>
        <v>0</v>
      </c>
      <c r="BP28" s="375">
        <f t="shared" si="190"/>
        <v>3.5</v>
      </c>
      <c r="BQ28" s="376">
        <f t="shared" si="54"/>
        <v>8.5</v>
      </c>
      <c r="BR28" s="373">
        <f t="shared" si="55"/>
        <v>2.5516979166666669</v>
      </c>
      <c r="BS28" s="374" t="str">
        <f t="shared" si="181"/>
        <v>(0.24)</v>
      </c>
      <c r="BT28" s="375">
        <v>2</v>
      </c>
      <c r="BU28" s="375">
        <f t="shared" si="57"/>
        <v>3.5</v>
      </c>
      <c r="BV28" s="375">
        <v>0</v>
      </c>
      <c r="BW28" s="375">
        <f t="shared" si="58"/>
        <v>0</v>
      </c>
      <c r="BX28" s="375">
        <v>0</v>
      </c>
      <c r="BY28" s="375">
        <f t="shared" si="59"/>
        <v>0</v>
      </c>
      <c r="BZ28" s="375">
        <f t="shared" si="191"/>
        <v>3.5</v>
      </c>
      <c r="CA28" s="376">
        <f t="shared" si="61"/>
        <v>14.5</v>
      </c>
      <c r="CB28" s="373">
        <f t="shared" si="62"/>
        <v>3.6075729166666668</v>
      </c>
      <c r="CC28" s="374" t="str">
        <f t="shared" si="182"/>
        <v>(0.34)</v>
      </c>
      <c r="CD28" s="375">
        <v>2</v>
      </c>
      <c r="CE28" s="375">
        <f t="shared" si="64"/>
        <v>3.5</v>
      </c>
      <c r="CF28" s="375">
        <v>0</v>
      </c>
      <c r="CG28" s="375">
        <f t="shared" si="65"/>
        <v>0</v>
      </c>
      <c r="CH28" s="375">
        <v>0</v>
      </c>
      <c r="CI28" s="375">
        <f t="shared" si="66"/>
        <v>0</v>
      </c>
      <c r="CJ28" s="375">
        <f t="shared" si="192"/>
        <v>3.5</v>
      </c>
      <c r="CK28" s="376">
        <f t="shared" si="68"/>
        <v>20.5</v>
      </c>
      <c r="CL28" s="373">
        <f t="shared" si="69"/>
        <v>4.6634479166666667</v>
      </c>
      <c r="CM28" s="374" t="str">
        <f t="shared" si="183"/>
        <v>(0.43)</v>
      </c>
      <c r="CN28" s="375">
        <v>2</v>
      </c>
      <c r="CO28" s="375">
        <f t="shared" si="71"/>
        <v>3.5</v>
      </c>
      <c r="CP28" s="375">
        <v>0</v>
      </c>
      <c r="CQ28" s="375">
        <f t="shared" si="72"/>
        <v>0</v>
      </c>
      <c r="CR28" s="375">
        <v>0</v>
      </c>
      <c r="CS28" s="375">
        <f t="shared" si="73"/>
        <v>0</v>
      </c>
      <c r="CT28" s="375">
        <f t="shared" si="193"/>
        <v>3.5</v>
      </c>
      <c r="CU28" s="376">
        <f t="shared" si="75"/>
        <v>26.5</v>
      </c>
      <c r="CV28" s="373">
        <f t="shared" si="76"/>
        <v>5.7193229166666661</v>
      </c>
      <c r="CW28" s="374" t="str">
        <f t="shared" si="184"/>
        <v>(0.53)</v>
      </c>
      <c r="CX28" s="375">
        <v>2</v>
      </c>
      <c r="CY28" s="375">
        <f t="shared" si="78"/>
        <v>3.5</v>
      </c>
      <c r="CZ28" s="375">
        <v>0</v>
      </c>
      <c r="DA28" s="375">
        <f t="shared" si="79"/>
        <v>0</v>
      </c>
      <c r="DB28" s="375">
        <v>0</v>
      </c>
      <c r="DC28" s="375">
        <f t="shared" si="80"/>
        <v>0</v>
      </c>
      <c r="DD28" s="375">
        <f t="shared" si="194"/>
        <v>3.5</v>
      </c>
      <c r="DE28" s="376">
        <f t="shared" si="82"/>
        <v>32.5</v>
      </c>
      <c r="DF28" s="373">
        <f t="shared" si="83"/>
        <v>6.7751979166666665</v>
      </c>
      <c r="DG28" s="374" t="str">
        <f t="shared" si="185"/>
        <v>(0.63)</v>
      </c>
      <c r="DH28" s="375">
        <v>2</v>
      </c>
      <c r="DI28" s="375">
        <f t="shared" si="85"/>
        <v>3.5</v>
      </c>
      <c r="DJ28" s="375">
        <v>0</v>
      </c>
      <c r="DK28" s="375">
        <f t="shared" si="86"/>
        <v>0</v>
      </c>
      <c r="DL28" s="375">
        <v>0</v>
      </c>
      <c r="DM28" s="375">
        <f t="shared" si="87"/>
        <v>0</v>
      </c>
      <c r="DN28" s="375">
        <f t="shared" si="195"/>
        <v>3.5</v>
      </c>
      <c r="DO28" s="376">
        <f t="shared" si="89"/>
        <v>38.5</v>
      </c>
      <c r="DP28" s="373">
        <f t="shared" si="90"/>
        <v>7.8310729166666668</v>
      </c>
      <c r="DQ28" s="374" t="str">
        <f t="shared" si="186"/>
        <v>(0.73)</v>
      </c>
      <c r="DR28" s="375">
        <v>2</v>
      </c>
      <c r="DS28" s="375">
        <f t="shared" si="92"/>
        <v>3.5</v>
      </c>
      <c r="DT28" s="375">
        <v>0</v>
      </c>
      <c r="DU28" s="375">
        <f t="shared" si="93"/>
        <v>0</v>
      </c>
      <c r="DV28" s="375">
        <v>0</v>
      </c>
      <c r="DW28" s="375">
        <f t="shared" si="94"/>
        <v>0</v>
      </c>
      <c r="DX28" s="375">
        <f t="shared" si="196"/>
        <v>3.5</v>
      </c>
      <c r="DY28" s="376">
        <f t="shared" si="96"/>
        <v>44.5</v>
      </c>
      <c r="DZ28" s="373">
        <f t="shared" si="97"/>
        <v>8.7109687499999993</v>
      </c>
      <c r="EA28" s="374" t="str">
        <f t="shared" si="197"/>
        <v>(0.81)</v>
      </c>
      <c r="EB28" s="375">
        <v>2</v>
      </c>
      <c r="EC28" s="375">
        <f t="shared" si="99"/>
        <v>3.5</v>
      </c>
      <c r="ED28" s="375">
        <v>0</v>
      </c>
      <c r="EE28" s="375">
        <f t="shared" si="100"/>
        <v>0</v>
      </c>
      <c r="EF28" s="375">
        <v>1</v>
      </c>
      <c r="EG28" s="375">
        <f t="shared" si="101"/>
        <v>1</v>
      </c>
      <c r="EH28" s="375">
        <f t="shared" si="198"/>
        <v>4.5</v>
      </c>
      <c r="EI28" s="376">
        <f t="shared" si="103"/>
        <v>49.5</v>
      </c>
      <c r="EJ28" s="373">
        <f t="shared" si="104"/>
        <v>9.7668437499999996</v>
      </c>
      <c r="EK28" s="374" t="str">
        <f t="shared" si="199"/>
        <v>(0.91)</v>
      </c>
      <c r="EL28" s="375">
        <v>2</v>
      </c>
      <c r="EM28" s="375">
        <f t="shared" si="106"/>
        <v>3.5</v>
      </c>
      <c r="EN28" s="375">
        <v>0</v>
      </c>
      <c r="EO28" s="375">
        <f t="shared" si="107"/>
        <v>0</v>
      </c>
      <c r="EP28" s="375">
        <v>1</v>
      </c>
      <c r="EQ28" s="375">
        <f t="shared" si="108"/>
        <v>1</v>
      </c>
      <c r="ER28" s="375">
        <f t="shared" si="200"/>
        <v>4.5</v>
      </c>
      <c r="ES28" s="376">
        <f t="shared" si="110"/>
        <v>55.5</v>
      </c>
      <c r="ET28" s="373">
        <f t="shared" si="111"/>
        <v>10.82271875</v>
      </c>
      <c r="EU28" s="374" t="str">
        <f t="shared" si="201"/>
        <v>(1.01)</v>
      </c>
      <c r="EV28" s="375">
        <v>2</v>
      </c>
      <c r="EW28" s="375">
        <f t="shared" si="113"/>
        <v>3.5</v>
      </c>
      <c r="EX28" s="375">
        <v>0</v>
      </c>
      <c r="EY28" s="375">
        <f t="shared" si="114"/>
        <v>0</v>
      </c>
      <c r="EZ28" s="375">
        <v>1</v>
      </c>
      <c r="FA28" s="375">
        <f t="shared" si="115"/>
        <v>1</v>
      </c>
      <c r="FB28" s="375">
        <f t="shared" si="202"/>
        <v>4.5</v>
      </c>
      <c r="FC28" s="376">
        <f t="shared" si="117"/>
        <v>61.5</v>
      </c>
      <c r="FD28" s="373">
        <f t="shared" si="118"/>
        <v>11.856596354166667</v>
      </c>
      <c r="FE28" s="374" t="str">
        <f t="shared" si="203"/>
        <v>(1.10)</v>
      </c>
      <c r="FF28" s="375">
        <v>2</v>
      </c>
      <c r="FG28" s="375">
        <f t="shared" si="120"/>
        <v>3.5</v>
      </c>
      <c r="FH28" s="375">
        <v>1</v>
      </c>
      <c r="FI28" s="375">
        <f t="shared" si="121"/>
        <v>1.125</v>
      </c>
      <c r="FJ28" s="375">
        <v>0</v>
      </c>
      <c r="FK28" s="375">
        <f t="shared" si="122"/>
        <v>0</v>
      </c>
      <c r="FL28" s="375">
        <f t="shared" si="204"/>
        <v>4.625</v>
      </c>
      <c r="FM28" s="376">
        <f t="shared" si="124"/>
        <v>67.375</v>
      </c>
      <c r="FN28" s="373">
        <f t="shared" si="125"/>
        <v>12.912471354166668</v>
      </c>
      <c r="FO28" s="374" t="str">
        <f t="shared" si="203"/>
        <v>(1.20)</v>
      </c>
      <c r="FP28" s="375">
        <v>2</v>
      </c>
      <c r="FQ28" s="375">
        <f t="shared" si="127"/>
        <v>3.5</v>
      </c>
      <c r="FR28" s="375">
        <v>1</v>
      </c>
      <c r="FS28" s="375">
        <f t="shared" si="128"/>
        <v>1.125</v>
      </c>
      <c r="FT28" s="375">
        <v>0</v>
      </c>
      <c r="FU28" s="375">
        <f t="shared" si="129"/>
        <v>0</v>
      </c>
      <c r="FV28" s="375">
        <f t="shared" si="205"/>
        <v>4.625</v>
      </c>
      <c r="FW28" s="376">
        <f t="shared" si="131"/>
        <v>73.375</v>
      </c>
      <c r="FX28" s="373">
        <f t="shared" si="132"/>
        <v>13.968346354166666</v>
      </c>
      <c r="FY28" s="374" t="str">
        <f t="shared" si="206"/>
        <v>(1.30)</v>
      </c>
      <c r="FZ28" s="375">
        <v>2</v>
      </c>
      <c r="GA28" s="375">
        <f t="shared" si="134"/>
        <v>3.5</v>
      </c>
      <c r="GB28" s="375">
        <v>1</v>
      </c>
      <c r="GC28" s="375">
        <f t="shared" si="135"/>
        <v>1.125</v>
      </c>
      <c r="GD28" s="375">
        <v>0</v>
      </c>
      <c r="GE28" s="375">
        <f t="shared" si="136"/>
        <v>0</v>
      </c>
      <c r="GF28" s="375">
        <f t="shared" si="207"/>
        <v>4.625</v>
      </c>
      <c r="GG28" s="376">
        <f t="shared" si="138"/>
        <v>79.375</v>
      </c>
      <c r="GH28" s="373">
        <f t="shared" si="139"/>
        <v>15.024221354166668</v>
      </c>
      <c r="GI28" s="374" t="str">
        <f t="shared" si="208"/>
        <v>(1.40)</v>
      </c>
      <c r="GJ28" s="375">
        <v>2</v>
      </c>
      <c r="GK28" s="375">
        <f t="shared" si="141"/>
        <v>3.5</v>
      </c>
      <c r="GL28" s="375">
        <v>1</v>
      </c>
      <c r="GM28" s="375">
        <f t="shared" si="142"/>
        <v>1.125</v>
      </c>
      <c r="GN28" s="375">
        <v>0</v>
      </c>
      <c r="GO28" s="375">
        <f t="shared" si="143"/>
        <v>0</v>
      </c>
      <c r="GP28" s="375">
        <f t="shared" si="209"/>
        <v>4.625</v>
      </c>
      <c r="GQ28" s="376">
        <f t="shared" si="145"/>
        <v>85.375</v>
      </c>
      <c r="GR28" s="373">
        <f t="shared" si="146"/>
        <v>16.080096354166667</v>
      </c>
      <c r="GS28" s="374" t="str">
        <f t="shared" si="210"/>
        <v>(1.49)</v>
      </c>
      <c r="GT28" s="375">
        <v>2</v>
      </c>
      <c r="GU28" s="375">
        <f t="shared" si="148"/>
        <v>3.5</v>
      </c>
      <c r="GV28" s="375">
        <v>1</v>
      </c>
      <c r="GW28" s="375">
        <f t="shared" si="149"/>
        <v>1.125</v>
      </c>
      <c r="GX28" s="375">
        <v>0</v>
      </c>
      <c r="GY28" s="375">
        <f t="shared" si="150"/>
        <v>0</v>
      </c>
      <c r="GZ28" s="375">
        <f t="shared" si="211"/>
        <v>4.625</v>
      </c>
      <c r="HA28" s="376">
        <f t="shared" si="152"/>
        <v>91.375</v>
      </c>
      <c r="HB28" s="373">
        <f t="shared" si="153"/>
        <v>17.135971354166667</v>
      </c>
      <c r="HC28" s="374" t="str">
        <f t="shared" si="212"/>
        <v>(1.59)</v>
      </c>
      <c r="HD28" s="375">
        <v>2</v>
      </c>
      <c r="HE28" s="375">
        <f t="shared" si="155"/>
        <v>3.5</v>
      </c>
      <c r="HF28" s="375">
        <v>1</v>
      </c>
      <c r="HG28" s="375">
        <f t="shared" si="156"/>
        <v>1.125</v>
      </c>
      <c r="HH28" s="375">
        <v>0</v>
      </c>
      <c r="HI28" s="375">
        <f t="shared" si="157"/>
        <v>0</v>
      </c>
      <c r="HJ28" s="375">
        <f t="shared" si="213"/>
        <v>4.625</v>
      </c>
      <c r="HK28" s="376">
        <f t="shared" si="159"/>
        <v>97.375</v>
      </c>
      <c r="HL28" s="373">
        <f t="shared" si="160"/>
        <v>17.839888020833332</v>
      </c>
      <c r="HM28" s="374" t="str">
        <f t="shared" si="214"/>
        <v>(1.66)</v>
      </c>
      <c r="HN28" s="375">
        <v>2</v>
      </c>
      <c r="HO28" s="375">
        <f t="shared" si="162"/>
        <v>3.5</v>
      </c>
      <c r="HP28" s="375">
        <v>1</v>
      </c>
      <c r="HQ28" s="375">
        <f t="shared" si="163"/>
        <v>1.125</v>
      </c>
      <c r="HR28" s="375">
        <v>2</v>
      </c>
      <c r="HS28" s="375">
        <f t="shared" si="164"/>
        <v>2</v>
      </c>
      <c r="HT28" s="375">
        <f t="shared" si="215"/>
        <v>6.625</v>
      </c>
      <c r="HU28" s="376">
        <f t="shared" si="166"/>
        <v>101.375</v>
      </c>
      <c r="HV28" s="373">
        <f t="shared" si="167"/>
        <v>18.895763020833336</v>
      </c>
      <c r="HW28" s="374" t="str">
        <f t="shared" si="216"/>
        <v>(1.76)</v>
      </c>
      <c r="HX28" s="375">
        <v>2</v>
      </c>
      <c r="HY28" s="375">
        <f t="shared" si="169"/>
        <v>3.5</v>
      </c>
      <c r="HZ28" s="375">
        <v>1</v>
      </c>
      <c r="IA28" s="375">
        <f t="shared" si="170"/>
        <v>1.125</v>
      </c>
      <c r="IB28" s="375">
        <v>2</v>
      </c>
      <c r="IC28" s="375">
        <f t="shared" si="171"/>
        <v>2</v>
      </c>
      <c r="ID28" s="375">
        <f t="shared" si="217"/>
        <v>6.625</v>
      </c>
      <c r="IE28" s="376">
        <f t="shared" si="173"/>
        <v>107.375</v>
      </c>
      <c r="IF28" s="373">
        <f t="shared" si="174"/>
        <v>19.951638020833332</v>
      </c>
      <c r="IG28" s="374" t="str">
        <f t="shared" si="218"/>
        <v>(1.85)</v>
      </c>
      <c r="IH28" s="22">
        <v>2</v>
      </c>
      <c r="II28" s="22">
        <f t="shared" si="176"/>
        <v>3.5</v>
      </c>
      <c r="IJ28" s="22">
        <v>1</v>
      </c>
      <c r="IK28" s="22">
        <f t="shared" si="177"/>
        <v>1.125</v>
      </c>
      <c r="IL28" s="22">
        <v>2</v>
      </c>
      <c r="IM28" s="22">
        <f t="shared" si="178"/>
        <v>2</v>
      </c>
      <c r="IN28" s="22">
        <f t="shared" si="219"/>
        <v>6.625</v>
      </c>
      <c r="IO28" s="23">
        <f t="shared" si="180"/>
        <v>113.375</v>
      </c>
      <c r="IP28" s="24"/>
      <c r="IQ28" s="25">
        <v>8</v>
      </c>
      <c r="IR28" s="26">
        <v>3.1160000000000001</v>
      </c>
      <c r="IS28" s="26">
        <v>3.0659999999999998</v>
      </c>
      <c r="IT28" s="26">
        <v>0.76300000000000001</v>
      </c>
      <c r="IU28" s="26">
        <v>1.75</v>
      </c>
      <c r="IV28" s="26">
        <v>1</v>
      </c>
      <c r="IW28" s="26">
        <v>1.125</v>
      </c>
      <c r="IX28" s="8"/>
    </row>
    <row r="29" spans="2:258" ht="15.75" thickBot="1" x14ac:dyDescent="0.3">
      <c r="B29" s="103">
        <f t="shared" si="39"/>
        <v>66</v>
      </c>
      <c r="C29" s="221">
        <v>12</v>
      </c>
      <c r="D29" s="98">
        <f t="shared" si="0"/>
        <v>0.2920625</v>
      </c>
      <c r="E29" s="96">
        <f t="shared" si="1"/>
        <v>0.45136931818181819</v>
      </c>
      <c r="F29" s="96">
        <f t="shared" si="2"/>
        <v>0.51332196969696964</v>
      </c>
      <c r="G29" s="96">
        <f t="shared" si="3"/>
        <v>0.54429829545454544</v>
      </c>
      <c r="H29" s="96">
        <f t="shared" si="4"/>
        <v>0.56288409090909097</v>
      </c>
      <c r="I29" s="96">
        <f t="shared" si="5"/>
        <v>0.57527462121212125</v>
      </c>
      <c r="J29" s="96">
        <f t="shared" si="6"/>
        <v>0.58412500000000001</v>
      </c>
      <c r="K29" s="96">
        <f t="shared" si="7"/>
        <v>0.59076278409090921</v>
      </c>
      <c r="L29" s="96">
        <f t="shared" si="8"/>
        <v>0.58412500000000001</v>
      </c>
      <c r="M29" s="96">
        <f t="shared" si="9"/>
        <v>0.58943522727272724</v>
      </c>
      <c r="N29" s="96">
        <f t="shared" si="10"/>
        <v>0.59377995867768596</v>
      </c>
      <c r="O29" s="96">
        <f t="shared" si="11"/>
        <v>0.59629427083333342</v>
      </c>
      <c r="P29" s="96">
        <f t="shared" si="12"/>
        <v>0.59944296328671343</v>
      </c>
      <c r="Q29" s="96">
        <f t="shared" si="13"/>
        <v>0.6021418425324675</v>
      </c>
      <c r="R29" s="96">
        <f t="shared" si="14"/>
        <v>0.60448087121212124</v>
      </c>
      <c r="S29" s="96">
        <f t="shared" si="15"/>
        <v>0.6065275213068182</v>
      </c>
      <c r="T29" s="96">
        <f t="shared" si="16"/>
        <v>0.60833338903743317</v>
      </c>
      <c r="U29" s="96">
        <f t="shared" si="17"/>
        <v>0.59813809974747478</v>
      </c>
      <c r="V29" s="96">
        <f t="shared" si="18"/>
        <v>0.60019542464114839</v>
      </c>
      <c r="W29" s="96">
        <f t="shared" si="19"/>
        <v>0.6020470170454546</v>
      </c>
      <c r="X29" s="64"/>
      <c r="Y29" s="65"/>
      <c r="AT29" s="4"/>
      <c r="AU29" s="14">
        <f t="shared" si="220"/>
        <v>48</v>
      </c>
      <c r="AV29" s="12" t="str">
        <f t="shared" si="40"/>
        <v>(1200)</v>
      </c>
      <c r="AW29" s="19">
        <f t="shared" si="221"/>
        <v>14</v>
      </c>
      <c r="AX29" s="20">
        <f t="shared" si="41"/>
        <v>1.1379270833333335</v>
      </c>
      <c r="AY29" s="21" t="str">
        <f t="shared" si="187"/>
        <v>(0.11)</v>
      </c>
      <c r="AZ29" s="22">
        <v>2</v>
      </c>
      <c r="BA29" s="22">
        <f t="shared" si="43"/>
        <v>3.5</v>
      </c>
      <c r="BB29" s="22">
        <v>0</v>
      </c>
      <c r="BC29" s="22">
        <f t="shared" si="44"/>
        <v>0</v>
      </c>
      <c r="BD29" s="22">
        <v>0</v>
      </c>
      <c r="BE29" s="22">
        <f t="shared" si="45"/>
        <v>0</v>
      </c>
      <c r="BF29" s="22">
        <f t="shared" si="188"/>
        <v>3.5</v>
      </c>
      <c r="BG29" s="23">
        <f t="shared" si="47"/>
        <v>5.5</v>
      </c>
      <c r="BH29" s="373">
        <f t="shared" si="48"/>
        <v>1.7586145833333333</v>
      </c>
      <c r="BI29" s="374" t="str">
        <f t="shared" si="189"/>
        <v>(0.16)</v>
      </c>
      <c r="BJ29" s="375">
        <v>2</v>
      </c>
      <c r="BK29" s="375">
        <f t="shared" si="50"/>
        <v>3.5</v>
      </c>
      <c r="BL29" s="375">
        <v>0</v>
      </c>
      <c r="BM29" s="375">
        <f t="shared" si="51"/>
        <v>0</v>
      </c>
      <c r="BN29" s="375">
        <v>0</v>
      </c>
      <c r="BO29" s="375">
        <f t="shared" si="52"/>
        <v>0</v>
      </c>
      <c r="BP29" s="375">
        <f t="shared" si="190"/>
        <v>3.5</v>
      </c>
      <c r="BQ29" s="376">
        <f t="shared" si="54"/>
        <v>8.5</v>
      </c>
      <c r="BR29" s="373">
        <f t="shared" si="55"/>
        <v>2.999989583333333</v>
      </c>
      <c r="BS29" s="374" t="str">
        <f t="shared" si="181"/>
        <v>(0.28)</v>
      </c>
      <c r="BT29" s="375">
        <v>2</v>
      </c>
      <c r="BU29" s="375">
        <f t="shared" si="57"/>
        <v>3.5</v>
      </c>
      <c r="BV29" s="375">
        <v>0</v>
      </c>
      <c r="BW29" s="375">
        <f t="shared" si="58"/>
        <v>0</v>
      </c>
      <c r="BX29" s="375">
        <v>0</v>
      </c>
      <c r="BY29" s="375">
        <f t="shared" si="59"/>
        <v>0</v>
      </c>
      <c r="BZ29" s="375">
        <f t="shared" si="191"/>
        <v>3.5</v>
      </c>
      <c r="CA29" s="376">
        <f t="shared" si="61"/>
        <v>14.5</v>
      </c>
      <c r="CB29" s="373">
        <f t="shared" si="62"/>
        <v>4.2413645833333327</v>
      </c>
      <c r="CC29" s="374" t="str">
        <f t="shared" si="182"/>
        <v>(0.39)</v>
      </c>
      <c r="CD29" s="375">
        <v>2</v>
      </c>
      <c r="CE29" s="375">
        <f t="shared" si="64"/>
        <v>3.5</v>
      </c>
      <c r="CF29" s="375">
        <v>0</v>
      </c>
      <c r="CG29" s="375">
        <f t="shared" si="65"/>
        <v>0</v>
      </c>
      <c r="CH29" s="375">
        <v>0</v>
      </c>
      <c r="CI29" s="375">
        <f t="shared" si="66"/>
        <v>0</v>
      </c>
      <c r="CJ29" s="375">
        <f t="shared" si="192"/>
        <v>3.5</v>
      </c>
      <c r="CK29" s="376">
        <f t="shared" si="68"/>
        <v>20.5</v>
      </c>
      <c r="CL29" s="373">
        <f t="shared" si="69"/>
        <v>5.4827395833333332</v>
      </c>
      <c r="CM29" s="374" t="str">
        <f t="shared" si="183"/>
        <v>(0.51)</v>
      </c>
      <c r="CN29" s="375">
        <v>2</v>
      </c>
      <c r="CO29" s="375">
        <f t="shared" si="71"/>
        <v>3.5</v>
      </c>
      <c r="CP29" s="375">
        <v>0</v>
      </c>
      <c r="CQ29" s="375">
        <f t="shared" si="72"/>
        <v>0</v>
      </c>
      <c r="CR29" s="375">
        <v>0</v>
      </c>
      <c r="CS29" s="375">
        <f t="shared" si="73"/>
        <v>0</v>
      </c>
      <c r="CT29" s="375">
        <f t="shared" si="193"/>
        <v>3.5</v>
      </c>
      <c r="CU29" s="376">
        <f t="shared" si="75"/>
        <v>26.5</v>
      </c>
      <c r="CV29" s="373">
        <f t="shared" si="76"/>
        <v>6.7241145833333329</v>
      </c>
      <c r="CW29" s="374" t="str">
        <f t="shared" si="184"/>
        <v>(0.62)</v>
      </c>
      <c r="CX29" s="375">
        <v>2</v>
      </c>
      <c r="CY29" s="375">
        <f t="shared" si="78"/>
        <v>3.5</v>
      </c>
      <c r="CZ29" s="375">
        <v>0</v>
      </c>
      <c r="DA29" s="375">
        <f t="shared" si="79"/>
        <v>0</v>
      </c>
      <c r="DB29" s="375">
        <v>0</v>
      </c>
      <c r="DC29" s="375">
        <f t="shared" si="80"/>
        <v>0</v>
      </c>
      <c r="DD29" s="375">
        <f t="shared" si="194"/>
        <v>3.5</v>
      </c>
      <c r="DE29" s="376">
        <f t="shared" si="82"/>
        <v>32.5</v>
      </c>
      <c r="DF29" s="373">
        <f t="shared" si="83"/>
        <v>7.9654895833333335</v>
      </c>
      <c r="DG29" s="374" t="str">
        <f t="shared" si="185"/>
        <v>(0.74)</v>
      </c>
      <c r="DH29" s="375">
        <v>2</v>
      </c>
      <c r="DI29" s="375">
        <f t="shared" si="85"/>
        <v>3.5</v>
      </c>
      <c r="DJ29" s="375">
        <v>0</v>
      </c>
      <c r="DK29" s="375">
        <f t="shared" si="86"/>
        <v>0</v>
      </c>
      <c r="DL29" s="375">
        <v>0</v>
      </c>
      <c r="DM29" s="375">
        <f t="shared" si="87"/>
        <v>0</v>
      </c>
      <c r="DN29" s="375">
        <f t="shared" si="195"/>
        <v>3.5</v>
      </c>
      <c r="DO29" s="376">
        <f t="shared" si="89"/>
        <v>38.5</v>
      </c>
      <c r="DP29" s="377">
        <f t="shared" si="90"/>
        <v>9.2068645833333331</v>
      </c>
      <c r="DQ29" s="378" t="str">
        <f t="shared" si="186"/>
        <v>(0.86)</v>
      </c>
      <c r="DR29" s="375">
        <v>2</v>
      </c>
      <c r="DS29" s="375">
        <f t="shared" si="92"/>
        <v>3.5</v>
      </c>
      <c r="DT29" s="375">
        <v>0</v>
      </c>
      <c r="DU29" s="375">
        <f t="shared" si="93"/>
        <v>0</v>
      </c>
      <c r="DV29" s="375">
        <v>0</v>
      </c>
      <c r="DW29" s="375">
        <f t="shared" si="94"/>
        <v>0</v>
      </c>
      <c r="DX29" s="375">
        <f t="shared" si="196"/>
        <v>3.5</v>
      </c>
      <c r="DY29" s="376">
        <f t="shared" si="96"/>
        <v>44.5</v>
      </c>
      <c r="DZ29" s="373">
        <f t="shared" si="97"/>
        <v>10.24134375</v>
      </c>
      <c r="EA29" s="374" t="str">
        <f t="shared" si="197"/>
        <v>(0.95)</v>
      </c>
      <c r="EB29" s="375">
        <v>2</v>
      </c>
      <c r="EC29" s="375">
        <f t="shared" si="99"/>
        <v>3.5</v>
      </c>
      <c r="ED29" s="375">
        <v>0</v>
      </c>
      <c r="EE29" s="375">
        <f t="shared" si="100"/>
        <v>0</v>
      </c>
      <c r="EF29" s="375">
        <v>1</v>
      </c>
      <c r="EG29" s="375">
        <f t="shared" si="101"/>
        <v>1</v>
      </c>
      <c r="EH29" s="375">
        <f t="shared" si="198"/>
        <v>4.5</v>
      </c>
      <c r="EI29" s="376">
        <f t="shared" si="103"/>
        <v>49.5</v>
      </c>
      <c r="EJ29" s="373">
        <f t="shared" si="104"/>
        <v>11.48271875</v>
      </c>
      <c r="EK29" s="374" t="str">
        <f t="shared" si="199"/>
        <v>(1.07)</v>
      </c>
      <c r="EL29" s="375">
        <v>2</v>
      </c>
      <c r="EM29" s="375">
        <f t="shared" si="106"/>
        <v>3.5</v>
      </c>
      <c r="EN29" s="375">
        <v>0</v>
      </c>
      <c r="EO29" s="375">
        <f t="shared" si="107"/>
        <v>0</v>
      </c>
      <c r="EP29" s="375">
        <v>1</v>
      </c>
      <c r="EQ29" s="375">
        <f t="shared" si="108"/>
        <v>1</v>
      </c>
      <c r="ER29" s="375">
        <f t="shared" si="200"/>
        <v>4.5</v>
      </c>
      <c r="ES29" s="376">
        <f t="shared" si="110"/>
        <v>55.5</v>
      </c>
      <c r="ET29" s="373">
        <f t="shared" si="111"/>
        <v>12.72409375</v>
      </c>
      <c r="EU29" s="374" t="str">
        <f t="shared" si="201"/>
        <v>(1.18)</v>
      </c>
      <c r="EV29" s="375">
        <v>2</v>
      </c>
      <c r="EW29" s="375">
        <f t="shared" si="113"/>
        <v>3.5</v>
      </c>
      <c r="EX29" s="375">
        <v>0</v>
      </c>
      <c r="EY29" s="375">
        <f t="shared" si="114"/>
        <v>0</v>
      </c>
      <c r="EZ29" s="375">
        <v>1</v>
      </c>
      <c r="FA29" s="375">
        <f t="shared" si="115"/>
        <v>1</v>
      </c>
      <c r="FB29" s="375">
        <f t="shared" si="202"/>
        <v>4.5</v>
      </c>
      <c r="FC29" s="376">
        <f t="shared" si="117"/>
        <v>61.5</v>
      </c>
      <c r="FD29" s="373">
        <f t="shared" si="118"/>
        <v>13.939606770833333</v>
      </c>
      <c r="FE29" s="374" t="str">
        <f t="shared" si="203"/>
        <v>(1.30)</v>
      </c>
      <c r="FF29" s="375">
        <v>2</v>
      </c>
      <c r="FG29" s="375">
        <f t="shared" si="120"/>
        <v>3.5</v>
      </c>
      <c r="FH29" s="375">
        <v>1</v>
      </c>
      <c r="FI29" s="375">
        <f t="shared" si="121"/>
        <v>1.125</v>
      </c>
      <c r="FJ29" s="375">
        <v>0</v>
      </c>
      <c r="FK29" s="375">
        <f t="shared" si="122"/>
        <v>0</v>
      </c>
      <c r="FL29" s="375">
        <f t="shared" si="204"/>
        <v>4.625</v>
      </c>
      <c r="FM29" s="376">
        <f t="shared" si="124"/>
        <v>67.375</v>
      </c>
      <c r="FN29" s="373">
        <f t="shared" si="125"/>
        <v>15.180981770833332</v>
      </c>
      <c r="FO29" s="374" t="str">
        <f t="shared" si="203"/>
        <v>(1.41)</v>
      </c>
      <c r="FP29" s="375">
        <v>2</v>
      </c>
      <c r="FQ29" s="375">
        <f t="shared" si="127"/>
        <v>3.5</v>
      </c>
      <c r="FR29" s="375">
        <v>1</v>
      </c>
      <c r="FS29" s="375">
        <f t="shared" si="128"/>
        <v>1.125</v>
      </c>
      <c r="FT29" s="375">
        <v>0</v>
      </c>
      <c r="FU29" s="375">
        <f t="shared" si="129"/>
        <v>0</v>
      </c>
      <c r="FV29" s="375">
        <f t="shared" si="205"/>
        <v>4.625</v>
      </c>
      <c r="FW29" s="376">
        <f t="shared" si="131"/>
        <v>73.375</v>
      </c>
      <c r="FX29" s="373">
        <f t="shared" si="132"/>
        <v>16.422356770833332</v>
      </c>
      <c r="FY29" s="374" t="str">
        <f t="shared" si="206"/>
        <v>(1.53)</v>
      </c>
      <c r="FZ29" s="375">
        <v>2</v>
      </c>
      <c r="GA29" s="375">
        <f t="shared" si="134"/>
        <v>3.5</v>
      </c>
      <c r="GB29" s="375">
        <v>1</v>
      </c>
      <c r="GC29" s="375">
        <f t="shared" si="135"/>
        <v>1.125</v>
      </c>
      <c r="GD29" s="375">
        <v>0</v>
      </c>
      <c r="GE29" s="375">
        <f t="shared" si="136"/>
        <v>0</v>
      </c>
      <c r="GF29" s="375">
        <f t="shared" si="207"/>
        <v>4.625</v>
      </c>
      <c r="GG29" s="376">
        <f t="shared" si="138"/>
        <v>79.375</v>
      </c>
      <c r="GH29" s="373">
        <f t="shared" si="139"/>
        <v>17.663731770833333</v>
      </c>
      <c r="GI29" s="374" t="str">
        <f t="shared" si="208"/>
        <v>(1.64)</v>
      </c>
      <c r="GJ29" s="375">
        <v>2</v>
      </c>
      <c r="GK29" s="375">
        <f t="shared" si="141"/>
        <v>3.5</v>
      </c>
      <c r="GL29" s="375">
        <v>1</v>
      </c>
      <c r="GM29" s="375">
        <f t="shared" si="142"/>
        <v>1.125</v>
      </c>
      <c r="GN29" s="375">
        <v>0</v>
      </c>
      <c r="GO29" s="375">
        <f t="shared" si="143"/>
        <v>0</v>
      </c>
      <c r="GP29" s="375">
        <f t="shared" si="209"/>
        <v>4.625</v>
      </c>
      <c r="GQ29" s="376">
        <f t="shared" si="145"/>
        <v>85.375</v>
      </c>
      <c r="GR29" s="373">
        <f t="shared" si="146"/>
        <v>18.905106770833335</v>
      </c>
      <c r="GS29" s="374" t="str">
        <f t="shared" si="210"/>
        <v>(1.76)</v>
      </c>
      <c r="GT29" s="375">
        <v>2</v>
      </c>
      <c r="GU29" s="375">
        <f t="shared" si="148"/>
        <v>3.5</v>
      </c>
      <c r="GV29" s="375">
        <v>1</v>
      </c>
      <c r="GW29" s="375">
        <f t="shared" si="149"/>
        <v>1.125</v>
      </c>
      <c r="GX29" s="375">
        <v>0</v>
      </c>
      <c r="GY29" s="375">
        <f t="shared" si="150"/>
        <v>0</v>
      </c>
      <c r="GZ29" s="375">
        <f t="shared" si="211"/>
        <v>4.625</v>
      </c>
      <c r="HA29" s="376">
        <f t="shared" si="152"/>
        <v>91.375</v>
      </c>
      <c r="HB29" s="373">
        <f t="shared" si="153"/>
        <v>20.146481770833333</v>
      </c>
      <c r="HC29" s="374" t="str">
        <f t="shared" si="212"/>
        <v>(1.87)</v>
      </c>
      <c r="HD29" s="375">
        <v>2</v>
      </c>
      <c r="HE29" s="375">
        <f t="shared" si="155"/>
        <v>3.5</v>
      </c>
      <c r="HF29" s="375">
        <v>1</v>
      </c>
      <c r="HG29" s="375">
        <f t="shared" si="156"/>
        <v>1.125</v>
      </c>
      <c r="HH29" s="375">
        <v>0</v>
      </c>
      <c r="HI29" s="375">
        <f t="shared" si="157"/>
        <v>0</v>
      </c>
      <c r="HJ29" s="375">
        <f t="shared" si="213"/>
        <v>4.625</v>
      </c>
      <c r="HK29" s="376">
        <f t="shared" si="159"/>
        <v>97.375</v>
      </c>
      <c r="HL29" s="373">
        <f t="shared" si="160"/>
        <v>20.974065104166666</v>
      </c>
      <c r="HM29" s="374" t="str">
        <f t="shared" si="214"/>
        <v>(1.95)</v>
      </c>
      <c r="HN29" s="375">
        <v>2</v>
      </c>
      <c r="HO29" s="375">
        <f t="shared" si="162"/>
        <v>3.5</v>
      </c>
      <c r="HP29" s="375">
        <v>1</v>
      </c>
      <c r="HQ29" s="375">
        <f t="shared" si="163"/>
        <v>1.125</v>
      </c>
      <c r="HR29" s="375">
        <v>2</v>
      </c>
      <c r="HS29" s="375">
        <f t="shared" si="164"/>
        <v>2</v>
      </c>
      <c r="HT29" s="375">
        <f t="shared" si="215"/>
        <v>6.625</v>
      </c>
      <c r="HU29" s="376">
        <f t="shared" si="166"/>
        <v>101.375</v>
      </c>
      <c r="HV29" s="373">
        <f t="shared" si="167"/>
        <v>22.215440104166664</v>
      </c>
      <c r="HW29" s="374" t="str">
        <f t="shared" si="216"/>
        <v>(2.06)</v>
      </c>
      <c r="HX29" s="375">
        <v>2</v>
      </c>
      <c r="HY29" s="375">
        <f t="shared" si="169"/>
        <v>3.5</v>
      </c>
      <c r="HZ29" s="375">
        <v>1</v>
      </c>
      <c r="IA29" s="375">
        <f t="shared" si="170"/>
        <v>1.125</v>
      </c>
      <c r="IB29" s="375">
        <v>2</v>
      </c>
      <c r="IC29" s="375">
        <f t="shared" si="171"/>
        <v>2</v>
      </c>
      <c r="ID29" s="375">
        <f t="shared" si="217"/>
        <v>6.625</v>
      </c>
      <c r="IE29" s="376">
        <f t="shared" si="173"/>
        <v>107.375</v>
      </c>
      <c r="IF29" s="373">
        <f t="shared" si="174"/>
        <v>23.456815104166665</v>
      </c>
      <c r="IG29" s="374" t="str">
        <f t="shared" si="218"/>
        <v>(2.18)</v>
      </c>
      <c r="IH29" s="22">
        <v>2</v>
      </c>
      <c r="II29" s="22">
        <f t="shared" si="176"/>
        <v>3.5</v>
      </c>
      <c r="IJ29" s="22">
        <v>1</v>
      </c>
      <c r="IK29" s="22">
        <f t="shared" si="177"/>
        <v>1.125</v>
      </c>
      <c r="IL29" s="22">
        <v>2</v>
      </c>
      <c r="IM29" s="22">
        <f t="shared" si="178"/>
        <v>2</v>
      </c>
      <c r="IN29" s="22">
        <f t="shared" si="219"/>
        <v>6.625</v>
      </c>
      <c r="IO29" s="23">
        <f t="shared" si="180"/>
        <v>113.375</v>
      </c>
      <c r="IP29" s="24"/>
      <c r="IQ29" s="25">
        <v>9</v>
      </c>
      <c r="IR29" s="26">
        <v>3.1160000000000001</v>
      </c>
      <c r="IS29" s="26">
        <v>3.0659999999999998</v>
      </c>
      <c r="IT29" s="26">
        <v>2.149</v>
      </c>
      <c r="IU29" s="26">
        <v>1.75</v>
      </c>
      <c r="IV29" s="26">
        <v>1</v>
      </c>
      <c r="IW29" s="26">
        <v>1.125</v>
      </c>
      <c r="IX29" s="8"/>
    </row>
    <row r="30" spans="2:258" ht="15.75" thickBot="1" x14ac:dyDescent="0.3">
      <c r="B30" s="103">
        <f t="shared" si="39"/>
        <v>72</v>
      </c>
      <c r="C30" s="221">
        <v>13</v>
      </c>
      <c r="D30" s="98">
        <f t="shared" si="0"/>
        <v>0.28978761574074069</v>
      </c>
      <c r="E30" s="96">
        <f t="shared" si="1"/>
        <v>0.44785358796296298</v>
      </c>
      <c r="F30" s="96">
        <f t="shared" si="2"/>
        <v>0.5093236882716049</v>
      </c>
      <c r="G30" s="96">
        <f t="shared" si="3"/>
        <v>0.54005873842592589</v>
      </c>
      <c r="H30" s="96">
        <f t="shared" si="4"/>
        <v>0.55849976851851835</v>
      </c>
      <c r="I30" s="96">
        <f t="shared" si="5"/>
        <v>0.57079378858024699</v>
      </c>
      <c r="J30" s="96">
        <f t="shared" si="6"/>
        <v>0.57957523148148149</v>
      </c>
      <c r="K30" s="96">
        <f t="shared" si="7"/>
        <v>0.58616131365740731</v>
      </c>
      <c r="L30" s="96">
        <f t="shared" si="8"/>
        <v>0.57957523148148149</v>
      </c>
      <c r="M30" s="96">
        <f t="shared" si="9"/>
        <v>0.58484409722222219</v>
      </c>
      <c r="N30" s="96">
        <f t="shared" si="10"/>
        <v>0.58915498737373728</v>
      </c>
      <c r="O30" s="96">
        <f t="shared" si="11"/>
        <v>0.59164971547067902</v>
      </c>
      <c r="P30" s="96">
        <f t="shared" si="12"/>
        <v>0.59477388265669506</v>
      </c>
      <c r="Q30" s="96">
        <f t="shared" si="13"/>
        <v>0.59745174024470893</v>
      </c>
      <c r="R30" s="96">
        <f t="shared" si="14"/>
        <v>0.59977255015432096</v>
      </c>
      <c r="S30" s="96">
        <f t="shared" si="15"/>
        <v>0.60180325882523145</v>
      </c>
      <c r="T30" s="96">
        <f t="shared" si="16"/>
        <v>0.60359506059368184</v>
      </c>
      <c r="U30" s="96">
        <f t="shared" si="17"/>
        <v>0.59347918274176958</v>
      </c>
      <c r="V30" s="96">
        <f t="shared" si="18"/>
        <v>0.59552048306530214</v>
      </c>
      <c r="W30" s="96">
        <f t="shared" si="19"/>
        <v>0.59735765335648139</v>
      </c>
      <c r="X30" s="64"/>
      <c r="Y30" s="65"/>
      <c r="AT30" s="4"/>
      <c r="AU30" s="14">
        <f t="shared" si="220"/>
        <v>54</v>
      </c>
      <c r="AV30" s="12" t="str">
        <f t="shared" si="40"/>
        <v>(1350)</v>
      </c>
      <c r="AW30" s="19">
        <f t="shared" si="221"/>
        <v>15</v>
      </c>
      <c r="AX30" s="20">
        <f t="shared" si="41"/>
        <v>1.2703090277777778</v>
      </c>
      <c r="AY30" s="21" t="str">
        <f t="shared" si="187"/>
        <v>(0.12)</v>
      </c>
      <c r="AZ30" s="22">
        <v>2</v>
      </c>
      <c r="BA30" s="22">
        <f t="shared" si="43"/>
        <v>3.5</v>
      </c>
      <c r="BB30" s="22">
        <v>0</v>
      </c>
      <c r="BC30" s="22">
        <f t="shared" si="44"/>
        <v>0</v>
      </c>
      <c r="BD30" s="22">
        <v>0</v>
      </c>
      <c r="BE30" s="22">
        <f t="shared" si="45"/>
        <v>0</v>
      </c>
      <c r="BF30" s="22">
        <f t="shared" si="188"/>
        <v>3.5</v>
      </c>
      <c r="BG30" s="23">
        <f t="shared" si="47"/>
        <v>5.5</v>
      </c>
      <c r="BH30" s="373">
        <f t="shared" si="48"/>
        <v>1.9632048611111113</v>
      </c>
      <c r="BI30" s="374" t="str">
        <f t="shared" si="189"/>
        <v>(0.18)</v>
      </c>
      <c r="BJ30" s="375">
        <v>2</v>
      </c>
      <c r="BK30" s="375">
        <f t="shared" si="50"/>
        <v>3.5</v>
      </c>
      <c r="BL30" s="375">
        <v>0</v>
      </c>
      <c r="BM30" s="375">
        <f t="shared" si="51"/>
        <v>0</v>
      </c>
      <c r="BN30" s="375">
        <v>0</v>
      </c>
      <c r="BO30" s="375">
        <f t="shared" si="52"/>
        <v>0</v>
      </c>
      <c r="BP30" s="375">
        <f t="shared" si="190"/>
        <v>3.5</v>
      </c>
      <c r="BQ30" s="376">
        <f t="shared" si="54"/>
        <v>8.5</v>
      </c>
      <c r="BR30" s="373">
        <f t="shared" si="55"/>
        <v>3.3489965277777776</v>
      </c>
      <c r="BS30" s="374" t="str">
        <f t="shared" si="181"/>
        <v>(0.31)</v>
      </c>
      <c r="BT30" s="375">
        <v>2</v>
      </c>
      <c r="BU30" s="375">
        <f t="shared" si="57"/>
        <v>3.5</v>
      </c>
      <c r="BV30" s="375">
        <v>0</v>
      </c>
      <c r="BW30" s="375">
        <f t="shared" si="58"/>
        <v>0</v>
      </c>
      <c r="BX30" s="375">
        <v>0</v>
      </c>
      <c r="BY30" s="375">
        <f t="shared" si="59"/>
        <v>0</v>
      </c>
      <c r="BZ30" s="375">
        <f t="shared" si="191"/>
        <v>3.5</v>
      </c>
      <c r="CA30" s="376">
        <f t="shared" si="61"/>
        <v>14.5</v>
      </c>
      <c r="CB30" s="373">
        <f t="shared" si="62"/>
        <v>4.7347881944444445</v>
      </c>
      <c r="CC30" s="374" t="str">
        <f t="shared" si="182"/>
        <v>(0.44)</v>
      </c>
      <c r="CD30" s="375">
        <v>2</v>
      </c>
      <c r="CE30" s="375">
        <f t="shared" si="64"/>
        <v>3.5</v>
      </c>
      <c r="CF30" s="375">
        <v>0</v>
      </c>
      <c r="CG30" s="375">
        <f t="shared" si="65"/>
        <v>0</v>
      </c>
      <c r="CH30" s="375">
        <v>0</v>
      </c>
      <c r="CI30" s="375">
        <f t="shared" si="66"/>
        <v>0</v>
      </c>
      <c r="CJ30" s="375">
        <f t="shared" si="192"/>
        <v>3.5</v>
      </c>
      <c r="CK30" s="376">
        <f t="shared" si="68"/>
        <v>20.5</v>
      </c>
      <c r="CL30" s="373">
        <f t="shared" si="69"/>
        <v>6.1205798611111115</v>
      </c>
      <c r="CM30" s="374" t="str">
        <f t="shared" si="183"/>
        <v>(0.57)</v>
      </c>
      <c r="CN30" s="375">
        <v>2</v>
      </c>
      <c r="CO30" s="375">
        <f t="shared" si="71"/>
        <v>3.5</v>
      </c>
      <c r="CP30" s="375">
        <v>0</v>
      </c>
      <c r="CQ30" s="375">
        <f t="shared" si="72"/>
        <v>0</v>
      </c>
      <c r="CR30" s="375">
        <v>0</v>
      </c>
      <c r="CS30" s="375">
        <f t="shared" si="73"/>
        <v>0</v>
      </c>
      <c r="CT30" s="375">
        <f t="shared" si="193"/>
        <v>3.5</v>
      </c>
      <c r="CU30" s="376">
        <f t="shared" si="75"/>
        <v>26.5</v>
      </c>
      <c r="CV30" s="373">
        <f t="shared" si="76"/>
        <v>7.5063715277777776</v>
      </c>
      <c r="CW30" s="374" t="str">
        <f t="shared" si="184"/>
        <v>(0.7)</v>
      </c>
      <c r="CX30" s="375">
        <v>2</v>
      </c>
      <c r="CY30" s="375">
        <f t="shared" si="78"/>
        <v>3.5</v>
      </c>
      <c r="CZ30" s="375">
        <v>0</v>
      </c>
      <c r="DA30" s="375">
        <f t="shared" si="79"/>
        <v>0</v>
      </c>
      <c r="DB30" s="375">
        <v>0</v>
      </c>
      <c r="DC30" s="375">
        <f t="shared" si="80"/>
        <v>0</v>
      </c>
      <c r="DD30" s="375">
        <f t="shared" si="194"/>
        <v>3.5</v>
      </c>
      <c r="DE30" s="376">
        <f t="shared" si="82"/>
        <v>32.5</v>
      </c>
      <c r="DF30" s="373">
        <f t="shared" si="83"/>
        <v>8.8921631944444446</v>
      </c>
      <c r="DG30" s="374" t="str">
        <f t="shared" si="185"/>
        <v>(0.83)</v>
      </c>
      <c r="DH30" s="375">
        <v>2</v>
      </c>
      <c r="DI30" s="375">
        <f t="shared" si="85"/>
        <v>3.5</v>
      </c>
      <c r="DJ30" s="375">
        <v>0</v>
      </c>
      <c r="DK30" s="375">
        <f t="shared" si="86"/>
        <v>0</v>
      </c>
      <c r="DL30" s="375">
        <v>0</v>
      </c>
      <c r="DM30" s="375">
        <f t="shared" si="87"/>
        <v>0</v>
      </c>
      <c r="DN30" s="375">
        <f t="shared" si="195"/>
        <v>3.5</v>
      </c>
      <c r="DO30" s="376">
        <f t="shared" si="89"/>
        <v>38.5</v>
      </c>
      <c r="DP30" s="373">
        <f t="shared" si="90"/>
        <v>10.277954861111111</v>
      </c>
      <c r="DQ30" s="374" t="str">
        <f t="shared" si="186"/>
        <v>(0.95)</v>
      </c>
      <c r="DR30" s="375">
        <v>2</v>
      </c>
      <c r="DS30" s="375">
        <f t="shared" si="92"/>
        <v>3.5</v>
      </c>
      <c r="DT30" s="375">
        <v>0</v>
      </c>
      <c r="DU30" s="375">
        <f t="shared" si="93"/>
        <v>0</v>
      </c>
      <c r="DV30" s="375">
        <v>0</v>
      </c>
      <c r="DW30" s="375">
        <f t="shared" si="94"/>
        <v>0</v>
      </c>
      <c r="DX30" s="375">
        <f t="shared" si="196"/>
        <v>3.5</v>
      </c>
      <c r="DY30" s="376">
        <f t="shared" si="96"/>
        <v>44.5</v>
      </c>
      <c r="DZ30" s="373">
        <f t="shared" si="97"/>
        <v>11.43278125</v>
      </c>
      <c r="EA30" s="374" t="str">
        <f t="shared" si="197"/>
        <v>(1.06)</v>
      </c>
      <c r="EB30" s="375">
        <v>2</v>
      </c>
      <c r="EC30" s="375">
        <f t="shared" si="99"/>
        <v>3.5</v>
      </c>
      <c r="ED30" s="375">
        <v>0</v>
      </c>
      <c r="EE30" s="375">
        <f t="shared" si="100"/>
        <v>0</v>
      </c>
      <c r="EF30" s="375">
        <v>1</v>
      </c>
      <c r="EG30" s="375">
        <f t="shared" si="101"/>
        <v>1</v>
      </c>
      <c r="EH30" s="375">
        <f t="shared" si="198"/>
        <v>4.5</v>
      </c>
      <c r="EI30" s="376">
        <f t="shared" si="103"/>
        <v>49.5</v>
      </c>
      <c r="EJ30" s="373">
        <f t="shared" si="104"/>
        <v>12.818572916666668</v>
      </c>
      <c r="EK30" s="374" t="str">
        <f t="shared" si="199"/>
        <v>(1.19)</v>
      </c>
      <c r="EL30" s="375">
        <v>2</v>
      </c>
      <c r="EM30" s="375">
        <f t="shared" si="106"/>
        <v>3.5</v>
      </c>
      <c r="EN30" s="375">
        <v>0</v>
      </c>
      <c r="EO30" s="375">
        <f t="shared" si="107"/>
        <v>0</v>
      </c>
      <c r="EP30" s="375">
        <v>1</v>
      </c>
      <c r="EQ30" s="375">
        <f t="shared" si="108"/>
        <v>1</v>
      </c>
      <c r="ER30" s="375">
        <f t="shared" si="200"/>
        <v>4.5</v>
      </c>
      <c r="ES30" s="376">
        <f t="shared" si="110"/>
        <v>55.5</v>
      </c>
      <c r="ET30" s="373">
        <f t="shared" si="111"/>
        <v>14.204364583333334</v>
      </c>
      <c r="EU30" s="374" t="str">
        <f t="shared" si="201"/>
        <v>(1.32)</v>
      </c>
      <c r="EV30" s="375">
        <v>2</v>
      </c>
      <c r="EW30" s="375">
        <f t="shared" si="113"/>
        <v>3.5</v>
      </c>
      <c r="EX30" s="375">
        <v>0</v>
      </c>
      <c r="EY30" s="375">
        <f t="shared" si="114"/>
        <v>0</v>
      </c>
      <c r="EZ30" s="375">
        <v>1</v>
      </c>
      <c r="FA30" s="375">
        <f t="shared" si="115"/>
        <v>1</v>
      </c>
      <c r="FB30" s="375">
        <f t="shared" si="202"/>
        <v>4.5</v>
      </c>
      <c r="FC30" s="376">
        <f t="shared" si="117"/>
        <v>61.5</v>
      </c>
      <c r="FD30" s="373">
        <f t="shared" si="118"/>
        <v>15.561285590277777</v>
      </c>
      <c r="FE30" s="374" t="str">
        <f t="shared" si="203"/>
        <v>(1.45)</v>
      </c>
      <c r="FF30" s="375">
        <v>2</v>
      </c>
      <c r="FG30" s="375">
        <f t="shared" si="120"/>
        <v>3.5</v>
      </c>
      <c r="FH30" s="375">
        <v>1</v>
      </c>
      <c r="FI30" s="375">
        <f t="shared" si="121"/>
        <v>1.125</v>
      </c>
      <c r="FJ30" s="375">
        <v>0</v>
      </c>
      <c r="FK30" s="375">
        <f t="shared" si="122"/>
        <v>0</v>
      </c>
      <c r="FL30" s="375">
        <f t="shared" si="204"/>
        <v>4.625</v>
      </c>
      <c r="FM30" s="376">
        <f t="shared" si="124"/>
        <v>67.375</v>
      </c>
      <c r="FN30" s="373">
        <f t="shared" si="125"/>
        <v>16.947077256944443</v>
      </c>
      <c r="FO30" s="374" t="str">
        <f t="shared" si="203"/>
        <v>(1.57)</v>
      </c>
      <c r="FP30" s="375">
        <v>2</v>
      </c>
      <c r="FQ30" s="375">
        <f t="shared" si="127"/>
        <v>3.5</v>
      </c>
      <c r="FR30" s="375">
        <v>1</v>
      </c>
      <c r="FS30" s="375">
        <f t="shared" si="128"/>
        <v>1.125</v>
      </c>
      <c r="FT30" s="375">
        <v>0</v>
      </c>
      <c r="FU30" s="375">
        <f t="shared" si="129"/>
        <v>0</v>
      </c>
      <c r="FV30" s="375">
        <f t="shared" si="205"/>
        <v>4.625</v>
      </c>
      <c r="FW30" s="376">
        <f t="shared" si="131"/>
        <v>73.375</v>
      </c>
      <c r="FX30" s="373">
        <f t="shared" si="132"/>
        <v>18.332868923611112</v>
      </c>
      <c r="FY30" s="374" t="str">
        <f t="shared" si="206"/>
        <v>(1.70)</v>
      </c>
      <c r="FZ30" s="375">
        <v>2</v>
      </c>
      <c r="GA30" s="375">
        <f t="shared" si="134"/>
        <v>3.5</v>
      </c>
      <c r="GB30" s="375">
        <v>1</v>
      </c>
      <c r="GC30" s="375">
        <f t="shared" si="135"/>
        <v>1.125</v>
      </c>
      <c r="GD30" s="375">
        <v>0</v>
      </c>
      <c r="GE30" s="375">
        <f t="shared" si="136"/>
        <v>0</v>
      </c>
      <c r="GF30" s="375">
        <f t="shared" si="207"/>
        <v>4.625</v>
      </c>
      <c r="GG30" s="376">
        <f t="shared" si="138"/>
        <v>79.375</v>
      </c>
      <c r="GH30" s="373">
        <f t="shared" si="139"/>
        <v>19.718660590277779</v>
      </c>
      <c r="GI30" s="374" t="str">
        <f t="shared" si="208"/>
        <v>(1.83)</v>
      </c>
      <c r="GJ30" s="375">
        <v>2</v>
      </c>
      <c r="GK30" s="375">
        <f t="shared" si="141"/>
        <v>3.5</v>
      </c>
      <c r="GL30" s="375">
        <v>1</v>
      </c>
      <c r="GM30" s="375">
        <f t="shared" si="142"/>
        <v>1.125</v>
      </c>
      <c r="GN30" s="375">
        <v>0</v>
      </c>
      <c r="GO30" s="375">
        <f t="shared" si="143"/>
        <v>0</v>
      </c>
      <c r="GP30" s="375">
        <f t="shared" si="209"/>
        <v>4.625</v>
      </c>
      <c r="GQ30" s="376">
        <f t="shared" si="145"/>
        <v>85.375</v>
      </c>
      <c r="GR30" s="373">
        <f t="shared" si="146"/>
        <v>21.104452256944445</v>
      </c>
      <c r="GS30" s="374" t="str">
        <f t="shared" si="210"/>
        <v>(1.96)</v>
      </c>
      <c r="GT30" s="375">
        <v>2</v>
      </c>
      <c r="GU30" s="375">
        <f t="shared" si="148"/>
        <v>3.5</v>
      </c>
      <c r="GV30" s="375">
        <v>1</v>
      </c>
      <c r="GW30" s="375">
        <f t="shared" si="149"/>
        <v>1.125</v>
      </c>
      <c r="GX30" s="375">
        <v>0</v>
      </c>
      <c r="GY30" s="375">
        <f t="shared" si="150"/>
        <v>0</v>
      </c>
      <c r="GZ30" s="375">
        <f t="shared" si="211"/>
        <v>4.625</v>
      </c>
      <c r="HA30" s="376">
        <f t="shared" si="152"/>
        <v>91.375</v>
      </c>
      <c r="HB30" s="373">
        <f t="shared" si="153"/>
        <v>22.490243923611111</v>
      </c>
      <c r="HC30" s="374" t="str">
        <f t="shared" si="212"/>
        <v>(2.09)</v>
      </c>
      <c r="HD30" s="375">
        <v>2</v>
      </c>
      <c r="HE30" s="375">
        <f t="shared" si="155"/>
        <v>3.5</v>
      </c>
      <c r="HF30" s="375">
        <v>1</v>
      </c>
      <c r="HG30" s="375">
        <f t="shared" si="156"/>
        <v>1.125</v>
      </c>
      <c r="HH30" s="375">
        <v>0</v>
      </c>
      <c r="HI30" s="375">
        <f t="shared" si="157"/>
        <v>0</v>
      </c>
      <c r="HJ30" s="375">
        <f t="shared" si="213"/>
        <v>4.625</v>
      </c>
      <c r="HK30" s="376">
        <f t="shared" si="159"/>
        <v>97.375</v>
      </c>
      <c r="HL30" s="373">
        <f t="shared" si="160"/>
        <v>23.414105034722223</v>
      </c>
      <c r="HM30" s="374" t="str">
        <f t="shared" si="214"/>
        <v>(2.18)</v>
      </c>
      <c r="HN30" s="375">
        <v>2</v>
      </c>
      <c r="HO30" s="375">
        <f t="shared" si="162"/>
        <v>3.5</v>
      </c>
      <c r="HP30" s="375">
        <v>1</v>
      </c>
      <c r="HQ30" s="375">
        <f t="shared" si="163"/>
        <v>1.125</v>
      </c>
      <c r="HR30" s="375">
        <v>2</v>
      </c>
      <c r="HS30" s="375">
        <f t="shared" si="164"/>
        <v>2</v>
      </c>
      <c r="HT30" s="375">
        <f t="shared" si="215"/>
        <v>6.625</v>
      </c>
      <c r="HU30" s="376">
        <f t="shared" si="166"/>
        <v>101.375</v>
      </c>
      <c r="HV30" s="373">
        <f t="shared" si="167"/>
        <v>24.799896701388889</v>
      </c>
      <c r="HW30" s="374" t="str">
        <f t="shared" si="216"/>
        <v>(2.30)</v>
      </c>
      <c r="HX30" s="375">
        <v>2</v>
      </c>
      <c r="HY30" s="375">
        <f t="shared" si="169"/>
        <v>3.5</v>
      </c>
      <c r="HZ30" s="375">
        <v>1</v>
      </c>
      <c r="IA30" s="375">
        <f t="shared" si="170"/>
        <v>1.125</v>
      </c>
      <c r="IB30" s="375">
        <v>2</v>
      </c>
      <c r="IC30" s="375">
        <f t="shared" si="171"/>
        <v>2</v>
      </c>
      <c r="ID30" s="375">
        <f t="shared" si="217"/>
        <v>6.625</v>
      </c>
      <c r="IE30" s="376">
        <f t="shared" si="173"/>
        <v>107.375</v>
      </c>
      <c r="IF30" s="373">
        <f t="shared" si="174"/>
        <v>26.185688368055555</v>
      </c>
      <c r="IG30" s="374" t="str">
        <f t="shared" si="218"/>
        <v>(2.43)</v>
      </c>
      <c r="IH30" s="22">
        <v>2</v>
      </c>
      <c r="II30" s="22">
        <f t="shared" si="176"/>
        <v>3.5</v>
      </c>
      <c r="IJ30" s="22">
        <v>1</v>
      </c>
      <c r="IK30" s="22">
        <f t="shared" si="177"/>
        <v>1.125</v>
      </c>
      <c r="IL30" s="22">
        <v>2</v>
      </c>
      <c r="IM30" s="22">
        <f t="shared" si="178"/>
        <v>2</v>
      </c>
      <c r="IN30" s="22">
        <f t="shared" si="219"/>
        <v>6.625</v>
      </c>
      <c r="IO30" s="23">
        <f t="shared" si="180"/>
        <v>113.375</v>
      </c>
      <c r="IP30" s="24"/>
      <c r="IQ30" s="25">
        <v>10</v>
      </c>
      <c r="IR30" s="26">
        <v>3.1160000000000001</v>
      </c>
      <c r="IS30" s="26">
        <v>3.0659999999999998</v>
      </c>
      <c r="IT30" s="26">
        <v>2.5489999999999999</v>
      </c>
      <c r="IU30" s="26">
        <v>1.75</v>
      </c>
      <c r="IV30" s="26">
        <v>1</v>
      </c>
      <c r="IW30" s="26">
        <v>1.125</v>
      </c>
      <c r="IX30" s="8"/>
    </row>
    <row r="31" spans="2:258" ht="15.75" thickBot="1" x14ac:dyDescent="0.3">
      <c r="B31" s="103">
        <f t="shared" si="39"/>
        <v>78</v>
      </c>
      <c r="C31" s="221">
        <v>14</v>
      </c>
      <c r="D31" s="98">
        <f t="shared" si="0"/>
        <v>0.29303365384615382</v>
      </c>
      <c r="E31" s="96">
        <f t="shared" si="1"/>
        <v>0.45287019230769227</v>
      </c>
      <c r="F31" s="96">
        <f t="shared" si="2"/>
        <v>0.51502884615384603</v>
      </c>
      <c r="G31" s="96">
        <f t="shared" si="3"/>
        <v>0.54610817307692294</v>
      </c>
      <c r="H31" s="96">
        <f t="shared" si="4"/>
        <v>0.5647557692307692</v>
      </c>
      <c r="I31" s="96">
        <f t="shared" si="5"/>
        <v>0.57718749999999996</v>
      </c>
      <c r="J31" s="96">
        <f t="shared" si="6"/>
        <v>0.58606730769230764</v>
      </c>
      <c r="K31" s="96">
        <f t="shared" si="7"/>
        <v>0.59272716346153842</v>
      </c>
      <c r="L31" s="96">
        <f t="shared" si="8"/>
        <v>0.58606730769230753</v>
      </c>
      <c r="M31" s="96">
        <f t="shared" si="9"/>
        <v>0.59139519230769222</v>
      </c>
      <c r="N31" s="96">
        <f t="shared" si="10"/>
        <v>0.59575437062937053</v>
      </c>
      <c r="O31" s="96">
        <f t="shared" si="11"/>
        <v>0.5982770432692307</v>
      </c>
      <c r="P31" s="238"/>
      <c r="Q31" s="238"/>
      <c r="R31" s="238"/>
      <c r="S31" s="238"/>
      <c r="T31" s="238"/>
      <c r="U31" s="238"/>
      <c r="V31" s="238"/>
      <c r="W31" s="238"/>
      <c r="X31" s="64"/>
      <c r="Y31" s="65"/>
      <c r="AT31" s="4"/>
      <c r="AU31" s="27">
        <f t="shared" si="220"/>
        <v>60</v>
      </c>
      <c r="AV31" s="28" t="str">
        <f t="shared" si="40"/>
        <v>(1500)</v>
      </c>
      <c r="AW31" s="19">
        <f t="shared" si="221"/>
        <v>16</v>
      </c>
      <c r="AX31" s="20">
        <f t="shared" si="41"/>
        <v>1.4363020833333333</v>
      </c>
      <c r="AY31" s="29" t="str">
        <f>"("&amp;FIXED(AX31*0.092903,2)&amp;")"</f>
        <v>(0.13)</v>
      </c>
      <c r="AZ31" s="22">
        <v>2</v>
      </c>
      <c r="BA31" s="22">
        <f t="shared" si="43"/>
        <v>3.5</v>
      </c>
      <c r="BB31" s="30">
        <v>0</v>
      </c>
      <c r="BC31" s="22">
        <f t="shared" si="44"/>
        <v>0</v>
      </c>
      <c r="BD31" s="30">
        <v>0</v>
      </c>
      <c r="BE31" s="22">
        <f t="shared" si="45"/>
        <v>0</v>
      </c>
      <c r="BF31" s="22">
        <f t="shared" si="188"/>
        <v>3.5</v>
      </c>
      <c r="BG31" s="23">
        <f t="shared" si="47"/>
        <v>5.5</v>
      </c>
      <c r="BH31" s="373">
        <f t="shared" si="48"/>
        <v>2.2197395833333333</v>
      </c>
      <c r="BI31" s="374" t="str">
        <f>"("&amp;FIXED(BH31*0.092903,2)&amp;")"</f>
        <v>(0.21)</v>
      </c>
      <c r="BJ31" s="375">
        <v>2</v>
      </c>
      <c r="BK31" s="375">
        <f t="shared" si="50"/>
        <v>3.5</v>
      </c>
      <c r="BL31" s="375">
        <v>0</v>
      </c>
      <c r="BM31" s="375">
        <f t="shared" si="51"/>
        <v>0</v>
      </c>
      <c r="BN31" s="375">
        <v>0</v>
      </c>
      <c r="BO31" s="375">
        <f t="shared" si="52"/>
        <v>0</v>
      </c>
      <c r="BP31" s="375">
        <f t="shared" si="190"/>
        <v>3.5</v>
      </c>
      <c r="BQ31" s="376">
        <f t="shared" si="54"/>
        <v>8.5</v>
      </c>
      <c r="BR31" s="373">
        <f t="shared" si="55"/>
        <v>3.7866145833333329</v>
      </c>
      <c r="BS31" s="374" t="str">
        <f t="shared" si="181"/>
        <v>(0.35)</v>
      </c>
      <c r="BT31" s="375">
        <v>2</v>
      </c>
      <c r="BU31" s="375">
        <f t="shared" si="57"/>
        <v>3.5</v>
      </c>
      <c r="BV31" s="375">
        <v>0</v>
      </c>
      <c r="BW31" s="375">
        <f t="shared" si="58"/>
        <v>0</v>
      </c>
      <c r="BX31" s="375">
        <v>0</v>
      </c>
      <c r="BY31" s="375">
        <f t="shared" si="59"/>
        <v>0</v>
      </c>
      <c r="BZ31" s="375">
        <f t="shared" si="191"/>
        <v>3.5</v>
      </c>
      <c r="CA31" s="376">
        <f t="shared" si="61"/>
        <v>14.5</v>
      </c>
      <c r="CB31" s="373">
        <f t="shared" si="62"/>
        <v>5.3534895833333325</v>
      </c>
      <c r="CC31" s="374" t="str">
        <f t="shared" si="182"/>
        <v>(0.5)</v>
      </c>
      <c r="CD31" s="375">
        <v>2</v>
      </c>
      <c r="CE31" s="375">
        <f t="shared" si="64"/>
        <v>3.5</v>
      </c>
      <c r="CF31" s="375">
        <v>0</v>
      </c>
      <c r="CG31" s="375">
        <f t="shared" si="65"/>
        <v>0</v>
      </c>
      <c r="CH31" s="375">
        <v>0</v>
      </c>
      <c r="CI31" s="375">
        <f t="shared" si="66"/>
        <v>0</v>
      </c>
      <c r="CJ31" s="375">
        <f t="shared" si="192"/>
        <v>3.5</v>
      </c>
      <c r="CK31" s="376">
        <f t="shared" si="68"/>
        <v>20.5</v>
      </c>
      <c r="CL31" s="373">
        <f t="shared" si="69"/>
        <v>6.9203645833333329</v>
      </c>
      <c r="CM31" s="374" t="str">
        <f t="shared" si="183"/>
        <v>(0.64)</v>
      </c>
      <c r="CN31" s="375">
        <v>2</v>
      </c>
      <c r="CO31" s="375">
        <f t="shared" si="71"/>
        <v>3.5</v>
      </c>
      <c r="CP31" s="375">
        <v>0</v>
      </c>
      <c r="CQ31" s="375">
        <f t="shared" si="72"/>
        <v>0</v>
      </c>
      <c r="CR31" s="375">
        <v>0</v>
      </c>
      <c r="CS31" s="375">
        <f t="shared" si="73"/>
        <v>0</v>
      </c>
      <c r="CT31" s="375">
        <f t="shared" si="193"/>
        <v>3.5</v>
      </c>
      <c r="CU31" s="376">
        <f t="shared" si="75"/>
        <v>26.5</v>
      </c>
      <c r="CV31" s="373">
        <f t="shared" si="76"/>
        <v>8.4872395833333325</v>
      </c>
      <c r="CW31" s="374" t="str">
        <f t="shared" si="184"/>
        <v>(0.79)</v>
      </c>
      <c r="CX31" s="375">
        <v>2</v>
      </c>
      <c r="CY31" s="375">
        <f t="shared" si="78"/>
        <v>3.5</v>
      </c>
      <c r="CZ31" s="375">
        <v>0</v>
      </c>
      <c r="DA31" s="375">
        <f t="shared" si="79"/>
        <v>0</v>
      </c>
      <c r="DB31" s="375">
        <v>0</v>
      </c>
      <c r="DC31" s="375">
        <f t="shared" si="80"/>
        <v>0</v>
      </c>
      <c r="DD31" s="375">
        <f t="shared" si="194"/>
        <v>3.5</v>
      </c>
      <c r="DE31" s="376">
        <f t="shared" si="82"/>
        <v>32.5</v>
      </c>
      <c r="DF31" s="373">
        <f t="shared" si="83"/>
        <v>10.054114583333332</v>
      </c>
      <c r="DG31" s="374" t="str">
        <f t="shared" si="185"/>
        <v>(0.93)</v>
      </c>
      <c r="DH31" s="375">
        <v>2</v>
      </c>
      <c r="DI31" s="375">
        <f t="shared" si="85"/>
        <v>3.5</v>
      </c>
      <c r="DJ31" s="375">
        <v>0</v>
      </c>
      <c r="DK31" s="375">
        <f t="shared" si="86"/>
        <v>0</v>
      </c>
      <c r="DL31" s="375">
        <v>0</v>
      </c>
      <c r="DM31" s="375">
        <f t="shared" si="87"/>
        <v>0</v>
      </c>
      <c r="DN31" s="375">
        <f t="shared" si="195"/>
        <v>3.5</v>
      </c>
      <c r="DO31" s="376">
        <f t="shared" si="89"/>
        <v>38.5</v>
      </c>
      <c r="DP31" s="373">
        <f t="shared" si="90"/>
        <v>11.620989583333333</v>
      </c>
      <c r="DQ31" s="374" t="str">
        <f t="shared" si="186"/>
        <v>(1.08)</v>
      </c>
      <c r="DR31" s="375">
        <v>2</v>
      </c>
      <c r="DS31" s="375">
        <f t="shared" si="92"/>
        <v>3.5</v>
      </c>
      <c r="DT31" s="375">
        <v>0</v>
      </c>
      <c r="DU31" s="375">
        <f t="shared" si="93"/>
        <v>0</v>
      </c>
      <c r="DV31" s="375">
        <v>0</v>
      </c>
      <c r="DW31" s="375">
        <f t="shared" si="94"/>
        <v>0</v>
      </c>
      <c r="DX31" s="375">
        <f t="shared" si="196"/>
        <v>3.5</v>
      </c>
      <c r="DY31" s="376">
        <f t="shared" si="96"/>
        <v>44.5</v>
      </c>
      <c r="DZ31" s="373">
        <f t="shared" si="97"/>
        <v>12.926718749999999</v>
      </c>
      <c r="EA31" s="374" t="str">
        <f>"("&amp;FIXED(DZ31*0.092903,2)&amp;")"</f>
        <v>(1.20)</v>
      </c>
      <c r="EB31" s="375">
        <v>2</v>
      </c>
      <c r="EC31" s="375">
        <f t="shared" si="99"/>
        <v>3.5</v>
      </c>
      <c r="ED31" s="375">
        <v>0</v>
      </c>
      <c r="EE31" s="375">
        <f t="shared" si="100"/>
        <v>0</v>
      </c>
      <c r="EF31" s="375">
        <v>1</v>
      </c>
      <c r="EG31" s="375">
        <f t="shared" si="101"/>
        <v>1</v>
      </c>
      <c r="EH31" s="375">
        <f t="shared" si="198"/>
        <v>4.5</v>
      </c>
      <c r="EI31" s="376">
        <f t="shared" si="103"/>
        <v>49.5</v>
      </c>
      <c r="EJ31" s="373">
        <f t="shared" si="104"/>
        <v>14.493593749999999</v>
      </c>
      <c r="EK31" s="374" t="str">
        <f>"("&amp;FIXED(EJ31*0.092903,2)&amp;")"</f>
        <v>(1.35)</v>
      </c>
      <c r="EL31" s="375">
        <v>2</v>
      </c>
      <c r="EM31" s="375">
        <f t="shared" si="106"/>
        <v>3.5</v>
      </c>
      <c r="EN31" s="375">
        <v>0</v>
      </c>
      <c r="EO31" s="375">
        <f t="shared" si="107"/>
        <v>0</v>
      </c>
      <c r="EP31" s="375">
        <v>1</v>
      </c>
      <c r="EQ31" s="375">
        <f t="shared" si="108"/>
        <v>1</v>
      </c>
      <c r="ER31" s="375">
        <f t="shared" si="200"/>
        <v>4.5</v>
      </c>
      <c r="ES31" s="376">
        <f t="shared" si="110"/>
        <v>55.5</v>
      </c>
      <c r="ET31" s="373">
        <f t="shared" si="111"/>
        <v>16.060468749999998</v>
      </c>
      <c r="EU31" s="374" t="str">
        <f>"("&amp;FIXED(ET31*0.092903,2)&amp;")"</f>
        <v>(1.49)</v>
      </c>
      <c r="EV31" s="375">
        <v>2</v>
      </c>
      <c r="EW31" s="375">
        <f t="shared" si="113"/>
        <v>3.5</v>
      </c>
      <c r="EX31" s="375">
        <v>0</v>
      </c>
      <c r="EY31" s="375">
        <f t="shared" si="114"/>
        <v>0</v>
      </c>
      <c r="EZ31" s="375">
        <v>1</v>
      </c>
      <c r="FA31" s="375">
        <f t="shared" si="115"/>
        <v>1</v>
      </c>
      <c r="FB31" s="375">
        <f t="shared" si="202"/>
        <v>4.5</v>
      </c>
      <c r="FC31" s="376">
        <f t="shared" si="117"/>
        <v>61.5</v>
      </c>
      <c r="FD31" s="373">
        <f t="shared" si="118"/>
        <v>17.594700520833332</v>
      </c>
      <c r="FE31" s="374" t="str">
        <f>"("&amp;FIXED(FD31*0.092903,2)&amp;")"</f>
        <v>(1.63)</v>
      </c>
      <c r="FF31" s="375">
        <v>2</v>
      </c>
      <c r="FG31" s="375">
        <f t="shared" si="120"/>
        <v>3.5</v>
      </c>
      <c r="FH31" s="375">
        <v>1</v>
      </c>
      <c r="FI31" s="375">
        <f t="shared" si="121"/>
        <v>1.125</v>
      </c>
      <c r="FJ31" s="375">
        <v>0</v>
      </c>
      <c r="FK31" s="375">
        <f t="shared" si="122"/>
        <v>0</v>
      </c>
      <c r="FL31" s="375">
        <f t="shared" si="204"/>
        <v>4.625</v>
      </c>
      <c r="FM31" s="376">
        <f t="shared" si="124"/>
        <v>67.375</v>
      </c>
      <c r="FN31" s="373">
        <f t="shared" si="125"/>
        <v>19.161575520833331</v>
      </c>
      <c r="FO31" s="374" t="str">
        <f>"("&amp;FIXED(FN31*0.092903,2)&amp;")"</f>
        <v>(1.78)</v>
      </c>
      <c r="FP31" s="375">
        <v>2</v>
      </c>
      <c r="FQ31" s="375">
        <f t="shared" si="127"/>
        <v>3.5</v>
      </c>
      <c r="FR31" s="375">
        <v>1</v>
      </c>
      <c r="FS31" s="375">
        <f t="shared" si="128"/>
        <v>1.125</v>
      </c>
      <c r="FT31" s="375">
        <v>0</v>
      </c>
      <c r="FU31" s="375">
        <f t="shared" si="129"/>
        <v>0</v>
      </c>
      <c r="FV31" s="375">
        <f t="shared" si="205"/>
        <v>4.625</v>
      </c>
      <c r="FW31" s="376">
        <f t="shared" si="131"/>
        <v>73.375</v>
      </c>
      <c r="FX31" s="373">
        <f t="shared" si="132"/>
        <v>20.728450520833334</v>
      </c>
      <c r="FY31" s="374" t="str">
        <f>"("&amp;FIXED(FX31*0.092903,2)&amp;")"</f>
        <v>(1.93)</v>
      </c>
      <c r="FZ31" s="375">
        <v>2</v>
      </c>
      <c r="GA31" s="375">
        <f t="shared" si="134"/>
        <v>3.5</v>
      </c>
      <c r="GB31" s="375">
        <v>1</v>
      </c>
      <c r="GC31" s="375">
        <f t="shared" si="135"/>
        <v>1.125</v>
      </c>
      <c r="GD31" s="375">
        <v>0</v>
      </c>
      <c r="GE31" s="375">
        <f t="shared" si="136"/>
        <v>0</v>
      </c>
      <c r="GF31" s="375">
        <f t="shared" si="207"/>
        <v>4.625</v>
      </c>
      <c r="GG31" s="376">
        <f t="shared" si="138"/>
        <v>79.375</v>
      </c>
      <c r="GH31" s="373">
        <f t="shared" si="139"/>
        <v>22.29532552083333</v>
      </c>
      <c r="GI31" s="374" t="str">
        <f>"("&amp;FIXED(GH31*0.092903,2)&amp;")"</f>
        <v>(2.07)</v>
      </c>
      <c r="GJ31" s="375">
        <v>2</v>
      </c>
      <c r="GK31" s="375">
        <f t="shared" si="141"/>
        <v>3.5</v>
      </c>
      <c r="GL31" s="375">
        <v>1</v>
      </c>
      <c r="GM31" s="375">
        <f t="shared" si="142"/>
        <v>1.125</v>
      </c>
      <c r="GN31" s="375">
        <v>0</v>
      </c>
      <c r="GO31" s="375">
        <f t="shared" si="143"/>
        <v>0</v>
      </c>
      <c r="GP31" s="375">
        <f t="shared" si="209"/>
        <v>4.625</v>
      </c>
      <c r="GQ31" s="376">
        <f t="shared" si="145"/>
        <v>85.375</v>
      </c>
      <c r="GR31" s="373">
        <f t="shared" si="146"/>
        <v>23.86220052083333</v>
      </c>
      <c r="GS31" s="374" t="str">
        <f>"("&amp;FIXED(GR31*0.092903,2)&amp;")"</f>
        <v>(2.22)</v>
      </c>
      <c r="GT31" s="375">
        <v>2</v>
      </c>
      <c r="GU31" s="375">
        <f t="shared" si="148"/>
        <v>3.5</v>
      </c>
      <c r="GV31" s="375">
        <v>1</v>
      </c>
      <c r="GW31" s="375">
        <f t="shared" si="149"/>
        <v>1.125</v>
      </c>
      <c r="GX31" s="375">
        <v>0</v>
      </c>
      <c r="GY31" s="375">
        <f t="shared" si="150"/>
        <v>0</v>
      </c>
      <c r="GZ31" s="375">
        <f t="shared" si="211"/>
        <v>4.625</v>
      </c>
      <c r="HA31" s="376">
        <f t="shared" si="152"/>
        <v>91.375</v>
      </c>
      <c r="HB31" s="373">
        <f t="shared" si="153"/>
        <v>25.429075520833333</v>
      </c>
      <c r="HC31" s="374" t="str">
        <f>"("&amp;FIXED(HB31*0.092903,2)&amp;")"</f>
        <v>(2.36)</v>
      </c>
      <c r="HD31" s="375">
        <v>2</v>
      </c>
      <c r="HE31" s="375">
        <f t="shared" si="155"/>
        <v>3.5</v>
      </c>
      <c r="HF31" s="375">
        <v>1</v>
      </c>
      <c r="HG31" s="375">
        <f t="shared" si="156"/>
        <v>1.125</v>
      </c>
      <c r="HH31" s="375">
        <v>0</v>
      </c>
      <c r="HI31" s="375">
        <f t="shared" si="157"/>
        <v>0</v>
      </c>
      <c r="HJ31" s="375">
        <f t="shared" si="213"/>
        <v>4.625</v>
      </c>
      <c r="HK31" s="376">
        <f t="shared" si="159"/>
        <v>97.375</v>
      </c>
      <c r="HL31" s="373">
        <f t="shared" si="160"/>
        <v>26.473658854166665</v>
      </c>
      <c r="HM31" s="374" t="str">
        <f>"("&amp;FIXED(HL31*0.092903,2)&amp;")"</f>
        <v>(2.46)</v>
      </c>
      <c r="HN31" s="375">
        <v>2</v>
      </c>
      <c r="HO31" s="375">
        <f t="shared" si="162"/>
        <v>3.5</v>
      </c>
      <c r="HP31" s="375">
        <v>1</v>
      </c>
      <c r="HQ31" s="375">
        <f t="shared" si="163"/>
        <v>1.125</v>
      </c>
      <c r="HR31" s="375">
        <v>2</v>
      </c>
      <c r="HS31" s="375">
        <f t="shared" si="164"/>
        <v>2</v>
      </c>
      <c r="HT31" s="375">
        <f t="shared" si="215"/>
        <v>6.625</v>
      </c>
      <c r="HU31" s="376">
        <f t="shared" si="166"/>
        <v>101.375</v>
      </c>
      <c r="HV31" s="373">
        <f t="shared" si="167"/>
        <v>28.040533854166664</v>
      </c>
      <c r="HW31" s="374" t="str">
        <f>"("&amp;FIXED(HV31*0.092903,2)&amp;")"</f>
        <v>(2.61)</v>
      </c>
      <c r="HX31" s="375">
        <v>2</v>
      </c>
      <c r="HY31" s="375">
        <f t="shared" si="169"/>
        <v>3.5</v>
      </c>
      <c r="HZ31" s="375">
        <v>1</v>
      </c>
      <c r="IA31" s="375">
        <f t="shared" si="170"/>
        <v>1.125</v>
      </c>
      <c r="IB31" s="375">
        <v>2</v>
      </c>
      <c r="IC31" s="375">
        <f t="shared" si="171"/>
        <v>2</v>
      </c>
      <c r="ID31" s="375">
        <f t="shared" si="217"/>
        <v>6.625</v>
      </c>
      <c r="IE31" s="376">
        <f t="shared" si="173"/>
        <v>107.375</v>
      </c>
      <c r="IF31" s="373">
        <f t="shared" si="174"/>
        <v>29.607408854166668</v>
      </c>
      <c r="IG31" s="374" t="str">
        <f>"("&amp;FIXED(IF31*0.092903,2)&amp;")"</f>
        <v>(2.75)</v>
      </c>
      <c r="IH31" s="22">
        <v>2</v>
      </c>
      <c r="II31" s="22">
        <f t="shared" si="176"/>
        <v>3.5</v>
      </c>
      <c r="IJ31" s="30">
        <v>1</v>
      </c>
      <c r="IK31" s="22">
        <f t="shared" si="177"/>
        <v>1.125</v>
      </c>
      <c r="IL31" s="22">
        <v>2</v>
      </c>
      <c r="IM31" s="22">
        <f t="shared" si="178"/>
        <v>2</v>
      </c>
      <c r="IN31" s="22">
        <f t="shared" si="219"/>
        <v>6.625</v>
      </c>
      <c r="IO31" s="23">
        <f t="shared" si="180"/>
        <v>113.375</v>
      </c>
      <c r="IP31" s="24"/>
      <c r="IQ31" s="25">
        <v>12</v>
      </c>
      <c r="IR31" s="26">
        <v>3.1160000000000001</v>
      </c>
      <c r="IS31" s="26">
        <v>3.0659999999999998</v>
      </c>
      <c r="IT31" s="26">
        <v>0.76300000000000001</v>
      </c>
      <c r="IU31" s="26">
        <v>1.75</v>
      </c>
      <c r="IV31" s="26">
        <v>1</v>
      </c>
      <c r="IW31" s="26">
        <v>1.125</v>
      </c>
      <c r="IX31" s="8"/>
    </row>
    <row r="32" spans="2:258" ht="15.75" thickBot="1" x14ac:dyDescent="0.3">
      <c r="B32" s="103">
        <f t="shared" si="39"/>
        <v>84</v>
      </c>
      <c r="C32" s="221">
        <v>15</v>
      </c>
      <c r="D32" s="98">
        <f t="shared" si="0"/>
        <v>0.29639434523809521</v>
      </c>
      <c r="E32" s="96">
        <f t="shared" si="1"/>
        <v>0.45806398809523813</v>
      </c>
      <c r="F32" s="96">
        <f t="shared" si="2"/>
        <v>0.5209355158730159</v>
      </c>
      <c r="G32" s="96">
        <f t="shared" si="3"/>
        <v>0.55237127976190481</v>
      </c>
      <c r="H32" s="96">
        <f t="shared" si="4"/>
        <v>0.57123273809523811</v>
      </c>
      <c r="I32" s="96">
        <f t="shared" si="5"/>
        <v>0.58380704365079361</v>
      </c>
      <c r="J32" s="96">
        <f t="shared" si="6"/>
        <v>0.59278869047619043</v>
      </c>
      <c r="K32" s="96">
        <f t="shared" si="7"/>
        <v>0.59952492559523807</v>
      </c>
      <c r="L32" s="96">
        <f t="shared" si="8"/>
        <v>0.59278869047619043</v>
      </c>
      <c r="M32" s="96">
        <f t="shared" si="9"/>
        <v>0.59817767857142856</v>
      </c>
      <c r="N32" s="96">
        <f t="shared" si="10"/>
        <v>0.60258685064935069</v>
      </c>
      <c r="O32" s="96">
        <f t="shared" si="11"/>
        <v>0.60513845486111117</v>
      </c>
      <c r="P32" s="238"/>
      <c r="Q32" s="238"/>
      <c r="R32" s="238"/>
      <c r="S32" s="238"/>
      <c r="T32" s="238"/>
      <c r="U32" s="238"/>
      <c r="V32" s="238"/>
      <c r="W32" s="238"/>
      <c r="X32" s="64"/>
      <c r="Y32" s="65"/>
      <c r="AT32" s="4"/>
      <c r="AU32" s="14">
        <f t="shared" si="220"/>
        <v>66</v>
      </c>
      <c r="AV32" s="12" t="str">
        <f t="shared" si="40"/>
        <v>(1700)</v>
      </c>
      <c r="AW32" s="19">
        <f t="shared" si="221"/>
        <v>17</v>
      </c>
      <c r="AX32" s="20">
        <f t="shared" si="41"/>
        <v>1.60634375</v>
      </c>
      <c r="AY32" s="21" t="str">
        <f t="shared" ref="AY32:AY40" si="222">"("&amp;FIXED(AX32*0.092903,2)&amp;")"</f>
        <v>(0.15)</v>
      </c>
      <c r="AZ32" s="22">
        <v>2</v>
      </c>
      <c r="BA32" s="22">
        <f t="shared" si="43"/>
        <v>3.5</v>
      </c>
      <c r="BB32" s="22">
        <v>0</v>
      </c>
      <c r="BC32" s="22">
        <f t="shared" si="44"/>
        <v>0</v>
      </c>
      <c r="BD32" s="22">
        <v>0</v>
      </c>
      <c r="BE32" s="22">
        <f t="shared" si="45"/>
        <v>0</v>
      </c>
      <c r="BF32" s="22">
        <f t="shared" si="188"/>
        <v>3.5</v>
      </c>
      <c r="BG32" s="23">
        <f t="shared" si="47"/>
        <v>5.5</v>
      </c>
      <c r="BH32" s="373">
        <f t="shared" si="48"/>
        <v>2.4825312500000001</v>
      </c>
      <c r="BI32" s="374" t="str">
        <f t="shared" si="189"/>
        <v>(0.23)</v>
      </c>
      <c r="BJ32" s="375">
        <v>2</v>
      </c>
      <c r="BK32" s="375">
        <f t="shared" si="50"/>
        <v>3.5</v>
      </c>
      <c r="BL32" s="375">
        <v>0</v>
      </c>
      <c r="BM32" s="375">
        <f t="shared" si="51"/>
        <v>0</v>
      </c>
      <c r="BN32" s="375">
        <v>0</v>
      </c>
      <c r="BO32" s="375">
        <f t="shared" si="52"/>
        <v>0</v>
      </c>
      <c r="BP32" s="375">
        <f t="shared" si="190"/>
        <v>3.5</v>
      </c>
      <c r="BQ32" s="376">
        <f t="shared" si="54"/>
        <v>8.5</v>
      </c>
      <c r="BR32" s="373">
        <f t="shared" si="55"/>
        <v>4.2349062499999999</v>
      </c>
      <c r="BS32" s="374" t="str">
        <f t="shared" si="181"/>
        <v>(0.39)</v>
      </c>
      <c r="BT32" s="375">
        <v>2</v>
      </c>
      <c r="BU32" s="375">
        <f t="shared" si="57"/>
        <v>3.5</v>
      </c>
      <c r="BV32" s="375">
        <v>0</v>
      </c>
      <c r="BW32" s="375">
        <f t="shared" si="58"/>
        <v>0</v>
      </c>
      <c r="BX32" s="375">
        <v>0</v>
      </c>
      <c r="BY32" s="375">
        <f t="shared" si="59"/>
        <v>0</v>
      </c>
      <c r="BZ32" s="375">
        <f t="shared" si="191"/>
        <v>3.5</v>
      </c>
      <c r="CA32" s="376">
        <f t="shared" si="61"/>
        <v>14.5</v>
      </c>
      <c r="CB32" s="373">
        <f t="shared" si="62"/>
        <v>5.9872812499999997</v>
      </c>
      <c r="CC32" s="374" t="str">
        <f t="shared" si="182"/>
        <v>(0.56)</v>
      </c>
      <c r="CD32" s="375">
        <v>2</v>
      </c>
      <c r="CE32" s="375">
        <f t="shared" si="64"/>
        <v>3.5</v>
      </c>
      <c r="CF32" s="375">
        <v>0</v>
      </c>
      <c r="CG32" s="375">
        <f t="shared" si="65"/>
        <v>0</v>
      </c>
      <c r="CH32" s="375">
        <v>0</v>
      </c>
      <c r="CI32" s="375">
        <f t="shared" si="66"/>
        <v>0</v>
      </c>
      <c r="CJ32" s="375">
        <f t="shared" si="192"/>
        <v>3.5</v>
      </c>
      <c r="CK32" s="376">
        <f t="shared" si="68"/>
        <v>20.5</v>
      </c>
      <c r="CL32" s="373">
        <f t="shared" si="69"/>
        <v>7.7396562500000003</v>
      </c>
      <c r="CM32" s="374" t="str">
        <f t="shared" si="183"/>
        <v>(0.72)</v>
      </c>
      <c r="CN32" s="375">
        <v>2</v>
      </c>
      <c r="CO32" s="375">
        <f t="shared" si="71"/>
        <v>3.5</v>
      </c>
      <c r="CP32" s="375">
        <v>0</v>
      </c>
      <c r="CQ32" s="375">
        <f t="shared" si="72"/>
        <v>0</v>
      </c>
      <c r="CR32" s="375">
        <v>0</v>
      </c>
      <c r="CS32" s="375">
        <f t="shared" si="73"/>
        <v>0</v>
      </c>
      <c r="CT32" s="375">
        <f t="shared" si="193"/>
        <v>3.5</v>
      </c>
      <c r="CU32" s="376">
        <f t="shared" si="75"/>
        <v>26.5</v>
      </c>
      <c r="CV32" s="373">
        <f t="shared" si="76"/>
        <v>9.4920312500000001</v>
      </c>
      <c r="CW32" s="374" t="str">
        <f t="shared" si="184"/>
        <v>(0.88)</v>
      </c>
      <c r="CX32" s="375">
        <v>2</v>
      </c>
      <c r="CY32" s="375">
        <f t="shared" si="78"/>
        <v>3.5</v>
      </c>
      <c r="CZ32" s="375">
        <v>0</v>
      </c>
      <c r="DA32" s="375">
        <f t="shared" si="79"/>
        <v>0</v>
      </c>
      <c r="DB32" s="375">
        <v>0</v>
      </c>
      <c r="DC32" s="375">
        <f t="shared" si="80"/>
        <v>0</v>
      </c>
      <c r="DD32" s="375">
        <f t="shared" si="194"/>
        <v>3.5</v>
      </c>
      <c r="DE32" s="376">
        <f t="shared" si="82"/>
        <v>32.5</v>
      </c>
      <c r="DF32" s="373">
        <f t="shared" si="83"/>
        <v>11.244406250000001</v>
      </c>
      <c r="DG32" s="374" t="str">
        <f t="shared" si="185"/>
        <v>(1.04)</v>
      </c>
      <c r="DH32" s="375">
        <v>2</v>
      </c>
      <c r="DI32" s="375">
        <f t="shared" si="85"/>
        <v>3.5</v>
      </c>
      <c r="DJ32" s="375">
        <v>0</v>
      </c>
      <c r="DK32" s="375">
        <f t="shared" si="86"/>
        <v>0</v>
      </c>
      <c r="DL32" s="375">
        <v>0</v>
      </c>
      <c r="DM32" s="375">
        <f t="shared" si="87"/>
        <v>0</v>
      </c>
      <c r="DN32" s="375">
        <f t="shared" si="195"/>
        <v>3.5</v>
      </c>
      <c r="DO32" s="376">
        <f t="shared" si="89"/>
        <v>38.5</v>
      </c>
      <c r="DP32" s="373">
        <f t="shared" si="90"/>
        <v>12.996781250000002</v>
      </c>
      <c r="DQ32" s="374" t="str">
        <f t="shared" si="186"/>
        <v>(1.21)</v>
      </c>
      <c r="DR32" s="375">
        <v>2</v>
      </c>
      <c r="DS32" s="375">
        <f t="shared" si="92"/>
        <v>3.5</v>
      </c>
      <c r="DT32" s="375">
        <v>0</v>
      </c>
      <c r="DU32" s="375">
        <f t="shared" si="93"/>
        <v>0</v>
      </c>
      <c r="DV32" s="375">
        <v>0</v>
      </c>
      <c r="DW32" s="375">
        <f t="shared" si="94"/>
        <v>0</v>
      </c>
      <c r="DX32" s="375">
        <f t="shared" si="196"/>
        <v>3.5</v>
      </c>
      <c r="DY32" s="376">
        <f t="shared" si="96"/>
        <v>44.5</v>
      </c>
      <c r="DZ32" s="373">
        <f t="shared" si="97"/>
        <v>14.45709375</v>
      </c>
      <c r="EA32" s="374" t="str">
        <f t="shared" si="197"/>
        <v>(1.34)</v>
      </c>
      <c r="EB32" s="375">
        <v>2</v>
      </c>
      <c r="EC32" s="375">
        <f t="shared" si="99"/>
        <v>3.5</v>
      </c>
      <c r="ED32" s="375">
        <v>0</v>
      </c>
      <c r="EE32" s="375">
        <f t="shared" si="100"/>
        <v>0</v>
      </c>
      <c r="EF32" s="375">
        <v>1</v>
      </c>
      <c r="EG32" s="375">
        <f t="shared" si="101"/>
        <v>1</v>
      </c>
      <c r="EH32" s="375">
        <f t="shared" si="198"/>
        <v>4.5</v>
      </c>
      <c r="EI32" s="376">
        <f t="shared" si="103"/>
        <v>49.5</v>
      </c>
      <c r="EJ32" s="373">
        <f t="shared" si="104"/>
        <v>16.209468749999999</v>
      </c>
      <c r="EK32" s="374" t="str">
        <f t="shared" ref="EK32:EK40" si="223">"("&amp;FIXED(EJ32*0.092903,2)&amp;")"</f>
        <v>(1.51)</v>
      </c>
      <c r="EL32" s="375">
        <v>2</v>
      </c>
      <c r="EM32" s="375">
        <f t="shared" si="106"/>
        <v>3.5</v>
      </c>
      <c r="EN32" s="375">
        <v>0</v>
      </c>
      <c r="EO32" s="375">
        <f t="shared" si="107"/>
        <v>0</v>
      </c>
      <c r="EP32" s="375">
        <v>1</v>
      </c>
      <c r="EQ32" s="375">
        <f t="shared" si="108"/>
        <v>1</v>
      </c>
      <c r="ER32" s="375">
        <f t="shared" si="200"/>
        <v>4.5</v>
      </c>
      <c r="ES32" s="376">
        <f t="shared" si="110"/>
        <v>55.5</v>
      </c>
      <c r="ET32" s="373">
        <f t="shared" si="111"/>
        <v>17.96184375</v>
      </c>
      <c r="EU32" s="374" t="str">
        <f t="shared" ref="EU32:EU40" si="224">"("&amp;FIXED(ET32*0.092903,2)&amp;")"</f>
        <v>(1.67)</v>
      </c>
      <c r="EV32" s="375">
        <v>2</v>
      </c>
      <c r="EW32" s="375">
        <f t="shared" si="113"/>
        <v>3.5</v>
      </c>
      <c r="EX32" s="375">
        <v>0</v>
      </c>
      <c r="EY32" s="375">
        <f t="shared" si="114"/>
        <v>0</v>
      </c>
      <c r="EZ32" s="375">
        <v>1</v>
      </c>
      <c r="FA32" s="375">
        <f t="shared" si="115"/>
        <v>1</v>
      </c>
      <c r="FB32" s="375">
        <f t="shared" si="202"/>
        <v>4.5</v>
      </c>
      <c r="FC32" s="376">
        <f t="shared" si="117"/>
        <v>61.5</v>
      </c>
      <c r="FD32" s="373">
        <f t="shared" si="118"/>
        <v>19.677710937500002</v>
      </c>
      <c r="FE32" s="374" t="str">
        <f t="shared" si="203"/>
        <v>(1.83)</v>
      </c>
      <c r="FF32" s="375">
        <v>2</v>
      </c>
      <c r="FG32" s="375">
        <f t="shared" si="120"/>
        <v>3.5</v>
      </c>
      <c r="FH32" s="375">
        <v>1</v>
      </c>
      <c r="FI32" s="375">
        <f t="shared" si="121"/>
        <v>1.125</v>
      </c>
      <c r="FJ32" s="375">
        <v>0</v>
      </c>
      <c r="FK32" s="375">
        <f t="shared" si="122"/>
        <v>0</v>
      </c>
      <c r="FL32" s="375">
        <f t="shared" si="204"/>
        <v>4.625</v>
      </c>
      <c r="FM32" s="376">
        <f t="shared" si="124"/>
        <v>67.375</v>
      </c>
      <c r="FN32" s="373">
        <f t="shared" si="125"/>
        <v>21.430085937500003</v>
      </c>
      <c r="FO32" s="374" t="str">
        <f t="shared" si="203"/>
        <v>(1.99)</v>
      </c>
      <c r="FP32" s="375">
        <v>2</v>
      </c>
      <c r="FQ32" s="375">
        <f t="shared" si="127"/>
        <v>3.5</v>
      </c>
      <c r="FR32" s="375">
        <v>1</v>
      </c>
      <c r="FS32" s="375">
        <f t="shared" si="128"/>
        <v>1.125</v>
      </c>
      <c r="FT32" s="375">
        <v>0</v>
      </c>
      <c r="FU32" s="375">
        <f t="shared" si="129"/>
        <v>0</v>
      </c>
      <c r="FV32" s="375">
        <f t="shared" si="205"/>
        <v>4.625</v>
      </c>
      <c r="FW32" s="376">
        <f t="shared" si="131"/>
        <v>73.375</v>
      </c>
      <c r="FX32" s="373">
        <f t="shared" si="132"/>
        <v>23.1824609375</v>
      </c>
      <c r="FY32" s="374" t="str">
        <f t="shared" ref="FY32:FY33" si="225">"("&amp;FIXED(FX32*0.092903,2)&amp;")"</f>
        <v>(2.15)</v>
      </c>
      <c r="FZ32" s="375">
        <v>2</v>
      </c>
      <c r="GA32" s="375">
        <f t="shared" si="134"/>
        <v>3.5</v>
      </c>
      <c r="GB32" s="375">
        <v>1</v>
      </c>
      <c r="GC32" s="375">
        <f t="shared" si="135"/>
        <v>1.125</v>
      </c>
      <c r="GD32" s="375">
        <v>0</v>
      </c>
      <c r="GE32" s="375">
        <f t="shared" si="136"/>
        <v>0</v>
      </c>
      <c r="GF32" s="375">
        <f t="shared" si="207"/>
        <v>4.625</v>
      </c>
      <c r="GG32" s="376">
        <f t="shared" si="138"/>
        <v>79.375</v>
      </c>
      <c r="GH32" s="373">
        <f t="shared" si="139"/>
        <v>24.934835937500001</v>
      </c>
      <c r="GI32" s="374" t="str">
        <f t="shared" ref="GI32:GI33" si="226">"("&amp;FIXED(GH32*0.092903,2)&amp;")"</f>
        <v>(2.32)</v>
      </c>
      <c r="GJ32" s="375">
        <v>2</v>
      </c>
      <c r="GK32" s="375">
        <f t="shared" si="141"/>
        <v>3.5</v>
      </c>
      <c r="GL32" s="375">
        <v>1</v>
      </c>
      <c r="GM32" s="375">
        <f t="shared" si="142"/>
        <v>1.125</v>
      </c>
      <c r="GN32" s="375">
        <v>0</v>
      </c>
      <c r="GO32" s="375">
        <f t="shared" si="143"/>
        <v>0</v>
      </c>
      <c r="GP32" s="375">
        <f t="shared" si="209"/>
        <v>4.625</v>
      </c>
      <c r="GQ32" s="376">
        <f t="shared" si="145"/>
        <v>85.375</v>
      </c>
      <c r="GR32" s="373">
        <f t="shared" si="146"/>
        <v>26.687210937500002</v>
      </c>
      <c r="GS32" s="374" t="str">
        <f t="shared" ref="GS32:GS33" si="227">"("&amp;FIXED(GR32*0.092903,2)&amp;")"</f>
        <v>(2.48)</v>
      </c>
      <c r="GT32" s="375">
        <v>2</v>
      </c>
      <c r="GU32" s="375">
        <f t="shared" si="148"/>
        <v>3.5</v>
      </c>
      <c r="GV32" s="375">
        <v>1</v>
      </c>
      <c r="GW32" s="375">
        <f t="shared" si="149"/>
        <v>1.125</v>
      </c>
      <c r="GX32" s="375">
        <v>0</v>
      </c>
      <c r="GY32" s="375">
        <f t="shared" si="150"/>
        <v>0</v>
      </c>
      <c r="GZ32" s="375">
        <f t="shared" si="211"/>
        <v>4.625</v>
      </c>
      <c r="HA32" s="376">
        <f t="shared" si="152"/>
        <v>91.375</v>
      </c>
      <c r="HB32" s="373">
        <f t="shared" si="153"/>
        <v>28.439585937500002</v>
      </c>
      <c r="HC32" s="374" t="str">
        <f t="shared" ref="HC32:HC33" si="228">"("&amp;FIXED(HB32*0.092903,2)&amp;")"</f>
        <v>(2.64)</v>
      </c>
      <c r="HD32" s="375">
        <v>2</v>
      </c>
      <c r="HE32" s="375">
        <f t="shared" si="155"/>
        <v>3.5</v>
      </c>
      <c r="HF32" s="375">
        <v>1</v>
      </c>
      <c r="HG32" s="375">
        <f t="shared" si="156"/>
        <v>1.125</v>
      </c>
      <c r="HH32" s="375">
        <v>0</v>
      </c>
      <c r="HI32" s="375">
        <f t="shared" si="157"/>
        <v>0</v>
      </c>
      <c r="HJ32" s="375">
        <f t="shared" si="213"/>
        <v>4.625</v>
      </c>
      <c r="HK32" s="376">
        <f t="shared" si="159"/>
        <v>97.375</v>
      </c>
      <c r="HL32" s="373">
        <f t="shared" si="160"/>
        <v>29.607835937499999</v>
      </c>
      <c r="HM32" s="374" t="str">
        <f t="shared" si="214"/>
        <v>(2.75)</v>
      </c>
      <c r="HN32" s="375">
        <v>2</v>
      </c>
      <c r="HO32" s="375">
        <f t="shared" si="162"/>
        <v>3.5</v>
      </c>
      <c r="HP32" s="375">
        <v>1</v>
      </c>
      <c r="HQ32" s="375">
        <f t="shared" si="163"/>
        <v>1.125</v>
      </c>
      <c r="HR32" s="375">
        <v>2</v>
      </c>
      <c r="HS32" s="375">
        <f t="shared" si="164"/>
        <v>2</v>
      </c>
      <c r="HT32" s="375">
        <f t="shared" si="215"/>
        <v>6.625</v>
      </c>
      <c r="HU32" s="376">
        <f t="shared" si="166"/>
        <v>101.375</v>
      </c>
      <c r="HV32" s="373">
        <f t="shared" si="167"/>
        <v>31.360210937500003</v>
      </c>
      <c r="HW32" s="374" t="str">
        <f t="shared" ref="HW32:HW33" si="229">"("&amp;FIXED(HV32*0.092903,2)&amp;")"</f>
        <v>(2.91)</v>
      </c>
      <c r="HX32" s="375">
        <v>2</v>
      </c>
      <c r="HY32" s="375">
        <f t="shared" si="169"/>
        <v>3.5</v>
      </c>
      <c r="HZ32" s="375">
        <v>1</v>
      </c>
      <c r="IA32" s="375">
        <f t="shared" si="170"/>
        <v>1.125</v>
      </c>
      <c r="IB32" s="375">
        <v>2</v>
      </c>
      <c r="IC32" s="375">
        <f t="shared" si="171"/>
        <v>2</v>
      </c>
      <c r="ID32" s="375">
        <f t="shared" si="217"/>
        <v>6.625</v>
      </c>
      <c r="IE32" s="376">
        <f t="shared" si="173"/>
        <v>107.375</v>
      </c>
      <c r="IF32" s="373">
        <f t="shared" si="174"/>
        <v>33.1125859375</v>
      </c>
      <c r="IG32" s="374" t="str">
        <f t="shared" ref="IG32:IG33" si="230">"("&amp;FIXED(IF32*0.092903,2)&amp;")"</f>
        <v>(3.08)</v>
      </c>
      <c r="IH32" s="22">
        <v>2</v>
      </c>
      <c r="II32" s="22">
        <f t="shared" si="176"/>
        <v>3.5</v>
      </c>
      <c r="IJ32" s="22">
        <v>1</v>
      </c>
      <c r="IK32" s="22">
        <f t="shared" si="177"/>
        <v>1.125</v>
      </c>
      <c r="IL32" s="22">
        <v>2</v>
      </c>
      <c r="IM32" s="22">
        <f t="shared" si="178"/>
        <v>2</v>
      </c>
      <c r="IN32" s="22">
        <f t="shared" si="219"/>
        <v>6.625</v>
      </c>
      <c r="IO32" s="23">
        <f t="shared" si="180"/>
        <v>113.375</v>
      </c>
      <c r="IP32" s="24"/>
      <c r="IQ32" s="25">
        <v>13</v>
      </c>
      <c r="IR32" s="26">
        <v>3.1160000000000001</v>
      </c>
      <c r="IS32" s="26">
        <v>3.0659999999999998</v>
      </c>
      <c r="IT32" s="26">
        <v>2.149</v>
      </c>
      <c r="IU32" s="26">
        <v>1.75</v>
      </c>
      <c r="IV32" s="26">
        <v>1</v>
      </c>
      <c r="IW32" s="26">
        <v>1.125</v>
      </c>
      <c r="IX32" s="8"/>
    </row>
    <row r="33" spans="1:258" ht="15.75" thickBot="1" x14ac:dyDescent="0.3">
      <c r="B33" s="103">
        <f t="shared" si="39"/>
        <v>90</v>
      </c>
      <c r="C33" s="221">
        <v>16</v>
      </c>
      <c r="D33" s="98">
        <f t="shared" si="0"/>
        <v>0.29428564814814817</v>
      </c>
      <c r="E33" s="96">
        <f t="shared" si="1"/>
        <v>0.45480509259259261</v>
      </c>
      <c r="F33" s="96">
        <f t="shared" si="2"/>
        <v>0.51722932098765428</v>
      </c>
      <c r="G33" s="96">
        <f t="shared" si="3"/>
        <v>0.54844143518518507</v>
      </c>
      <c r="H33" s="96">
        <f t="shared" si="4"/>
        <v>0.56716870370370365</v>
      </c>
      <c r="I33" s="96">
        <f t="shared" si="5"/>
        <v>0.57965354938271596</v>
      </c>
      <c r="J33" s="96">
        <f t="shared" si="6"/>
        <v>0.58857129629629634</v>
      </c>
      <c r="K33" s="96">
        <f t="shared" si="7"/>
        <v>0.59525960648148135</v>
      </c>
      <c r="L33" s="96">
        <f t="shared" si="8"/>
        <v>0.58857129629629623</v>
      </c>
      <c r="M33" s="96">
        <f t="shared" si="9"/>
        <v>0.59392194444444446</v>
      </c>
      <c r="N33" s="96">
        <f t="shared" si="10"/>
        <v>0.59829974747474746</v>
      </c>
      <c r="O33" s="96">
        <f t="shared" si="11"/>
        <v>0.60083319830246906</v>
      </c>
      <c r="P33" s="238"/>
      <c r="Q33" s="238"/>
      <c r="R33" s="238"/>
      <c r="S33" s="238"/>
      <c r="T33" s="238"/>
      <c r="U33" s="238"/>
      <c r="V33" s="238"/>
      <c r="W33" s="238"/>
      <c r="X33" s="64"/>
      <c r="Y33" s="65"/>
      <c r="AT33" s="4"/>
      <c r="AU33" s="14">
        <f t="shared" si="220"/>
        <v>72</v>
      </c>
      <c r="AV33" s="12" t="str">
        <f t="shared" si="40"/>
        <v>(1850)</v>
      </c>
      <c r="AW33" s="19">
        <f t="shared" si="221"/>
        <v>18</v>
      </c>
      <c r="AX33" s="20">
        <f t="shared" si="41"/>
        <v>1.7387256944444442</v>
      </c>
      <c r="AY33" s="21" t="str">
        <f t="shared" si="222"/>
        <v>(0.16)</v>
      </c>
      <c r="AZ33" s="22">
        <v>2</v>
      </c>
      <c r="BA33" s="22">
        <f t="shared" si="43"/>
        <v>3.5</v>
      </c>
      <c r="BB33" s="22">
        <v>0</v>
      </c>
      <c r="BC33" s="22">
        <f t="shared" si="44"/>
        <v>0</v>
      </c>
      <c r="BD33" s="22">
        <v>0</v>
      </c>
      <c r="BE33" s="22">
        <f t="shared" si="45"/>
        <v>0</v>
      </c>
      <c r="BF33" s="22">
        <f t="shared" si="188"/>
        <v>3.5</v>
      </c>
      <c r="BG33" s="23">
        <f t="shared" si="47"/>
        <v>5.5</v>
      </c>
      <c r="BH33" s="373">
        <f t="shared" si="48"/>
        <v>2.6871215277777778</v>
      </c>
      <c r="BI33" s="374" t="str">
        <f t="shared" si="189"/>
        <v>(0.25)</v>
      </c>
      <c r="BJ33" s="375">
        <v>2</v>
      </c>
      <c r="BK33" s="375">
        <f t="shared" si="50"/>
        <v>3.5</v>
      </c>
      <c r="BL33" s="375">
        <v>0</v>
      </c>
      <c r="BM33" s="375">
        <f t="shared" si="51"/>
        <v>0</v>
      </c>
      <c r="BN33" s="375">
        <v>0</v>
      </c>
      <c r="BO33" s="375">
        <f t="shared" si="52"/>
        <v>0</v>
      </c>
      <c r="BP33" s="375">
        <f t="shared" si="190"/>
        <v>3.5</v>
      </c>
      <c r="BQ33" s="376">
        <f t="shared" si="54"/>
        <v>8.5</v>
      </c>
      <c r="BR33" s="373">
        <f t="shared" si="55"/>
        <v>4.5839131944444444</v>
      </c>
      <c r="BS33" s="374" t="str">
        <f t="shared" si="181"/>
        <v>(0.43)</v>
      </c>
      <c r="BT33" s="375">
        <v>2</v>
      </c>
      <c r="BU33" s="375">
        <f t="shared" si="57"/>
        <v>3.5</v>
      </c>
      <c r="BV33" s="375">
        <v>0</v>
      </c>
      <c r="BW33" s="375">
        <f t="shared" si="58"/>
        <v>0</v>
      </c>
      <c r="BX33" s="375">
        <v>0</v>
      </c>
      <c r="BY33" s="375">
        <f t="shared" si="59"/>
        <v>0</v>
      </c>
      <c r="BZ33" s="375">
        <f t="shared" si="191"/>
        <v>3.5</v>
      </c>
      <c r="CA33" s="376">
        <f t="shared" si="61"/>
        <v>14.5</v>
      </c>
      <c r="CB33" s="373">
        <f t="shared" si="62"/>
        <v>6.4807048611111107</v>
      </c>
      <c r="CC33" s="374" t="str">
        <f t="shared" si="182"/>
        <v>(0.6)</v>
      </c>
      <c r="CD33" s="375">
        <v>2</v>
      </c>
      <c r="CE33" s="375">
        <f t="shared" si="64"/>
        <v>3.5</v>
      </c>
      <c r="CF33" s="375">
        <v>0</v>
      </c>
      <c r="CG33" s="375">
        <f t="shared" si="65"/>
        <v>0</v>
      </c>
      <c r="CH33" s="375">
        <v>0</v>
      </c>
      <c r="CI33" s="375">
        <f t="shared" si="66"/>
        <v>0</v>
      </c>
      <c r="CJ33" s="375">
        <f t="shared" si="192"/>
        <v>3.5</v>
      </c>
      <c r="CK33" s="376">
        <f t="shared" si="68"/>
        <v>20.5</v>
      </c>
      <c r="CL33" s="373">
        <f t="shared" si="69"/>
        <v>8.377496527777776</v>
      </c>
      <c r="CM33" s="374" t="str">
        <f t="shared" si="183"/>
        <v>(0.78)</v>
      </c>
      <c r="CN33" s="375">
        <v>2</v>
      </c>
      <c r="CO33" s="375">
        <f t="shared" si="71"/>
        <v>3.5</v>
      </c>
      <c r="CP33" s="375">
        <v>0</v>
      </c>
      <c r="CQ33" s="375">
        <f t="shared" si="72"/>
        <v>0</v>
      </c>
      <c r="CR33" s="375">
        <v>0</v>
      </c>
      <c r="CS33" s="375">
        <f t="shared" si="73"/>
        <v>0</v>
      </c>
      <c r="CT33" s="375">
        <f t="shared" si="193"/>
        <v>3.5</v>
      </c>
      <c r="CU33" s="376">
        <f t="shared" si="75"/>
        <v>26.5</v>
      </c>
      <c r="CV33" s="373">
        <f t="shared" si="76"/>
        <v>10.274288194444445</v>
      </c>
      <c r="CW33" s="374" t="str">
        <f t="shared" si="184"/>
        <v>(0.95)</v>
      </c>
      <c r="CX33" s="375">
        <v>2</v>
      </c>
      <c r="CY33" s="375">
        <f t="shared" si="78"/>
        <v>3.5</v>
      </c>
      <c r="CZ33" s="375">
        <v>0</v>
      </c>
      <c r="DA33" s="375">
        <f t="shared" si="79"/>
        <v>0</v>
      </c>
      <c r="DB33" s="375">
        <v>0</v>
      </c>
      <c r="DC33" s="375">
        <f t="shared" si="80"/>
        <v>0</v>
      </c>
      <c r="DD33" s="375">
        <f t="shared" si="194"/>
        <v>3.5</v>
      </c>
      <c r="DE33" s="376">
        <f t="shared" si="82"/>
        <v>32.5</v>
      </c>
      <c r="DF33" s="373">
        <f t="shared" si="83"/>
        <v>12.17107986111111</v>
      </c>
      <c r="DG33" s="374" t="str">
        <f t="shared" si="185"/>
        <v>(1.13)</v>
      </c>
      <c r="DH33" s="375">
        <v>2</v>
      </c>
      <c r="DI33" s="375">
        <f t="shared" si="85"/>
        <v>3.5</v>
      </c>
      <c r="DJ33" s="375">
        <v>0</v>
      </c>
      <c r="DK33" s="375">
        <f t="shared" si="86"/>
        <v>0</v>
      </c>
      <c r="DL33" s="375">
        <v>0</v>
      </c>
      <c r="DM33" s="375">
        <f t="shared" si="87"/>
        <v>0</v>
      </c>
      <c r="DN33" s="375">
        <f t="shared" si="195"/>
        <v>3.5</v>
      </c>
      <c r="DO33" s="376">
        <f t="shared" si="89"/>
        <v>38.5</v>
      </c>
      <c r="DP33" s="373">
        <f t="shared" si="90"/>
        <v>14.067871527777775</v>
      </c>
      <c r="DQ33" s="374" t="str">
        <f t="shared" si="186"/>
        <v>(1.31)</v>
      </c>
      <c r="DR33" s="375">
        <v>2</v>
      </c>
      <c r="DS33" s="375">
        <f t="shared" si="92"/>
        <v>3.5</v>
      </c>
      <c r="DT33" s="375">
        <v>0</v>
      </c>
      <c r="DU33" s="375">
        <f t="shared" si="93"/>
        <v>0</v>
      </c>
      <c r="DV33" s="375">
        <v>0</v>
      </c>
      <c r="DW33" s="375">
        <f t="shared" si="94"/>
        <v>0</v>
      </c>
      <c r="DX33" s="375">
        <f t="shared" si="196"/>
        <v>3.5</v>
      </c>
      <c r="DY33" s="376">
        <f t="shared" si="96"/>
        <v>44.5</v>
      </c>
      <c r="DZ33" s="373">
        <f t="shared" si="97"/>
        <v>15.64853125</v>
      </c>
      <c r="EA33" s="374" t="str">
        <f t="shared" si="197"/>
        <v>(1.45)</v>
      </c>
      <c r="EB33" s="375">
        <v>2</v>
      </c>
      <c r="EC33" s="375">
        <f t="shared" si="99"/>
        <v>3.5</v>
      </c>
      <c r="ED33" s="375">
        <v>0</v>
      </c>
      <c r="EE33" s="375">
        <f t="shared" si="100"/>
        <v>0</v>
      </c>
      <c r="EF33" s="375">
        <v>1</v>
      </c>
      <c r="EG33" s="375">
        <f t="shared" si="101"/>
        <v>1</v>
      </c>
      <c r="EH33" s="375">
        <f t="shared" si="198"/>
        <v>4.5</v>
      </c>
      <c r="EI33" s="376">
        <f t="shared" si="103"/>
        <v>49.5</v>
      </c>
      <c r="EJ33" s="373">
        <f t="shared" si="104"/>
        <v>17.545322916666667</v>
      </c>
      <c r="EK33" s="374" t="str">
        <f t="shared" si="223"/>
        <v>(1.63)</v>
      </c>
      <c r="EL33" s="375">
        <v>2</v>
      </c>
      <c r="EM33" s="375">
        <f t="shared" si="106"/>
        <v>3.5</v>
      </c>
      <c r="EN33" s="375">
        <v>0</v>
      </c>
      <c r="EO33" s="375">
        <f t="shared" si="107"/>
        <v>0</v>
      </c>
      <c r="EP33" s="375">
        <v>1</v>
      </c>
      <c r="EQ33" s="375">
        <f t="shared" si="108"/>
        <v>1</v>
      </c>
      <c r="ER33" s="375">
        <f t="shared" si="200"/>
        <v>4.5</v>
      </c>
      <c r="ES33" s="376">
        <f t="shared" si="110"/>
        <v>55.5</v>
      </c>
      <c r="ET33" s="373">
        <f t="shared" si="111"/>
        <v>19.442114583333332</v>
      </c>
      <c r="EU33" s="374" t="str">
        <f t="shared" si="224"/>
        <v>(1.81)</v>
      </c>
      <c r="EV33" s="375">
        <v>2</v>
      </c>
      <c r="EW33" s="375">
        <f t="shared" si="113"/>
        <v>3.5</v>
      </c>
      <c r="EX33" s="375">
        <v>0</v>
      </c>
      <c r="EY33" s="375">
        <f t="shared" si="114"/>
        <v>0</v>
      </c>
      <c r="EZ33" s="375">
        <v>1</v>
      </c>
      <c r="FA33" s="375">
        <f t="shared" si="115"/>
        <v>1</v>
      </c>
      <c r="FB33" s="375">
        <f t="shared" si="202"/>
        <v>4.5</v>
      </c>
      <c r="FC33" s="376">
        <f t="shared" si="117"/>
        <v>61.5</v>
      </c>
      <c r="FD33" s="373">
        <f t="shared" si="118"/>
        <v>21.299389756944443</v>
      </c>
      <c r="FE33" s="374" t="str">
        <f t="shared" si="203"/>
        <v>(1.98)</v>
      </c>
      <c r="FF33" s="375">
        <v>2</v>
      </c>
      <c r="FG33" s="375">
        <f t="shared" si="120"/>
        <v>3.5</v>
      </c>
      <c r="FH33" s="375">
        <v>1</v>
      </c>
      <c r="FI33" s="375">
        <f t="shared" si="121"/>
        <v>1.125</v>
      </c>
      <c r="FJ33" s="375">
        <v>0</v>
      </c>
      <c r="FK33" s="375">
        <f t="shared" si="122"/>
        <v>0</v>
      </c>
      <c r="FL33" s="375">
        <f t="shared" si="204"/>
        <v>4.625</v>
      </c>
      <c r="FM33" s="376">
        <f t="shared" si="124"/>
        <v>67.375</v>
      </c>
      <c r="FN33" s="373">
        <f t="shared" si="125"/>
        <v>23.196181423611108</v>
      </c>
      <c r="FO33" s="374" t="str">
        <f t="shared" si="203"/>
        <v>(2.15)</v>
      </c>
      <c r="FP33" s="375">
        <v>2</v>
      </c>
      <c r="FQ33" s="375">
        <f t="shared" si="127"/>
        <v>3.5</v>
      </c>
      <c r="FR33" s="375">
        <v>1</v>
      </c>
      <c r="FS33" s="375">
        <f t="shared" si="128"/>
        <v>1.125</v>
      </c>
      <c r="FT33" s="375">
        <v>0</v>
      </c>
      <c r="FU33" s="375">
        <f t="shared" si="129"/>
        <v>0</v>
      </c>
      <c r="FV33" s="375">
        <f t="shared" si="205"/>
        <v>4.625</v>
      </c>
      <c r="FW33" s="376">
        <f t="shared" si="131"/>
        <v>73.375</v>
      </c>
      <c r="FX33" s="373">
        <f t="shared" si="132"/>
        <v>25.092973090277773</v>
      </c>
      <c r="FY33" s="374" t="str">
        <f t="shared" si="225"/>
        <v>(2.33)</v>
      </c>
      <c r="FZ33" s="375">
        <v>2</v>
      </c>
      <c r="GA33" s="375">
        <f t="shared" si="134"/>
        <v>3.5</v>
      </c>
      <c r="GB33" s="375">
        <v>1</v>
      </c>
      <c r="GC33" s="375">
        <f t="shared" si="135"/>
        <v>1.125</v>
      </c>
      <c r="GD33" s="375">
        <v>0</v>
      </c>
      <c r="GE33" s="375">
        <f t="shared" si="136"/>
        <v>0</v>
      </c>
      <c r="GF33" s="375">
        <f t="shared" si="207"/>
        <v>4.625</v>
      </c>
      <c r="GG33" s="376">
        <f t="shared" si="138"/>
        <v>79.375</v>
      </c>
      <c r="GH33" s="373">
        <f t="shared" si="139"/>
        <v>26.989764756944442</v>
      </c>
      <c r="GI33" s="374" t="str">
        <f t="shared" si="226"/>
        <v>(2.51)</v>
      </c>
      <c r="GJ33" s="375">
        <v>2</v>
      </c>
      <c r="GK33" s="375">
        <f t="shared" si="141"/>
        <v>3.5</v>
      </c>
      <c r="GL33" s="375">
        <v>1</v>
      </c>
      <c r="GM33" s="375">
        <f t="shared" si="142"/>
        <v>1.125</v>
      </c>
      <c r="GN33" s="375">
        <v>0</v>
      </c>
      <c r="GO33" s="375">
        <f t="shared" si="143"/>
        <v>0</v>
      </c>
      <c r="GP33" s="375">
        <f t="shared" si="209"/>
        <v>4.625</v>
      </c>
      <c r="GQ33" s="376">
        <f t="shared" si="145"/>
        <v>85.375</v>
      </c>
      <c r="GR33" s="373">
        <f t="shared" si="146"/>
        <v>28.886556423611108</v>
      </c>
      <c r="GS33" s="374" t="str">
        <f t="shared" si="227"/>
        <v>(2.68)</v>
      </c>
      <c r="GT33" s="375">
        <v>2</v>
      </c>
      <c r="GU33" s="375">
        <f t="shared" si="148"/>
        <v>3.5</v>
      </c>
      <c r="GV33" s="375">
        <v>1</v>
      </c>
      <c r="GW33" s="375">
        <f t="shared" si="149"/>
        <v>1.125</v>
      </c>
      <c r="GX33" s="375">
        <v>0</v>
      </c>
      <c r="GY33" s="375">
        <f t="shared" si="150"/>
        <v>0</v>
      </c>
      <c r="GZ33" s="375">
        <f t="shared" si="211"/>
        <v>4.625</v>
      </c>
      <c r="HA33" s="376">
        <f t="shared" si="152"/>
        <v>91.375</v>
      </c>
      <c r="HB33" s="373">
        <f t="shared" si="153"/>
        <v>30.783348090277773</v>
      </c>
      <c r="HC33" s="374" t="str">
        <f t="shared" si="228"/>
        <v>(2.86)</v>
      </c>
      <c r="HD33" s="375">
        <v>2</v>
      </c>
      <c r="HE33" s="375">
        <f t="shared" si="155"/>
        <v>3.5</v>
      </c>
      <c r="HF33" s="375">
        <v>1</v>
      </c>
      <c r="HG33" s="375">
        <f t="shared" si="156"/>
        <v>1.125</v>
      </c>
      <c r="HH33" s="375">
        <v>0</v>
      </c>
      <c r="HI33" s="375">
        <f t="shared" si="157"/>
        <v>0</v>
      </c>
      <c r="HJ33" s="375">
        <f t="shared" si="213"/>
        <v>4.625</v>
      </c>
      <c r="HK33" s="376">
        <f t="shared" si="159"/>
        <v>97.375</v>
      </c>
      <c r="HL33" s="373">
        <f t="shared" si="160"/>
        <v>32.047875868055556</v>
      </c>
      <c r="HM33" s="374" t="str">
        <f t="shared" si="214"/>
        <v>(2.98)</v>
      </c>
      <c r="HN33" s="375">
        <v>2</v>
      </c>
      <c r="HO33" s="375">
        <f t="shared" si="162"/>
        <v>3.5</v>
      </c>
      <c r="HP33" s="375">
        <v>1</v>
      </c>
      <c r="HQ33" s="375">
        <f t="shared" si="163"/>
        <v>1.125</v>
      </c>
      <c r="HR33" s="375">
        <v>2</v>
      </c>
      <c r="HS33" s="375">
        <f t="shared" si="164"/>
        <v>2</v>
      </c>
      <c r="HT33" s="375">
        <f t="shared" si="215"/>
        <v>6.625</v>
      </c>
      <c r="HU33" s="376">
        <f t="shared" si="166"/>
        <v>101.375</v>
      </c>
      <c r="HV33" s="373">
        <f t="shared" si="167"/>
        <v>33.944667534722221</v>
      </c>
      <c r="HW33" s="374" t="str">
        <f t="shared" si="229"/>
        <v>(3.15)</v>
      </c>
      <c r="HX33" s="375">
        <v>2</v>
      </c>
      <c r="HY33" s="375">
        <f t="shared" si="169"/>
        <v>3.5</v>
      </c>
      <c r="HZ33" s="375">
        <v>1</v>
      </c>
      <c r="IA33" s="375">
        <f t="shared" si="170"/>
        <v>1.125</v>
      </c>
      <c r="IB33" s="375">
        <v>2</v>
      </c>
      <c r="IC33" s="375">
        <f t="shared" si="171"/>
        <v>2</v>
      </c>
      <c r="ID33" s="375">
        <f t="shared" si="217"/>
        <v>6.625</v>
      </c>
      <c r="IE33" s="376">
        <f t="shared" si="173"/>
        <v>107.375</v>
      </c>
      <c r="IF33" s="373">
        <f t="shared" si="174"/>
        <v>35.841459201388886</v>
      </c>
      <c r="IG33" s="374" t="str">
        <f t="shared" si="230"/>
        <v>(3.33)</v>
      </c>
      <c r="IH33" s="22">
        <v>2</v>
      </c>
      <c r="II33" s="22">
        <f t="shared" si="176"/>
        <v>3.5</v>
      </c>
      <c r="IJ33" s="22">
        <v>1</v>
      </c>
      <c r="IK33" s="22">
        <f t="shared" si="177"/>
        <v>1.125</v>
      </c>
      <c r="IL33" s="22">
        <v>2</v>
      </c>
      <c r="IM33" s="22">
        <f t="shared" si="178"/>
        <v>2</v>
      </c>
      <c r="IN33" s="22">
        <f t="shared" si="219"/>
        <v>6.625</v>
      </c>
      <c r="IO33" s="23">
        <f t="shared" si="180"/>
        <v>113.375</v>
      </c>
      <c r="IP33" s="24"/>
      <c r="IQ33" s="25">
        <v>14</v>
      </c>
      <c r="IR33" s="26">
        <v>3.1160000000000001</v>
      </c>
      <c r="IS33" s="26">
        <v>3.0659999999999998</v>
      </c>
      <c r="IT33" s="26">
        <v>2.5489999999999999</v>
      </c>
      <c r="IU33" s="26">
        <v>1.75</v>
      </c>
      <c r="IV33" s="26">
        <v>1</v>
      </c>
      <c r="IW33" s="26">
        <v>1.125</v>
      </c>
      <c r="IX33" s="8"/>
    </row>
    <row r="34" spans="1:258" ht="15.75" thickBot="1" x14ac:dyDescent="0.3">
      <c r="B34" s="103">
        <f t="shared" si="39"/>
        <v>96</v>
      </c>
      <c r="C34" s="221">
        <v>17</v>
      </c>
      <c r="D34" s="98">
        <f t="shared" si="0"/>
        <v>0.29664192708333331</v>
      </c>
      <c r="E34" s="96">
        <f t="shared" si="1"/>
        <v>0.4584466145833333</v>
      </c>
      <c r="F34" s="96">
        <f t="shared" si="2"/>
        <v>0.52137065972222219</v>
      </c>
      <c r="G34" s="96">
        <f t="shared" si="3"/>
        <v>0.55283268229166671</v>
      </c>
      <c r="H34" s="96">
        <f t="shared" si="4"/>
        <v>0.57170989583333331</v>
      </c>
      <c r="I34" s="96">
        <f t="shared" si="5"/>
        <v>0.58429470486111101</v>
      </c>
      <c r="J34" s="96">
        <f t="shared" si="6"/>
        <v>0.59328385416666662</v>
      </c>
      <c r="K34" s="96">
        <f t="shared" si="7"/>
        <v>0.60002571614583333</v>
      </c>
      <c r="L34" s="96">
        <f t="shared" si="8"/>
        <v>0.59328385416666662</v>
      </c>
      <c r="M34" s="96">
        <f t="shared" si="9"/>
        <v>0.59867734375000003</v>
      </c>
      <c r="N34" s="96">
        <f t="shared" si="10"/>
        <v>0.60309019886363635</v>
      </c>
      <c r="O34" s="96">
        <f t="shared" si="11"/>
        <v>0.60564393446180553</v>
      </c>
      <c r="P34" s="238"/>
      <c r="Q34" s="238"/>
      <c r="R34" s="238"/>
      <c r="S34" s="238"/>
      <c r="T34" s="238"/>
      <c r="U34" s="238"/>
      <c r="V34" s="238"/>
      <c r="W34" s="238"/>
      <c r="X34" s="64"/>
      <c r="Y34" s="65"/>
      <c r="AT34" s="4"/>
      <c r="AU34" s="14">
        <f t="shared" si="220"/>
        <v>78</v>
      </c>
      <c r="AV34" s="12" t="str">
        <f t="shared" si="40"/>
        <v>(2000)</v>
      </c>
      <c r="AW34" s="19">
        <f t="shared" si="221"/>
        <v>19</v>
      </c>
      <c r="AX34" s="20">
        <f t="shared" si="41"/>
        <v>1.9047187499999998</v>
      </c>
      <c r="AY34" s="21" t="str">
        <f t="shared" si="222"/>
        <v>(0.18)</v>
      </c>
      <c r="AZ34" s="22">
        <v>2</v>
      </c>
      <c r="BA34" s="22">
        <f t="shared" si="43"/>
        <v>3.5</v>
      </c>
      <c r="BB34" s="22">
        <v>0</v>
      </c>
      <c r="BC34" s="22">
        <f t="shared" si="44"/>
        <v>0</v>
      </c>
      <c r="BD34" s="22">
        <v>0</v>
      </c>
      <c r="BE34" s="22">
        <f t="shared" si="45"/>
        <v>0</v>
      </c>
      <c r="BF34" s="22">
        <f t="shared" si="188"/>
        <v>3.5</v>
      </c>
      <c r="BG34" s="23">
        <f t="shared" si="47"/>
        <v>5.5</v>
      </c>
      <c r="BH34" s="373">
        <f t="shared" si="48"/>
        <v>2.9436562499999996</v>
      </c>
      <c r="BI34" s="374" t="str">
        <f t="shared" si="189"/>
        <v>(0.27)</v>
      </c>
      <c r="BJ34" s="375">
        <v>2</v>
      </c>
      <c r="BK34" s="375">
        <f t="shared" si="50"/>
        <v>3.5</v>
      </c>
      <c r="BL34" s="375">
        <v>0</v>
      </c>
      <c r="BM34" s="375">
        <f t="shared" si="51"/>
        <v>0</v>
      </c>
      <c r="BN34" s="375">
        <v>0</v>
      </c>
      <c r="BO34" s="375">
        <f t="shared" si="52"/>
        <v>0</v>
      </c>
      <c r="BP34" s="375">
        <f t="shared" si="190"/>
        <v>3.5</v>
      </c>
      <c r="BQ34" s="376">
        <f t="shared" si="54"/>
        <v>8.5</v>
      </c>
      <c r="BR34" s="373">
        <f t="shared" si="55"/>
        <v>5.0215312499999989</v>
      </c>
      <c r="BS34" s="374" t="str">
        <f t="shared" si="181"/>
        <v>(0.47)</v>
      </c>
      <c r="BT34" s="375">
        <v>2</v>
      </c>
      <c r="BU34" s="375">
        <f t="shared" si="57"/>
        <v>3.5</v>
      </c>
      <c r="BV34" s="375">
        <v>0</v>
      </c>
      <c r="BW34" s="375">
        <f t="shared" si="58"/>
        <v>0</v>
      </c>
      <c r="BX34" s="375">
        <v>0</v>
      </c>
      <c r="BY34" s="375">
        <f t="shared" si="59"/>
        <v>0</v>
      </c>
      <c r="BZ34" s="375">
        <f t="shared" si="191"/>
        <v>3.5</v>
      </c>
      <c r="CA34" s="376">
        <f t="shared" si="61"/>
        <v>14.5</v>
      </c>
      <c r="CB34" s="373">
        <f t="shared" si="62"/>
        <v>7.0994062499999986</v>
      </c>
      <c r="CC34" s="374" t="str">
        <f t="shared" si="182"/>
        <v>(0.66)</v>
      </c>
      <c r="CD34" s="375">
        <v>2</v>
      </c>
      <c r="CE34" s="375">
        <f t="shared" si="64"/>
        <v>3.5</v>
      </c>
      <c r="CF34" s="375">
        <v>0</v>
      </c>
      <c r="CG34" s="375">
        <f t="shared" si="65"/>
        <v>0</v>
      </c>
      <c r="CH34" s="375">
        <v>0</v>
      </c>
      <c r="CI34" s="375">
        <f t="shared" si="66"/>
        <v>0</v>
      </c>
      <c r="CJ34" s="375">
        <f t="shared" si="192"/>
        <v>3.5</v>
      </c>
      <c r="CK34" s="376">
        <f t="shared" si="68"/>
        <v>20.5</v>
      </c>
      <c r="CL34" s="373">
        <f t="shared" si="69"/>
        <v>9.1772812500000001</v>
      </c>
      <c r="CM34" s="374" t="str">
        <f t="shared" si="183"/>
        <v>(0.85)</v>
      </c>
      <c r="CN34" s="375">
        <v>2</v>
      </c>
      <c r="CO34" s="375">
        <f t="shared" si="71"/>
        <v>3.5</v>
      </c>
      <c r="CP34" s="375">
        <v>0</v>
      </c>
      <c r="CQ34" s="375">
        <f t="shared" si="72"/>
        <v>0</v>
      </c>
      <c r="CR34" s="375">
        <v>0</v>
      </c>
      <c r="CS34" s="375">
        <f t="shared" si="73"/>
        <v>0</v>
      </c>
      <c r="CT34" s="375">
        <f t="shared" si="193"/>
        <v>3.5</v>
      </c>
      <c r="CU34" s="376">
        <f t="shared" si="75"/>
        <v>26.5</v>
      </c>
      <c r="CV34" s="373">
        <f t="shared" si="76"/>
        <v>11.255156249999999</v>
      </c>
      <c r="CW34" s="374" t="str">
        <f t="shared" si="184"/>
        <v>(1.05)</v>
      </c>
      <c r="CX34" s="375">
        <v>2</v>
      </c>
      <c r="CY34" s="375">
        <f t="shared" si="78"/>
        <v>3.5</v>
      </c>
      <c r="CZ34" s="375">
        <v>0</v>
      </c>
      <c r="DA34" s="375">
        <f t="shared" si="79"/>
        <v>0</v>
      </c>
      <c r="DB34" s="375">
        <v>0</v>
      </c>
      <c r="DC34" s="375">
        <f t="shared" si="80"/>
        <v>0</v>
      </c>
      <c r="DD34" s="375">
        <f t="shared" si="194"/>
        <v>3.5</v>
      </c>
      <c r="DE34" s="376">
        <f t="shared" si="82"/>
        <v>32.5</v>
      </c>
      <c r="DF34" s="373">
        <f t="shared" si="83"/>
        <v>13.333031249999998</v>
      </c>
      <c r="DG34" s="374" t="str">
        <f t="shared" si="185"/>
        <v>(1.24)</v>
      </c>
      <c r="DH34" s="375">
        <v>2</v>
      </c>
      <c r="DI34" s="375">
        <f t="shared" si="85"/>
        <v>3.5</v>
      </c>
      <c r="DJ34" s="375">
        <v>0</v>
      </c>
      <c r="DK34" s="375">
        <f t="shared" si="86"/>
        <v>0</v>
      </c>
      <c r="DL34" s="375">
        <v>0</v>
      </c>
      <c r="DM34" s="375">
        <f t="shared" si="87"/>
        <v>0</v>
      </c>
      <c r="DN34" s="375">
        <f t="shared" si="195"/>
        <v>3.5</v>
      </c>
      <c r="DO34" s="376">
        <f t="shared" si="89"/>
        <v>38.5</v>
      </c>
      <c r="DP34" s="373">
        <f t="shared" si="90"/>
        <v>15.410906249999998</v>
      </c>
      <c r="DQ34" s="374" t="str">
        <f t="shared" si="186"/>
        <v>(1.43)</v>
      </c>
      <c r="DR34" s="375">
        <v>2</v>
      </c>
      <c r="DS34" s="375">
        <f t="shared" si="92"/>
        <v>3.5</v>
      </c>
      <c r="DT34" s="375">
        <v>0</v>
      </c>
      <c r="DU34" s="375">
        <f t="shared" si="93"/>
        <v>0</v>
      </c>
      <c r="DV34" s="375">
        <v>0</v>
      </c>
      <c r="DW34" s="375">
        <f t="shared" si="94"/>
        <v>0</v>
      </c>
      <c r="DX34" s="375">
        <f t="shared" si="196"/>
        <v>3.5</v>
      </c>
      <c r="DY34" s="376">
        <f t="shared" si="96"/>
        <v>44.5</v>
      </c>
      <c r="DZ34" s="373">
        <f t="shared" si="97"/>
        <v>17.142468749999995</v>
      </c>
      <c r="EA34" s="374" t="str">
        <f t="shared" si="197"/>
        <v>(1.59)</v>
      </c>
      <c r="EB34" s="375">
        <v>2</v>
      </c>
      <c r="EC34" s="375">
        <f t="shared" si="99"/>
        <v>3.5</v>
      </c>
      <c r="ED34" s="375">
        <v>0</v>
      </c>
      <c r="EE34" s="375">
        <f t="shared" si="100"/>
        <v>0</v>
      </c>
      <c r="EF34" s="375">
        <v>1</v>
      </c>
      <c r="EG34" s="375">
        <f t="shared" si="101"/>
        <v>1</v>
      </c>
      <c r="EH34" s="375">
        <f t="shared" si="198"/>
        <v>4.5</v>
      </c>
      <c r="EI34" s="376">
        <f t="shared" si="103"/>
        <v>49.5</v>
      </c>
      <c r="EJ34" s="373">
        <f t="shared" si="104"/>
        <v>19.220343749999998</v>
      </c>
      <c r="EK34" s="374" t="str">
        <f t="shared" si="223"/>
        <v>(1.79)</v>
      </c>
      <c r="EL34" s="375">
        <v>2</v>
      </c>
      <c r="EM34" s="375">
        <f t="shared" si="106"/>
        <v>3.5</v>
      </c>
      <c r="EN34" s="375">
        <v>0</v>
      </c>
      <c r="EO34" s="375">
        <f t="shared" si="107"/>
        <v>0</v>
      </c>
      <c r="EP34" s="375">
        <v>1</v>
      </c>
      <c r="EQ34" s="375">
        <f t="shared" si="108"/>
        <v>1</v>
      </c>
      <c r="ER34" s="375">
        <f t="shared" si="200"/>
        <v>4.5</v>
      </c>
      <c r="ES34" s="376">
        <f t="shared" si="110"/>
        <v>55.5</v>
      </c>
      <c r="ET34" s="373">
        <f t="shared" si="111"/>
        <v>21.298218749999997</v>
      </c>
      <c r="EU34" s="374" t="str">
        <f t="shared" si="224"/>
        <v>(1.98)</v>
      </c>
      <c r="EV34" s="375">
        <v>2</v>
      </c>
      <c r="EW34" s="375">
        <f t="shared" si="113"/>
        <v>3.5</v>
      </c>
      <c r="EX34" s="375">
        <v>0</v>
      </c>
      <c r="EY34" s="375">
        <f t="shared" si="114"/>
        <v>0</v>
      </c>
      <c r="EZ34" s="375">
        <v>1</v>
      </c>
      <c r="FA34" s="375">
        <f t="shared" si="115"/>
        <v>1</v>
      </c>
      <c r="FB34" s="375">
        <f t="shared" si="202"/>
        <v>4.5</v>
      </c>
      <c r="FC34" s="376">
        <f t="shared" si="117"/>
        <v>61.5</v>
      </c>
      <c r="FD34" s="373">
        <f t="shared" si="118"/>
        <v>23.332804687499998</v>
      </c>
      <c r="FE34" s="374" t="str">
        <f t="shared" si="203"/>
        <v>(2.17)</v>
      </c>
      <c r="FF34" s="375">
        <v>2</v>
      </c>
      <c r="FG34" s="375">
        <f t="shared" si="120"/>
        <v>3.5</v>
      </c>
      <c r="FH34" s="375">
        <v>1</v>
      </c>
      <c r="FI34" s="375">
        <f t="shared" si="121"/>
        <v>1.125</v>
      </c>
      <c r="FJ34" s="375">
        <v>0</v>
      </c>
      <c r="FK34" s="375">
        <f t="shared" si="122"/>
        <v>0</v>
      </c>
      <c r="FL34" s="375">
        <f t="shared" si="204"/>
        <v>4.625</v>
      </c>
      <c r="FM34" s="376">
        <f t="shared" si="124"/>
        <v>67.375</v>
      </c>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v>16</v>
      </c>
      <c r="IR34" s="26">
        <v>3.1160000000000001</v>
      </c>
      <c r="IS34" s="26">
        <v>3.0659999999999998</v>
      </c>
      <c r="IT34" s="26">
        <v>0.76300000000000001</v>
      </c>
      <c r="IU34" s="26">
        <v>1.75</v>
      </c>
      <c r="IV34" s="26">
        <v>1</v>
      </c>
      <c r="IW34" s="26">
        <v>1.125</v>
      </c>
      <c r="IX34" s="8"/>
    </row>
    <row r="35" spans="1:258" ht="15.75" thickBot="1" x14ac:dyDescent="0.3">
      <c r="B35" s="103">
        <f t="shared" si="39"/>
        <v>102</v>
      </c>
      <c r="C35" s="221">
        <v>18</v>
      </c>
      <c r="D35" s="98">
        <f t="shared" si="0"/>
        <v>0.29919730392156862</v>
      </c>
      <c r="E35" s="96">
        <f t="shared" si="1"/>
        <v>0.46239583333333334</v>
      </c>
      <c r="F35" s="96">
        <f t="shared" si="2"/>
        <v>0.5258619281045751</v>
      </c>
      <c r="G35" s="96">
        <f t="shared" si="3"/>
        <v>0.5575949754901961</v>
      </c>
      <c r="H35" s="96">
        <f t="shared" si="4"/>
        <v>0.57663480392156852</v>
      </c>
      <c r="I35" s="96">
        <f t="shared" si="5"/>
        <v>0.58932802287581698</v>
      </c>
      <c r="J35" s="96">
        <f t="shared" si="6"/>
        <v>0.59839460784313725</v>
      </c>
      <c r="K35" s="96">
        <f t="shared" si="7"/>
        <v>0.60519454656862737</v>
      </c>
      <c r="L35" s="96">
        <f t="shared" si="8"/>
        <v>0.59839460784313725</v>
      </c>
      <c r="M35" s="96">
        <f t="shared" si="9"/>
        <v>0.60383455882352932</v>
      </c>
      <c r="N35" s="96">
        <f t="shared" si="10"/>
        <v>0.60828542780748651</v>
      </c>
      <c r="O35" s="96">
        <f t="shared" si="11"/>
        <v>0.61086116217320252</v>
      </c>
      <c r="P35" s="238"/>
      <c r="Q35" s="238"/>
      <c r="R35" s="238"/>
      <c r="S35" s="238"/>
      <c r="T35" s="238"/>
      <c r="U35" s="238"/>
      <c r="V35" s="238"/>
      <c r="W35" s="238"/>
      <c r="X35" s="64"/>
      <c r="Y35" s="65"/>
      <c r="AT35" s="4"/>
      <c r="AU35" s="14">
        <f t="shared" si="220"/>
        <v>84</v>
      </c>
      <c r="AV35" s="12" t="str">
        <f t="shared" si="40"/>
        <v>(2150)</v>
      </c>
      <c r="AW35" s="19">
        <f t="shared" si="221"/>
        <v>20</v>
      </c>
      <c r="AX35" s="20">
        <f t="shared" si="41"/>
        <v>2.0747604166666664</v>
      </c>
      <c r="AY35" s="21" t="str">
        <f t="shared" si="222"/>
        <v>(0.19)</v>
      </c>
      <c r="AZ35" s="22">
        <v>2</v>
      </c>
      <c r="BA35" s="22">
        <f t="shared" si="43"/>
        <v>3.5</v>
      </c>
      <c r="BB35" s="22">
        <v>0</v>
      </c>
      <c r="BC35" s="22">
        <f t="shared" si="44"/>
        <v>0</v>
      </c>
      <c r="BD35" s="22">
        <v>0</v>
      </c>
      <c r="BE35" s="22">
        <f t="shared" si="45"/>
        <v>0</v>
      </c>
      <c r="BF35" s="22">
        <f t="shared" si="188"/>
        <v>3.5</v>
      </c>
      <c r="BG35" s="23">
        <f t="shared" si="47"/>
        <v>5.5</v>
      </c>
      <c r="BH35" s="373">
        <f t="shared" si="48"/>
        <v>3.2064479166666668</v>
      </c>
      <c r="BI35" s="374" t="str">
        <f t="shared" si="189"/>
        <v>(0.30)</v>
      </c>
      <c r="BJ35" s="375">
        <v>2</v>
      </c>
      <c r="BK35" s="375">
        <f t="shared" si="50"/>
        <v>3.5</v>
      </c>
      <c r="BL35" s="375">
        <v>0</v>
      </c>
      <c r="BM35" s="375">
        <f t="shared" si="51"/>
        <v>0</v>
      </c>
      <c r="BN35" s="375">
        <v>0</v>
      </c>
      <c r="BO35" s="375">
        <f t="shared" si="52"/>
        <v>0</v>
      </c>
      <c r="BP35" s="375">
        <f t="shared" si="190"/>
        <v>3.5</v>
      </c>
      <c r="BQ35" s="376">
        <f t="shared" si="54"/>
        <v>8.5</v>
      </c>
      <c r="BR35" s="373">
        <f t="shared" si="55"/>
        <v>5.4698229166666668</v>
      </c>
      <c r="BS35" s="374" t="str">
        <f t="shared" si="181"/>
        <v>(0.51)</v>
      </c>
      <c r="BT35" s="375">
        <v>2</v>
      </c>
      <c r="BU35" s="375">
        <f t="shared" si="57"/>
        <v>3.5</v>
      </c>
      <c r="BV35" s="375">
        <v>0</v>
      </c>
      <c r="BW35" s="375">
        <f t="shared" si="58"/>
        <v>0</v>
      </c>
      <c r="BX35" s="375">
        <v>0</v>
      </c>
      <c r="BY35" s="375">
        <f t="shared" si="59"/>
        <v>0</v>
      </c>
      <c r="BZ35" s="375">
        <f t="shared" si="191"/>
        <v>3.5</v>
      </c>
      <c r="CA35" s="376">
        <f t="shared" si="61"/>
        <v>14.5</v>
      </c>
      <c r="CB35" s="373">
        <f t="shared" si="62"/>
        <v>7.7331979166666667</v>
      </c>
      <c r="CC35" s="374" t="str">
        <f t="shared" si="182"/>
        <v>(0.72)</v>
      </c>
      <c r="CD35" s="375">
        <v>2</v>
      </c>
      <c r="CE35" s="375">
        <f t="shared" si="64"/>
        <v>3.5</v>
      </c>
      <c r="CF35" s="375">
        <v>0</v>
      </c>
      <c r="CG35" s="375">
        <f t="shared" si="65"/>
        <v>0</v>
      </c>
      <c r="CH35" s="375">
        <v>0</v>
      </c>
      <c r="CI35" s="375">
        <f t="shared" si="66"/>
        <v>0</v>
      </c>
      <c r="CJ35" s="375">
        <f t="shared" si="192"/>
        <v>3.5</v>
      </c>
      <c r="CK35" s="376">
        <f t="shared" si="68"/>
        <v>20.5</v>
      </c>
      <c r="CL35" s="373">
        <f t="shared" si="69"/>
        <v>9.9965729166666666</v>
      </c>
      <c r="CM35" s="374" t="str">
        <f t="shared" si="183"/>
        <v>(0.93)</v>
      </c>
      <c r="CN35" s="375">
        <v>2</v>
      </c>
      <c r="CO35" s="375">
        <f t="shared" si="71"/>
        <v>3.5</v>
      </c>
      <c r="CP35" s="375">
        <v>0</v>
      </c>
      <c r="CQ35" s="375">
        <f t="shared" si="72"/>
        <v>0</v>
      </c>
      <c r="CR35" s="375">
        <v>0</v>
      </c>
      <c r="CS35" s="375">
        <f t="shared" si="73"/>
        <v>0</v>
      </c>
      <c r="CT35" s="375">
        <f t="shared" si="193"/>
        <v>3.5</v>
      </c>
      <c r="CU35" s="376">
        <f t="shared" si="75"/>
        <v>26.5</v>
      </c>
      <c r="CV35" s="373">
        <f t="shared" si="76"/>
        <v>12.259947916666667</v>
      </c>
      <c r="CW35" s="374" t="str">
        <f t="shared" si="184"/>
        <v>(1.14)</v>
      </c>
      <c r="CX35" s="375">
        <v>2</v>
      </c>
      <c r="CY35" s="375">
        <f t="shared" si="78"/>
        <v>3.5</v>
      </c>
      <c r="CZ35" s="375">
        <v>0</v>
      </c>
      <c r="DA35" s="375">
        <f t="shared" si="79"/>
        <v>0</v>
      </c>
      <c r="DB35" s="375">
        <v>0</v>
      </c>
      <c r="DC35" s="375">
        <f t="shared" si="80"/>
        <v>0</v>
      </c>
      <c r="DD35" s="375">
        <f t="shared" si="194"/>
        <v>3.5</v>
      </c>
      <c r="DE35" s="376">
        <f t="shared" si="82"/>
        <v>32.5</v>
      </c>
      <c r="DF35" s="373">
        <f t="shared" si="83"/>
        <v>14.523322916666665</v>
      </c>
      <c r="DG35" s="374" t="str">
        <f t="shared" si="185"/>
        <v>(1.35)</v>
      </c>
      <c r="DH35" s="375">
        <v>2</v>
      </c>
      <c r="DI35" s="375">
        <f t="shared" si="85"/>
        <v>3.5</v>
      </c>
      <c r="DJ35" s="375">
        <v>0</v>
      </c>
      <c r="DK35" s="375">
        <f t="shared" si="86"/>
        <v>0</v>
      </c>
      <c r="DL35" s="375">
        <v>0</v>
      </c>
      <c r="DM35" s="375">
        <f t="shared" si="87"/>
        <v>0</v>
      </c>
      <c r="DN35" s="375">
        <f t="shared" si="195"/>
        <v>3.5</v>
      </c>
      <c r="DO35" s="376">
        <f t="shared" si="89"/>
        <v>38.5</v>
      </c>
      <c r="DP35" s="373">
        <f t="shared" si="90"/>
        <v>16.786697916666665</v>
      </c>
      <c r="DQ35" s="374" t="str">
        <f t="shared" si="186"/>
        <v>(1.56)</v>
      </c>
      <c r="DR35" s="375">
        <v>2</v>
      </c>
      <c r="DS35" s="375">
        <f t="shared" si="92"/>
        <v>3.5</v>
      </c>
      <c r="DT35" s="375">
        <v>0</v>
      </c>
      <c r="DU35" s="375">
        <f t="shared" si="93"/>
        <v>0</v>
      </c>
      <c r="DV35" s="375">
        <v>0</v>
      </c>
      <c r="DW35" s="375">
        <f t="shared" si="94"/>
        <v>0</v>
      </c>
      <c r="DX35" s="375">
        <f t="shared" si="196"/>
        <v>3.5</v>
      </c>
      <c r="DY35" s="376">
        <f t="shared" si="96"/>
        <v>44.5</v>
      </c>
      <c r="DZ35" s="373">
        <f t="shared" si="97"/>
        <v>18.672843749999998</v>
      </c>
      <c r="EA35" s="374" t="str">
        <f t="shared" si="197"/>
        <v>(1.73)</v>
      </c>
      <c r="EB35" s="375">
        <v>2</v>
      </c>
      <c r="EC35" s="375">
        <f t="shared" si="99"/>
        <v>3.5</v>
      </c>
      <c r="ED35" s="375">
        <v>0</v>
      </c>
      <c r="EE35" s="375">
        <f t="shared" si="100"/>
        <v>0</v>
      </c>
      <c r="EF35" s="375">
        <v>1</v>
      </c>
      <c r="EG35" s="375">
        <f t="shared" si="101"/>
        <v>1</v>
      </c>
      <c r="EH35" s="375">
        <f t="shared" si="198"/>
        <v>4.5</v>
      </c>
      <c r="EI35" s="376">
        <f t="shared" si="103"/>
        <v>49.5</v>
      </c>
      <c r="EJ35" s="373">
        <f t="shared" si="104"/>
        <v>20.936218749999998</v>
      </c>
      <c r="EK35" s="374" t="str">
        <f t="shared" si="223"/>
        <v>(1.95)</v>
      </c>
      <c r="EL35" s="375">
        <v>2</v>
      </c>
      <c r="EM35" s="375">
        <f t="shared" si="106"/>
        <v>3.5</v>
      </c>
      <c r="EN35" s="375">
        <v>0</v>
      </c>
      <c r="EO35" s="375">
        <f t="shared" si="107"/>
        <v>0</v>
      </c>
      <c r="EP35" s="375">
        <v>1</v>
      </c>
      <c r="EQ35" s="375">
        <f t="shared" si="108"/>
        <v>1</v>
      </c>
      <c r="ER35" s="375">
        <f t="shared" si="200"/>
        <v>4.5</v>
      </c>
      <c r="ES35" s="376">
        <f t="shared" si="110"/>
        <v>55.5</v>
      </c>
      <c r="ET35" s="373">
        <f t="shared" si="111"/>
        <v>23.199593750000002</v>
      </c>
      <c r="EU35" s="374" t="str">
        <f t="shared" si="224"/>
        <v>(2.16)</v>
      </c>
      <c r="EV35" s="375">
        <v>2</v>
      </c>
      <c r="EW35" s="375">
        <f t="shared" si="113"/>
        <v>3.5</v>
      </c>
      <c r="EX35" s="375">
        <v>0</v>
      </c>
      <c r="EY35" s="375">
        <f t="shared" si="114"/>
        <v>0</v>
      </c>
      <c r="EZ35" s="375">
        <v>1</v>
      </c>
      <c r="FA35" s="375">
        <f t="shared" si="115"/>
        <v>1</v>
      </c>
      <c r="FB35" s="375">
        <f t="shared" si="202"/>
        <v>4.5</v>
      </c>
      <c r="FC35" s="376">
        <f t="shared" si="117"/>
        <v>61.5</v>
      </c>
      <c r="FD35" s="373">
        <f t="shared" si="118"/>
        <v>25.415815104166668</v>
      </c>
      <c r="FE35" s="374" t="str">
        <f t="shared" si="203"/>
        <v>(2.36)</v>
      </c>
      <c r="FF35" s="375">
        <v>2</v>
      </c>
      <c r="FG35" s="375">
        <f t="shared" si="120"/>
        <v>3.5</v>
      </c>
      <c r="FH35" s="375">
        <v>1</v>
      </c>
      <c r="FI35" s="375">
        <f t="shared" si="121"/>
        <v>1.125</v>
      </c>
      <c r="FJ35" s="375">
        <v>0</v>
      </c>
      <c r="FK35" s="375">
        <f t="shared" si="122"/>
        <v>0</v>
      </c>
      <c r="FL35" s="375">
        <f t="shared" si="204"/>
        <v>4.625</v>
      </c>
      <c r="FM35" s="376">
        <f t="shared" si="124"/>
        <v>67.375</v>
      </c>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2"/>
      <c r="GO35" s="32"/>
      <c r="GP35" s="32"/>
      <c r="GQ35" s="32"/>
      <c r="GR35" s="31"/>
      <c r="GS35" s="31"/>
      <c r="GT35" s="32"/>
      <c r="GU35" s="32"/>
      <c r="GV35" s="32"/>
      <c r="GW35" s="32"/>
      <c r="GX35" s="32"/>
      <c r="GY35" s="32"/>
      <c r="GZ35" s="32"/>
      <c r="HA35" s="32"/>
      <c r="HB35" s="31"/>
      <c r="HC35" s="31"/>
      <c r="HD35" s="32"/>
      <c r="HE35" s="32"/>
      <c r="HF35" s="32"/>
      <c r="HG35" s="32"/>
      <c r="HH35" s="32"/>
      <c r="HI35" s="32"/>
      <c r="HJ35" s="32"/>
      <c r="HK35" s="32"/>
      <c r="HL35" s="31"/>
      <c r="HM35" s="31"/>
      <c r="HN35" s="32"/>
      <c r="HO35" s="32"/>
      <c r="HP35" s="32"/>
      <c r="HQ35" s="32"/>
      <c r="HR35" s="32"/>
      <c r="HS35" s="32"/>
      <c r="HT35" s="32"/>
      <c r="HU35" s="32"/>
      <c r="HV35" s="31"/>
      <c r="HW35" s="31"/>
      <c r="HX35" s="32"/>
      <c r="HY35" s="32"/>
      <c r="HZ35" s="32"/>
      <c r="IA35" s="32"/>
      <c r="IB35" s="32"/>
      <c r="IC35" s="32"/>
      <c r="ID35" s="32"/>
      <c r="IE35" s="32"/>
      <c r="IF35" s="31"/>
      <c r="IG35" s="31"/>
      <c r="IH35" s="32"/>
      <c r="II35" s="32"/>
      <c r="IJ35" s="32"/>
      <c r="IK35" s="32"/>
      <c r="IL35" s="32"/>
      <c r="IM35" s="32"/>
      <c r="IN35" s="33"/>
      <c r="IO35" s="33"/>
      <c r="IP35" s="33"/>
      <c r="IQ35" s="25">
        <v>17</v>
      </c>
      <c r="IR35" s="26">
        <v>3.1160000000000001</v>
      </c>
      <c r="IS35" s="26">
        <v>3.0659999999999998</v>
      </c>
      <c r="IT35" s="26">
        <v>2.149</v>
      </c>
      <c r="IU35" s="26">
        <v>1.75</v>
      </c>
      <c r="IV35" s="26">
        <v>1</v>
      </c>
      <c r="IW35" s="26">
        <v>1.125</v>
      </c>
      <c r="IX35" s="8"/>
    </row>
    <row r="36" spans="1:258" ht="15.75" thickBot="1" x14ac:dyDescent="0.3">
      <c r="B36" s="103">
        <f t="shared" si="39"/>
        <v>108</v>
      </c>
      <c r="C36" s="221">
        <v>19</v>
      </c>
      <c r="D36" s="98">
        <f t="shared" si="0"/>
        <v>0.2972843364197531</v>
      </c>
      <c r="E36" s="96">
        <f t="shared" si="1"/>
        <v>0.45943942901234563</v>
      </c>
      <c r="F36" s="96">
        <f t="shared" si="2"/>
        <v>0.52249974279835398</v>
      </c>
      <c r="G36" s="96">
        <f t="shared" si="3"/>
        <v>0.55402989969135807</v>
      </c>
      <c r="H36" s="96">
        <f t="shared" si="4"/>
        <v>0.57294799382716044</v>
      </c>
      <c r="I36" s="96">
        <f t="shared" si="5"/>
        <v>0.58556005658436217</v>
      </c>
      <c r="J36" s="96">
        <f t="shared" si="6"/>
        <v>0.59456867283950621</v>
      </c>
      <c r="K36" s="96">
        <f t="shared" si="7"/>
        <v>0.60132513503086416</v>
      </c>
      <c r="L36" s="96">
        <f t="shared" si="8"/>
        <v>0.59456867283950621</v>
      </c>
      <c r="M36" s="96">
        <f t="shared" si="9"/>
        <v>0.59997384259259268</v>
      </c>
      <c r="N36" s="96">
        <f t="shared" si="10"/>
        <v>0.60439625420875431</v>
      </c>
      <c r="O36" s="96">
        <f t="shared" si="11"/>
        <v>0.60695552019032928</v>
      </c>
      <c r="P36" s="238"/>
      <c r="Q36" s="238"/>
      <c r="R36" s="238"/>
      <c r="S36" s="238"/>
      <c r="T36" s="238"/>
      <c r="U36" s="238"/>
      <c r="V36" s="238"/>
      <c r="W36" s="238"/>
      <c r="X36" s="64"/>
      <c r="Y36" s="65"/>
      <c r="AT36" s="4"/>
      <c r="AU36" s="27">
        <f t="shared" si="220"/>
        <v>90</v>
      </c>
      <c r="AV36" s="28" t="str">
        <f t="shared" si="40"/>
        <v>(2300)</v>
      </c>
      <c r="AW36" s="19">
        <f t="shared" si="221"/>
        <v>21</v>
      </c>
      <c r="AX36" s="20">
        <f t="shared" si="41"/>
        <v>2.2071423611111114</v>
      </c>
      <c r="AY36" s="29" t="str">
        <f t="shared" si="222"/>
        <v>(0.21)</v>
      </c>
      <c r="AZ36" s="22">
        <v>2</v>
      </c>
      <c r="BA36" s="22">
        <f t="shared" si="43"/>
        <v>3.5</v>
      </c>
      <c r="BB36" s="30">
        <v>0</v>
      </c>
      <c r="BC36" s="22">
        <f t="shared" si="44"/>
        <v>0</v>
      </c>
      <c r="BD36" s="30">
        <v>0</v>
      </c>
      <c r="BE36" s="22">
        <f t="shared" si="45"/>
        <v>0</v>
      </c>
      <c r="BF36" s="22">
        <f t="shared" si="188"/>
        <v>3.5</v>
      </c>
      <c r="BG36" s="23">
        <f t="shared" si="47"/>
        <v>5.5</v>
      </c>
      <c r="BH36" s="373">
        <f t="shared" si="48"/>
        <v>3.4110381944444446</v>
      </c>
      <c r="BI36" s="374" t="str">
        <f t="shared" si="189"/>
        <v>(0.32)</v>
      </c>
      <c r="BJ36" s="375">
        <v>2</v>
      </c>
      <c r="BK36" s="375">
        <f t="shared" si="50"/>
        <v>3.5</v>
      </c>
      <c r="BL36" s="375">
        <v>0</v>
      </c>
      <c r="BM36" s="375">
        <f t="shared" si="51"/>
        <v>0</v>
      </c>
      <c r="BN36" s="375">
        <v>0</v>
      </c>
      <c r="BO36" s="375">
        <f t="shared" si="52"/>
        <v>0</v>
      </c>
      <c r="BP36" s="375">
        <f t="shared" si="190"/>
        <v>3.5</v>
      </c>
      <c r="BQ36" s="376">
        <f t="shared" si="54"/>
        <v>8.5</v>
      </c>
      <c r="BR36" s="373">
        <f t="shared" si="55"/>
        <v>5.8188298611111104</v>
      </c>
      <c r="BS36" s="374" t="str">
        <f t="shared" si="181"/>
        <v>(0.54)</v>
      </c>
      <c r="BT36" s="375">
        <v>2</v>
      </c>
      <c r="BU36" s="375">
        <f t="shared" si="57"/>
        <v>3.5</v>
      </c>
      <c r="BV36" s="375">
        <v>0</v>
      </c>
      <c r="BW36" s="375">
        <f t="shared" si="58"/>
        <v>0</v>
      </c>
      <c r="BX36" s="375">
        <v>0</v>
      </c>
      <c r="BY36" s="375">
        <f t="shared" si="59"/>
        <v>0</v>
      </c>
      <c r="BZ36" s="375">
        <f t="shared" si="191"/>
        <v>3.5</v>
      </c>
      <c r="CA36" s="376">
        <f t="shared" si="61"/>
        <v>14.5</v>
      </c>
      <c r="CB36" s="373">
        <f t="shared" si="62"/>
        <v>8.2266215277777768</v>
      </c>
      <c r="CC36" s="374" t="str">
        <f t="shared" si="182"/>
        <v>(0.76)</v>
      </c>
      <c r="CD36" s="375">
        <v>2</v>
      </c>
      <c r="CE36" s="375">
        <f t="shared" si="64"/>
        <v>3.5</v>
      </c>
      <c r="CF36" s="375">
        <v>0</v>
      </c>
      <c r="CG36" s="375">
        <f t="shared" si="65"/>
        <v>0</v>
      </c>
      <c r="CH36" s="375">
        <v>0</v>
      </c>
      <c r="CI36" s="375">
        <f t="shared" si="66"/>
        <v>0</v>
      </c>
      <c r="CJ36" s="375">
        <f t="shared" si="192"/>
        <v>3.5</v>
      </c>
      <c r="CK36" s="376">
        <f t="shared" si="68"/>
        <v>20.5</v>
      </c>
      <c r="CL36" s="373">
        <f t="shared" si="69"/>
        <v>10.634413194444443</v>
      </c>
      <c r="CM36" s="374" t="str">
        <f t="shared" si="183"/>
        <v>(0.99)</v>
      </c>
      <c r="CN36" s="375">
        <v>2</v>
      </c>
      <c r="CO36" s="375">
        <f t="shared" si="71"/>
        <v>3.5</v>
      </c>
      <c r="CP36" s="375">
        <v>0</v>
      </c>
      <c r="CQ36" s="375">
        <f t="shared" si="72"/>
        <v>0</v>
      </c>
      <c r="CR36" s="375">
        <v>0</v>
      </c>
      <c r="CS36" s="375">
        <f t="shared" si="73"/>
        <v>0</v>
      </c>
      <c r="CT36" s="375">
        <f t="shared" si="193"/>
        <v>3.5</v>
      </c>
      <c r="CU36" s="376">
        <f t="shared" si="75"/>
        <v>26.5</v>
      </c>
      <c r="CV36" s="373">
        <f t="shared" si="76"/>
        <v>13.042204861111109</v>
      </c>
      <c r="CW36" s="374" t="str">
        <f t="shared" si="184"/>
        <v>(1.21)</v>
      </c>
      <c r="CX36" s="375">
        <v>2</v>
      </c>
      <c r="CY36" s="375">
        <f t="shared" si="78"/>
        <v>3.5</v>
      </c>
      <c r="CZ36" s="375">
        <v>0</v>
      </c>
      <c r="DA36" s="375">
        <f t="shared" si="79"/>
        <v>0</v>
      </c>
      <c r="DB36" s="375">
        <v>0</v>
      </c>
      <c r="DC36" s="375">
        <f t="shared" si="80"/>
        <v>0</v>
      </c>
      <c r="DD36" s="375">
        <f t="shared" si="194"/>
        <v>3.5</v>
      </c>
      <c r="DE36" s="376">
        <f t="shared" si="82"/>
        <v>32.5</v>
      </c>
      <c r="DF36" s="373">
        <f t="shared" si="83"/>
        <v>15.449996527777778</v>
      </c>
      <c r="DG36" s="374" t="str">
        <f t="shared" si="185"/>
        <v>(1.44)</v>
      </c>
      <c r="DH36" s="375">
        <v>2</v>
      </c>
      <c r="DI36" s="375">
        <f t="shared" si="85"/>
        <v>3.5</v>
      </c>
      <c r="DJ36" s="375">
        <v>0</v>
      </c>
      <c r="DK36" s="375">
        <f t="shared" si="86"/>
        <v>0</v>
      </c>
      <c r="DL36" s="375">
        <v>0</v>
      </c>
      <c r="DM36" s="375">
        <f t="shared" si="87"/>
        <v>0</v>
      </c>
      <c r="DN36" s="375">
        <f t="shared" si="195"/>
        <v>3.5</v>
      </c>
      <c r="DO36" s="376">
        <f t="shared" si="89"/>
        <v>38.5</v>
      </c>
      <c r="DP36" s="373">
        <f t="shared" si="90"/>
        <v>17.857788194444442</v>
      </c>
      <c r="DQ36" s="374" t="str">
        <f t="shared" si="186"/>
        <v>(1.66)</v>
      </c>
      <c r="DR36" s="375">
        <v>2</v>
      </c>
      <c r="DS36" s="375">
        <f t="shared" si="92"/>
        <v>3.5</v>
      </c>
      <c r="DT36" s="375">
        <v>0</v>
      </c>
      <c r="DU36" s="375">
        <f t="shared" si="93"/>
        <v>0</v>
      </c>
      <c r="DV36" s="375">
        <v>0</v>
      </c>
      <c r="DW36" s="375">
        <f t="shared" si="94"/>
        <v>0</v>
      </c>
      <c r="DX36" s="375">
        <f t="shared" si="196"/>
        <v>3.5</v>
      </c>
      <c r="DY36" s="376">
        <f t="shared" si="96"/>
        <v>44.5</v>
      </c>
      <c r="DZ36" s="373">
        <f t="shared" si="97"/>
        <v>19.864281249999998</v>
      </c>
      <c r="EA36" s="374" t="str">
        <f t="shared" si="197"/>
        <v>(1.85)</v>
      </c>
      <c r="EB36" s="375">
        <v>2</v>
      </c>
      <c r="EC36" s="375">
        <f t="shared" si="99"/>
        <v>3.5</v>
      </c>
      <c r="ED36" s="375">
        <v>0</v>
      </c>
      <c r="EE36" s="375">
        <f t="shared" si="100"/>
        <v>0</v>
      </c>
      <c r="EF36" s="375">
        <v>1</v>
      </c>
      <c r="EG36" s="375">
        <f t="shared" si="101"/>
        <v>1</v>
      </c>
      <c r="EH36" s="375">
        <f t="shared" si="198"/>
        <v>4.5</v>
      </c>
      <c r="EI36" s="376">
        <f t="shared" si="103"/>
        <v>49.5</v>
      </c>
      <c r="EJ36" s="373">
        <f t="shared" si="104"/>
        <v>22.272072916666666</v>
      </c>
      <c r="EK36" s="374" t="str">
        <f t="shared" si="223"/>
        <v>(2.07)</v>
      </c>
      <c r="EL36" s="375">
        <v>2</v>
      </c>
      <c r="EM36" s="375">
        <f t="shared" si="106"/>
        <v>3.5</v>
      </c>
      <c r="EN36" s="375">
        <v>0</v>
      </c>
      <c r="EO36" s="375">
        <f t="shared" si="107"/>
        <v>0</v>
      </c>
      <c r="EP36" s="375">
        <v>1</v>
      </c>
      <c r="EQ36" s="375">
        <f t="shared" si="108"/>
        <v>1</v>
      </c>
      <c r="ER36" s="375">
        <f t="shared" si="200"/>
        <v>4.5</v>
      </c>
      <c r="ES36" s="376">
        <f t="shared" si="110"/>
        <v>55.5</v>
      </c>
      <c r="ET36" s="373">
        <f t="shared" si="111"/>
        <v>24.67986458333333</v>
      </c>
      <c r="EU36" s="374" t="str">
        <f t="shared" si="224"/>
        <v>(2.29)</v>
      </c>
      <c r="EV36" s="375">
        <v>2</v>
      </c>
      <c r="EW36" s="375">
        <f t="shared" si="113"/>
        <v>3.5</v>
      </c>
      <c r="EX36" s="375">
        <v>0</v>
      </c>
      <c r="EY36" s="375">
        <f t="shared" si="114"/>
        <v>0</v>
      </c>
      <c r="EZ36" s="375">
        <v>1</v>
      </c>
      <c r="FA36" s="375">
        <f t="shared" si="115"/>
        <v>1</v>
      </c>
      <c r="FB36" s="375">
        <f t="shared" si="202"/>
        <v>4.5</v>
      </c>
      <c r="FC36" s="376">
        <f t="shared" si="117"/>
        <v>61.5</v>
      </c>
      <c r="FD36" s="373">
        <f t="shared" si="118"/>
        <v>27.037493923611109</v>
      </c>
      <c r="FE36" s="374" t="str">
        <f t="shared" si="203"/>
        <v>(2.51)</v>
      </c>
      <c r="FF36" s="375">
        <v>2</v>
      </c>
      <c r="FG36" s="375">
        <f t="shared" si="120"/>
        <v>3.5</v>
      </c>
      <c r="FH36" s="375">
        <v>1</v>
      </c>
      <c r="FI36" s="375">
        <f t="shared" si="121"/>
        <v>1.125</v>
      </c>
      <c r="FJ36" s="375">
        <v>0</v>
      </c>
      <c r="FK36" s="375">
        <f t="shared" si="122"/>
        <v>0</v>
      </c>
      <c r="FL36" s="375">
        <f t="shared" si="204"/>
        <v>4.625</v>
      </c>
      <c r="FM36" s="376">
        <f t="shared" si="124"/>
        <v>67.375</v>
      </c>
      <c r="FN36" s="31"/>
      <c r="FO36" s="31"/>
      <c r="FP36" s="32"/>
      <c r="FQ36" s="32"/>
      <c r="FR36" s="32"/>
      <c r="FS36" s="32"/>
      <c r="FT36" s="32"/>
      <c r="FU36" s="32"/>
      <c r="FV36" s="32"/>
      <c r="FW36" s="32"/>
      <c r="FX36" s="31"/>
      <c r="FY36" s="31"/>
      <c r="FZ36" s="32"/>
      <c r="GA36" s="32"/>
      <c r="GB36" s="32"/>
      <c r="GC36" s="32"/>
      <c r="GD36" s="32"/>
      <c r="GE36" s="32"/>
      <c r="GF36" s="32"/>
      <c r="GG36" s="32"/>
      <c r="GH36" s="31"/>
      <c r="GI36" s="31"/>
      <c r="GJ36" s="32"/>
      <c r="GK36" s="32"/>
      <c r="GL36" s="32"/>
      <c r="GM36" s="32"/>
      <c r="GN36" s="32"/>
      <c r="GO36" s="32"/>
      <c r="GP36" s="32"/>
      <c r="GQ36" s="32"/>
      <c r="GR36" s="31"/>
      <c r="GS36" s="31"/>
      <c r="GT36" s="32"/>
      <c r="GU36" s="32"/>
      <c r="GV36" s="32"/>
      <c r="GW36" s="32"/>
      <c r="GX36" s="32"/>
      <c r="GY36" s="32"/>
      <c r="GZ36" s="32"/>
      <c r="HA36" s="32"/>
      <c r="HB36" s="31"/>
      <c r="HC36" s="31"/>
      <c r="HD36" s="32"/>
      <c r="HE36" s="32"/>
      <c r="HF36" s="32"/>
      <c r="HG36" s="32"/>
      <c r="HH36" s="32"/>
      <c r="HI36" s="32"/>
      <c r="HJ36" s="32"/>
      <c r="HK36" s="32"/>
      <c r="HL36" s="31"/>
      <c r="HM36" s="31"/>
      <c r="HN36" s="32"/>
      <c r="HO36" s="32"/>
      <c r="HP36" s="32"/>
      <c r="HQ36" s="32"/>
      <c r="HR36" s="32"/>
      <c r="HS36" s="32"/>
      <c r="HT36" s="32"/>
      <c r="HU36" s="32"/>
      <c r="HV36" s="31"/>
      <c r="HW36" s="31"/>
      <c r="HX36" s="32"/>
      <c r="HY36" s="32"/>
      <c r="HZ36" s="32"/>
      <c r="IA36" s="32"/>
      <c r="IB36" s="32"/>
      <c r="IC36" s="32"/>
      <c r="ID36" s="32"/>
      <c r="IE36" s="32"/>
      <c r="IF36" s="31"/>
      <c r="IG36" s="31"/>
      <c r="IH36" s="32"/>
      <c r="II36" s="32"/>
      <c r="IJ36" s="34"/>
      <c r="IK36" s="32"/>
      <c r="IL36" s="32"/>
      <c r="IM36" s="32"/>
      <c r="IN36" s="33"/>
      <c r="IO36" s="33"/>
      <c r="IP36" s="33"/>
      <c r="IQ36" s="25">
        <v>18</v>
      </c>
      <c r="IR36" s="26">
        <v>3.1160000000000001</v>
      </c>
      <c r="IS36" s="26">
        <v>3.0659999999999998</v>
      </c>
      <c r="IT36" s="26">
        <v>2.5489999999999999</v>
      </c>
      <c r="IU36" s="26">
        <v>1.75</v>
      </c>
      <c r="IV36" s="26">
        <v>1</v>
      </c>
      <c r="IW36" s="26">
        <v>1.125</v>
      </c>
      <c r="IX36" s="8"/>
    </row>
    <row r="37" spans="1:258" ht="15.75" thickBot="1" x14ac:dyDescent="0.3">
      <c r="B37" s="103">
        <f>B36+6</f>
        <v>114</v>
      </c>
      <c r="C37" s="221">
        <v>20</v>
      </c>
      <c r="D37" s="98">
        <f t="shared" si="0"/>
        <v>0.29911074561403511</v>
      </c>
      <c r="E37" s="96">
        <f t="shared" si="1"/>
        <v>0.46226206140350878</v>
      </c>
      <c r="F37" s="96">
        <f t="shared" si="2"/>
        <v>0.52570979532163753</v>
      </c>
      <c r="G37" s="96">
        <f t="shared" si="3"/>
        <v>0.55743366228070179</v>
      </c>
      <c r="H37" s="96">
        <f t="shared" si="4"/>
        <v>0.57646798245614039</v>
      </c>
      <c r="I37" s="96">
        <f t="shared" si="5"/>
        <v>0.58915752923976616</v>
      </c>
      <c r="J37" s="96">
        <f t="shared" si="6"/>
        <v>0.59822149122807022</v>
      </c>
      <c r="K37" s="96">
        <f t="shared" si="7"/>
        <v>0.6050194627192983</v>
      </c>
      <c r="L37" s="96">
        <f t="shared" si="8"/>
        <v>0.59822149122807022</v>
      </c>
      <c r="M37" s="96">
        <f t="shared" si="9"/>
        <v>0.60365986842105268</v>
      </c>
      <c r="N37" s="96">
        <f t="shared" si="10"/>
        <v>0.60810944976076553</v>
      </c>
      <c r="O37" s="96">
        <f t="shared" si="11"/>
        <v>0.61068443896198832</v>
      </c>
      <c r="P37" s="238"/>
      <c r="Q37" s="238"/>
      <c r="R37" s="238"/>
      <c r="S37" s="238"/>
      <c r="T37" s="238"/>
      <c r="U37" s="238"/>
      <c r="V37" s="238"/>
      <c r="W37" s="238"/>
      <c r="X37" s="64"/>
      <c r="Y37" s="65"/>
      <c r="AT37" s="4"/>
      <c r="AU37" s="27">
        <f t="shared" si="220"/>
        <v>96</v>
      </c>
      <c r="AV37" s="28" t="str">
        <f t="shared" si="40"/>
        <v>(2450)</v>
      </c>
      <c r="AW37" s="19">
        <f t="shared" si="221"/>
        <v>22</v>
      </c>
      <c r="AX37" s="20">
        <f t="shared" si="41"/>
        <v>2.3731354166666665</v>
      </c>
      <c r="AY37" s="21" t="str">
        <f t="shared" si="222"/>
        <v>(0.22)</v>
      </c>
      <c r="AZ37" s="22">
        <v>2</v>
      </c>
      <c r="BA37" s="22">
        <f t="shared" si="43"/>
        <v>3.5</v>
      </c>
      <c r="BB37" s="22">
        <v>0</v>
      </c>
      <c r="BC37" s="22">
        <f t="shared" si="44"/>
        <v>0</v>
      </c>
      <c r="BD37" s="22">
        <v>0</v>
      </c>
      <c r="BE37" s="22">
        <f t="shared" si="45"/>
        <v>0</v>
      </c>
      <c r="BF37" s="22">
        <f t="shared" si="188"/>
        <v>3.5</v>
      </c>
      <c r="BG37" s="23">
        <f t="shared" si="47"/>
        <v>5.5</v>
      </c>
      <c r="BH37" s="373">
        <f t="shared" si="48"/>
        <v>3.6675729166666664</v>
      </c>
      <c r="BI37" s="374" t="str">
        <f t="shared" si="189"/>
        <v>(0.34)</v>
      </c>
      <c r="BJ37" s="375">
        <v>2</v>
      </c>
      <c r="BK37" s="375">
        <f t="shared" si="50"/>
        <v>3.5</v>
      </c>
      <c r="BL37" s="375">
        <v>0</v>
      </c>
      <c r="BM37" s="375">
        <f t="shared" si="51"/>
        <v>0</v>
      </c>
      <c r="BN37" s="375">
        <v>0</v>
      </c>
      <c r="BO37" s="375">
        <f t="shared" si="52"/>
        <v>0</v>
      </c>
      <c r="BP37" s="375">
        <f t="shared" si="190"/>
        <v>3.5</v>
      </c>
      <c r="BQ37" s="376">
        <f t="shared" si="54"/>
        <v>8.5</v>
      </c>
      <c r="BR37" s="373">
        <f t="shared" si="55"/>
        <v>6.2564479166666667</v>
      </c>
      <c r="BS37" s="374" t="str">
        <f t="shared" si="181"/>
        <v>(0.58)</v>
      </c>
      <c r="BT37" s="375">
        <v>2</v>
      </c>
      <c r="BU37" s="375">
        <f t="shared" si="57"/>
        <v>3.5</v>
      </c>
      <c r="BV37" s="375">
        <v>0</v>
      </c>
      <c r="BW37" s="375">
        <f t="shared" si="58"/>
        <v>0</v>
      </c>
      <c r="BX37" s="375">
        <v>0</v>
      </c>
      <c r="BY37" s="375">
        <f t="shared" si="59"/>
        <v>0</v>
      </c>
      <c r="BZ37" s="375">
        <f t="shared" si="191"/>
        <v>3.5</v>
      </c>
      <c r="CA37" s="376">
        <f t="shared" si="61"/>
        <v>14.5</v>
      </c>
      <c r="CB37" s="373">
        <f t="shared" si="62"/>
        <v>8.8453229166666674</v>
      </c>
      <c r="CC37" s="374" t="str">
        <f t="shared" si="182"/>
        <v>(0.82)</v>
      </c>
      <c r="CD37" s="375">
        <v>2</v>
      </c>
      <c r="CE37" s="375">
        <f t="shared" si="64"/>
        <v>3.5</v>
      </c>
      <c r="CF37" s="375">
        <v>0</v>
      </c>
      <c r="CG37" s="375">
        <f t="shared" si="65"/>
        <v>0</v>
      </c>
      <c r="CH37" s="375">
        <v>0</v>
      </c>
      <c r="CI37" s="375">
        <f t="shared" si="66"/>
        <v>0</v>
      </c>
      <c r="CJ37" s="375">
        <f t="shared" si="192"/>
        <v>3.5</v>
      </c>
      <c r="CK37" s="376">
        <f t="shared" si="68"/>
        <v>20.5</v>
      </c>
      <c r="CL37" s="373">
        <f t="shared" si="69"/>
        <v>11.434197916666667</v>
      </c>
      <c r="CM37" s="374" t="str">
        <f t="shared" si="183"/>
        <v>(1.06)</v>
      </c>
      <c r="CN37" s="375">
        <v>2</v>
      </c>
      <c r="CO37" s="375">
        <f t="shared" si="71"/>
        <v>3.5</v>
      </c>
      <c r="CP37" s="375">
        <v>0</v>
      </c>
      <c r="CQ37" s="375">
        <f t="shared" si="72"/>
        <v>0</v>
      </c>
      <c r="CR37" s="375">
        <v>0</v>
      </c>
      <c r="CS37" s="375">
        <f t="shared" si="73"/>
        <v>0</v>
      </c>
      <c r="CT37" s="375">
        <f t="shared" si="193"/>
        <v>3.5</v>
      </c>
      <c r="CU37" s="376">
        <f t="shared" si="75"/>
        <v>26.5</v>
      </c>
      <c r="CV37" s="373">
        <f t="shared" si="76"/>
        <v>14.023072916666665</v>
      </c>
      <c r="CW37" s="374" t="str">
        <f t="shared" si="184"/>
        <v>(1.3)</v>
      </c>
      <c r="CX37" s="375">
        <v>2</v>
      </c>
      <c r="CY37" s="375">
        <f t="shared" si="78"/>
        <v>3.5</v>
      </c>
      <c r="CZ37" s="375">
        <v>0</v>
      </c>
      <c r="DA37" s="375">
        <f t="shared" si="79"/>
        <v>0</v>
      </c>
      <c r="DB37" s="375">
        <v>0</v>
      </c>
      <c r="DC37" s="375">
        <f t="shared" si="80"/>
        <v>0</v>
      </c>
      <c r="DD37" s="375">
        <f t="shared" si="194"/>
        <v>3.5</v>
      </c>
      <c r="DE37" s="376">
        <f t="shared" si="82"/>
        <v>32.5</v>
      </c>
      <c r="DF37" s="373">
        <f t="shared" si="83"/>
        <v>16.611947916666665</v>
      </c>
      <c r="DG37" s="374" t="str">
        <f t="shared" si="185"/>
        <v>(1.54)</v>
      </c>
      <c r="DH37" s="375">
        <v>2</v>
      </c>
      <c r="DI37" s="375">
        <f t="shared" si="85"/>
        <v>3.5</v>
      </c>
      <c r="DJ37" s="375">
        <v>0</v>
      </c>
      <c r="DK37" s="375">
        <f t="shared" si="86"/>
        <v>0</v>
      </c>
      <c r="DL37" s="375">
        <v>0</v>
      </c>
      <c r="DM37" s="375">
        <f t="shared" si="87"/>
        <v>0</v>
      </c>
      <c r="DN37" s="375">
        <f t="shared" si="195"/>
        <v>3.5</v>
      </c>
      <c r="DO37" s="376">
        <f t="shared" si="89"/>
        <v>38.5</v>
      </c>
      <c r="DP37" s="373">
        <f t="shared" si="90"/>
        <v>19.200822916666667</v>
      </c>
      <c r="DQ37" s="374" t="str">
        <f t="shared" si="186"/>
        <v>(1.78)</v>
      </c>
      <c r="DR37" s="375">
        <v>2</v>
      </c>
      <c r="DS37" s="375">
        <f t="shared" si="92"/>
        <v>3.5</v>
      </c>
      <c r="DT37" s="375">
        <v>0</v>
      </c>
      <c r="DU37" s="375">
        <f t="shared" si="93"/>
        <v>0</v>
      </c>
      <c r="DV37" s="375">
        <v>0</v>
      </c>
      <c r="DW37" s="375">
        <f t="shared" si="94"/>
        <v>0</v>
      </c>
      <c r="DX37" s="375">
        <f t="shared" si="196"/>
        <v>3.5</v>
      </c>
      <c r="DY37" s="376">
        <f t="shared" si="96"/>
        <v>44.5</v>
      </c>
      <c r="DZ37" s="373">
        <f t="shared" si="97"/>
        <v>21.358218749999999</v>
      </c>
      <c r="EA37" s="374" t="str">
        <f t="shared" si="197"/>
        <v>(1.98)</v>
      </c>
      <c r="EB37" s="375">
        <v>2</v>
      </c>
      <c r="EC37" s="375">
        <f t="shared" si="99"/>
        <v>3.5</v>
      </c>
      <c r="ED37" s="375">
        <v>0</v>
      </c>
      <c r="EE37" s="375">
        <f t="shared" si="100"/>
        <v>0</v>
      </c>
      <c r="EF37" s="375">
        <v>1</v>
      </c>
      <c r="EG37" s="375">
        <f t="shared" si="101"/>
        <v>1</v>
      </c>
      <c r="EH37" s="375">
        <f t="shared" si="198"/>
        <v>4.5</v>
      </c>
      <c r="EI37" s="376">
        <f t="shared" si="103"/>
        <v>49.5</v>
      </c>
      <c r="EJ37" s="373">
        <f t="shared" si="104"/>
        <v>23.947093750000001</v>
      </c>
      <c r="EK37" s="374" t="str">
        <f t="shared" si="223"/>
        <v>(2.22)</v>
      </c>
      <c r="EL37" s="375">
        <v>2</v>
      </c>
      <c r="EM37" s="375">
        <f t="shared" si="106"/>
        <v>3.5</v>
      </c>
      <c r="EN37" s="375">
        <v>0</v>
      </c>
      <c r="EO37" s="375">
        <f t="shared" si="107"/>
        <v>0</v>
      </c>
      <c r="EP37" s="375">
        <v>1</v>
      </c>
      <c r="EQ37" s="375">
        <f t="shared" si="108"/>
        <v>1</v>
      </c>
      <c r="ER37" s="375">
        <f t="shared" si="200"/>
        <v>4.5</v>
      </c>
      <c r="ES37" s="376">
        <f t="shared" si="110"/>
        <v>55.5</v>
      </c>
      <c r="ET37" s="373">
        <f t="shared" si="111"/>
        <v>26.535968749999999</v>
      </c>
      <c r="EU37" s="374" t="str">
        <f t="shared" si="224"/>
        <v>(2.47)</v>
      </c>
      <c r="EV37" s="375">
        <v>2</v>
      </c>
      <c r="EW37" s="375">
        <f t="shared" si="113"/>
        <v>3.5</v>
      </c>
      <c r="EX37" s="375">
        <v>0</v>
      </c>
      <c r="EY37" s="375">
        <f t="shared" si="114"/>
        <v>0</v>
      </c>
      <c r="EZ37" s="375">
        <v>1</v>
      </c>
      <c r="FA37" s="375">
        <f t="shared" si="115"/>
        <v>1</v>
      </c>
      <c r="FB37" s="375">
        <f t="shared" si="202"/>
        <v>4.5</v>
      </c>
      <c r="FC37" s="376">
        <f t="shared" si="117"/>
        <v>61.5</v>
      </c>
      <c r="FD37" s="373">
        <f t="shared" si="118"/>
        <v>29.070908854166664</v>
      </c>
      <c r="FE37" s="374" t="str">
        <f t="shared" si="203"/>
        <v>(2.70)</v>
      </c>
      <c r="FF37" s="375">
        <v>2</v>
      </c>
      <c r="FG37" s="375">
        <f t="shared" si="120"/>
        <v>3.5</v>
      </c>
      <c r="FH37" s="375">
        <v>1</v>
      </c>
      <c r="FI37" s="375">
        <f t="shared" si="121"/>
        <v>1.125</v>
      </c>
      <c r="FJ37" s="375">
        <v>0</v>
      </c>
      <c r="FK37" s="375">
        <f t="shared" si="122"/>
        <v>0</v>
      </c>
      <c r="FL37" s="375">
        <f t="shared" si="204"/>
        <v>4.625</v>
      </c>
      <c r="FM37" s="376">
        <f t="shared" si="124"/>
        <v>67.375</v>
      </c>
      <c r="FN37" s="31"/>
      <c r="FO37" s="31"/>
      <c r="FP37" s="32"/>
      <c r="FQ37" s="32"/>
      <c r="FR37" s="32"/>
      <c r="FS37" s="32"/>
      <c r="FT37" s="32"/>
      <c r="FU37" s="32"/>
      <c r="FV37" s="32"/>
      <c r="FW37" s="32"/>
      <c r="FX37" s="31"/>
      <c r="FY37" s="31"/>
      <c r="FZ37" s="32"/>
      <c r="GA37" s="32"/>
      <c r="GB37" s="32"/>
      <c r="GC37" s="32"/>
      <c r="GD37" s="32"/>
      <c r="GE37" s="32"/>
      <c r="GF37" s="32"/>
      <c r="GG37" s="32"/>
      <c r="GH37" s="31"/>
      <c r="GI37" s="31"/>
      <c r="GJ37" s="32"/>
      <c r="GK37" s="32"/>
      <c r="GL37" s="32"/>
      <c r="GM37" s="32"/>
      <c r="GN37" s="32"/>
      <c r="GO37" s="32"/>
      <c r="GP37" s="32"/>
      <c r="GQ37" s="32"/>
      <c r="GR37" s="31"/>
      <c r="GS37" s="31"/>
      <c r="GT37" s="32"/>
      <c r="GU37" s="32"/>
      <c r="GV37" s="32"/>
      <c r="GW37" s="32"/>
      <c r="GX37" s="32"/>
      <c r="GY37" s="32"/>
      <c r="GZ37" s="32"/>
      <c r="HA37" s="32"/>
      <c r="HB37" s="31"/>
      <c r="HC37" s="31"/>
      <c r="HD37" s="32"/>
      <c r="HE37" s="32"/>
      <c r="HF37" s="32"/>
      <c r="HG37" s="32"/>
      <c r="HH37" s="32"/>
      <c r="HI37" s="32"/>
      <c r="HJ37" s="32"/>
      <c r="HK37" s="32"/>
      <c r="HL37" s="31"/>
      <c r="HM37" s="31"/>
      <c r="HN37" s="32"/>
      <c r="HO37" s="32"/>
      <c r="HP37" s="32"/>
      <c r="HQ37" s="32"/>
      <c r="HR37" s="32"/>
      <c r="HS37" s="32"/>
      <c r="HT37" s="32"/>
      <c r="HU37" s="32"/>
      <c r="HV37" s="31"/>
      <c r="HW37" s="31"/>
      <c r="HX37" s="32"/>
      <c r="HY37" s="32"/>
      <c r="HZ37" s="32"/>
      <c r="IA37" s="32"/>
      <c r="IB37" s="32"/>
      <c r="IC37" s="32"/>
      <c r="ID37" s="32"/>
      <c r="IE37" s="32"/>
      <c r="IF37" s="31"/>
      <c r="IG37" s="31"/>
      <c r="IH37" s="32"/>
      <c r="II37" s="32"/>
      <c r="IJ37" s="32"/>
      <c r="IK37" s="32"/>
      <c r="IL37" s="32"/>
      <c r="IM37" s="32"/>
      <c r="IN37" s="33"/>
      <c r="IO37" s="33"/>
      <c r="IP37" s="33"/>
      <c r="IQ37" s="25">
        <v>20</v>
      </c>
      <c r="IR37" s="26">
        <v>3.1160000000000001</v>
      </c>
      <c r="IS37" s="26">
        <v>3.0659999999999998</v>
      </c>
      <c r="IT37" s="26">
        <v>0.76300000000000001</v>
      </c>
      <c r="IU37" s="26">
        <v>1.75</v>
      </c>
      <c r="IV37" s="26">
        <v>1</v>
      </c>
      <c r="IW37" s="26">
        <v>1.125</v>
      </c>
      <c r="IX37" s="8"/>
    </row>
    <row r="38" spans="1:258" ht="15.75" thickBot="1" x14ac:dyDescent="0.3">
      <c r="B38" s="103">
        <f t="shared" si="39"/>
        <v>120</v>
      </c>
      <c r="C38" s="221">
        <v>21</v>
      </c>
      <c r="D38" s="98">
        <f t="shared" si="0"/>
        <v>0.30115937500000001</v>
      </c>
      <c r="E38" s="96">
        <f t="shared" si="1"/>
        <v>0.46542812500000003</v>
      </c>
      <c r="F38" s="96">
        <f t="shared" si="2"/>
        <v>0.52931041666666667</v>
      </c>
      <c r="G38" s="96">
        <f t="shared" si="3"/>
        <v>0.56125156250000008</v>
      </c>
      <c r="H38" s="96">
        <f t="shared" si="4"/>
        <v>0.58041625000000008</v>
      </c>
      <c r="I38" s="96">
        <f t="shared" si="5"/>
        <v>0.59319270833333337</v>
      </c>
      <c r="J38" s="96">
        <f t="shared" si="6"/>
        <v>0.60231875000000012</v>
      </c>
      <c r="K38" s="96">
        <f t="shared" si="7"/>
        <v>0.60916328125000008</v>
      </c>
      <c r="L38" s="96">
        <f t="shared" si="8"/>
        <v>0.60231875000000001</v>
      </c>
      <c r="M38" s="96">
        <f t="shared" si="9"/>
        <v>0.607794375</v>
      </c>
      <c r="N38" s="96">
        <f t="shared" si="10"/>
        <v>0.61227443181818186</v>
      </c>
      <c r="O38" s="96">
        <f t="shared" si="11"/>
        <v>0.61486705729166669</v>
      </c>
      <c r="P38" s="238"/>
      <c r="Q38" s="238"/>
      <c r="R38" s="238"/>
      <c r="S38" s="238"/>
      <c r="T38" s="238"/>
      <c r="U38" s="238"/>
      <c r="V38" s="238"/>
      <c r="W38" s="238"/>
      <c r="X38" s="64"/>
      <c r="Y38" s="65"/>
      <c r="AT38" s="4"/>
      <c r="AU38" s="27">
        <f t="shared" si="220"/>
        <v>102</v>
      </c>
      <c r="AV38" s="28" t="str">
        <f t="shared" si="40"/>
        <v>(2600)</v>
      </c>
      <c r="AW38" s="19">
        <f t="shared" si="221"/>
        <v>23</v>
      </c>
      <c r="AX38" s="20">
        <f t="shared" si="41"/>
        <v>2.5431770833333331</v>
      </c>
      <c r="AY38" s="21" t="str">
        <f t="shared" si="222"/>
        <v>(0.24)</v>
      </c>
      <c r="AZ38" s="22">
        <v>2</v>
      </c>
      <c r="BA38" s="22">
        <f t="shared" si="43"/>
        <v>3.5</v>
      </c>
      <c r="BB38" s="22">
        <v>0</v>
      </c>
      <c r="BC38" s="22">
        <f t="shared" si="44"/>
        <v>0</v>
      </c>
      <c r="BD38" s="22">
        <v>0</v>
      </c>
      <c r="BE38" s="22">
        <f t="shared" si="45"/>
        <v>0</v>
      </c>
      <c r="BF38" s="22">
        <f t="shared" si="188"/>
        <v>3.5</v>
      </c>
      <c r="BG38" s="23">
        <f t="shared" si="47"/>
        <v>5.5</v>
      </c>
      <c r="BH38" s="373">
        <f t="shared" si="48"/>
        <v>3.9303645833333332</v>
      </c>
      <c r="BI38" s="374" t="str">
        <f t="shared" si="189"/>
        <v>(0.37)</v>
      </c>
      <c r="BJ38" s="375">
        <v>2</v>
      </c>
      <c r="BK38" s="375">
        <f t="shared" si="50"/>
        <v>3.5</v>
      </c>
      <c r="BL38" s="375">
        <v>0</v>
      </c>
      <c r="BM38" s="375">
        <f t="shared" si="51"/>
        <v>0</v>
      </c>
      <c r="BN38" s="375">
        <v>0</v>
      </c>
      <c r="BO38" s="375">
        <f t="shared" si="52"/>
        <v>0</v>
      </c>
      <c r="BP38" s="375">
        <f t="shared" si="190"/>
        <v>3.5</v>
      </c>
      <c r="BQ38" s="376">
        <f t="shared" si="54"/>
        <v>8.5</v>
      </c>
      <c r="BR38" s="373">
        <f t="shared" si="55"/>
        <v>6.7047395833333328</v>
      </c>
      <c r="BS38" s="374" t="str">
        <f t="shared" si="181"/>
        <v>(0.62)</v>
      </c>
      <c r="BT38" s="375">
        <v>2</v>
      </c>
      <c r="BU38" s="375">
        <f t="shared" si="57"/>
        <v>3.5</v>
      </c>
      <c r="BV38" s="375">
        <v>0</v>
      </c>
      <c r="BW38" s="375">
        <f t="shared" si="58"/>
        <v>0</v>
      </c>
      <c r="BX38" s="375">
        <v>0</v>
      </c>
      <c r="BY38" s="375">
        <f t="shared" si="59"/>
        <v>0</v>
      </c>
      <c r="BZ38" s="375">
        <f t="shared" si="191"/>
        <v>3.5</v>
      </c>
      <c r="CA38" s="376">
        <f t="shared" si="61"/>
        <v>14.5</v>
      </c>
      <c r="CB38" s="373">
        <f t="shared" si="62"/>
        <v>9.4791145833333328</v>
      </c>
      <c r="CC38" s="374" t="str">
        <f t="shared" si="182"/>
        <v>(0.88)</v>
      </c>
      <c r="CD38" s="375">
        <v>2</v>
      </c>
      <c r="CE38" s="375">
        <f t="shared" si="64"/>
        <v>3.5</v>
      </c>
      <c r="CF38" s="375">
        <v>0</v>
      </c>
      <c r="CG38" s="375">
        <f t="shared" si="65"/>
        <v>0</v>
      </c>
      <c r="CH38" s="375">
        <v>0</v>
      </c>
      <c r="CI38" s="375">
        <f t="shared" si="66"/>
        <v>0</v>
      </c>
      <c r="CJ38" s="375">
        <f t="shared" si="192"/>
        <v>3.5</v>
      </c>
      <c r="CK38" s="376">
        <f t="shared" si="68"/>
        <v>20.5</v>
      </c>
      <c r="CL38" s="373">
        <f t="shared" si="69"/>
        <v>12.253489583333332</v>
      </c>
      <c r="CM38" s="374" t="str">
        <f t="shared" si="183"/>
        <v>(1.14)</v>
      </c>
      <c r="CN38" s="375">
        <v>2</v>
      </c>
      <c r="CO38" s="375">
        <f t="shared" si="71"/>
        <v>3.5</v>
      </c>
      <c r="CP38" s="375">
        <v>0</v>
      </c>
      <c r="CQ38" s="375">
        <f t="shared" si="72"/>
        <v>0</v>
      </c>
      <c r="CR38" s="375">
        <v>0</v>
      </c>
      <c r="CS38" s="375">
        <f t="shared" si="73"/>
        <v>0</v>
      </c>
      <c r="CT38" s="375">
        <f t="shared" si="193"/>
        <v>3.5</v>
      </c>
      <c r="CU38" s="376">
        <f t="shared" si="75"/>
        <v>26.5</v>
      </c>
      <c r="CV38" s="373">
        <f t="shared" si="76"/>
        <v>15.027864583333333</v>
      </c>
      <c r="CW38" s="374" t="str">
        <f t="shared" si="184"/>
        <v>(1.4)</v>
      </c>
      <c r="CX38" s="375">
        <v>2</v>
      </c>
      <c r="CY38" s="375">
        <f t="shared" si="78"/>
        <v>3.5</v>
      </c>
      <c r="CZ38" s="375">
        <v>0</v>
      </c>
      <c r="DA38" s="375">
        <f t="shared" si="79"/>
        <v>0</v>
      </c>
      <c r="DB38" s="375">
        <v>0</v>
      </c>
      <c r="DC38" s="375">
        <f t="shared" si="80"/>
        <v>0</v>
      </c>
      <c r="DD38" s="375">
        <f t="shared" si="194"/>
        <v>3.5</v>
      </c>
      <c r="DE38" s="376">
        <f t="shared" si="82"/>
        <v>32.5</v>
      </c>
      <c r="DF38" s="373">
        <f t="shared" si="83"/>
        <v>17.802239583333332</v>
      </c>
      <c r="DG38" s="374" t="str">
        <f t="shared" si="185"/>
        <v>(1.65)</v>
      </c>
      <c r="DH38" s="375">
        <v>2</v>
      </c>
      <c r="DI38" s="375">
        <f t="shared" si="85"/>
        <v>3.5</v>
      </c>
      <c r="DJ38" s="375">
        <v>0</v>
      </c>
      <c r="DK38" s="375">
        <f t="shared" si="86"/>
        <v>0</v>
      </c>
      <c r="DL38" s="375">
        <v>0</v>
      </c>
      <c r="DM38" s="375">
        <f t="shared" si="87"/>
        <v>0</v>
      </c>
      <c r="DN38" s="375">
        <f t="shared" si="195"/>
        <v>3.5</v>
      </c>
      <c r="DO38" s="376">
        <f t="shared" si="89"/>
        <v>38.5</v>
      </c>
      <c r="DP38" s="373">
        <f t="shared" si="90"/>
        <v>20.576614583333331</v>
      </c>
      <c r="DQ38" s="374" t="str">
        <f t="shared" si="186"/>
        <v>(1.91)</v>
      </c>
      <c r="DR38" s="375">
        <v>2</v>
      </c>
      <c r="DS38" s="375">
        <f t="shared" si="92"/>
        <v>3.5</v>
      </c>
      <c r="DT38" s="375">
        <v>0</v>
      </c>
      <c r="DU38" s="375">
        <f t="shared" si="93"/>
        <v>0</v>
      </c>
      <c r="DV38" s="375">
        <v>0</v>
      </c>
      <c r="DW38" s="375">
        <f t="shared" si="94"/>
        <v>0</v>
      </c>
      <c r="DX38" s="375">
        <f t="shared" si="196"/>
        <v>3.5</v>
      </c>
      <c r="DY38" s="376">
        <f t="shared" si="96"/>
        <v>44.5</v>
      </c>
      <c r="DZ38" s="373">
        <f t="shared" si="97"/>
        <v>22.888593749999998</v>
      </c>
      <c r="EA38" s="374" t="str">
        <f t="shared" si="197"/>
        <v>(2.13)</v>
      </c>
      <c r="EB38" s="375">
        <v>2</v>
      </c>
      <c r="EC38" s="375">
        <f t="shared" si="99"/>
        <v>3.5</v>
      </c>
      <c r="ED38" s="375">
        <v>0</v>
      </c>
      <c r="EE38" s="375">
        <f t="shared" si="100"/>
        <v>0</v>
      </c>
      <c r="EF38" s="375">
        <v>1</v>
      </c>
      <c r="EG38" s="375">
        <f t="shared" si="101"/>
        <v>1</v>
      </c>
      <c r="EH38" s="375">
        <f t="shared" si="198"/>
        <v>4.5</v>
      </c>
      <c r="EI38" s="376">
        <f t="shared" si="103"/>
        <v>49.5</v>
      </c>
      <c r="EJ38" s="373">
        <f t="shared" si="104"/>
        <v>25.662968749999997</v>
      </c>
      <c r="EK38" s="374" t="str">
        <f t="shared" si="223"/>
        <v>(2.38)</v>
      </c>
      <c r="EL38" s="375">
        <v>2</v>
      </c>
      <c r="EM38" s="375">
        <f t="shared" si="106"/>
        <v>3.5</v>
      </c>
      <c r="EN38" s="375">
        <v>0</v>
      </c>
      <c r="EO38" s="375">
        <f t="shared" si="107"/>
        <v>0</v>
      </c>
      <c r="EP38" s="375">
        <v>1</v>
      </c>
      <c r="EQ38" s="375">
        <f t="shared" si="108"/>
        <v>1</v>
      </c>
      <c r="ER38" s="375">
        <f t="shared" si="200"/>
        <v>4.5</v>
      </c>
      <c r="ES38" s="376">
        <f t="shared" si="110"/>
        <v>55.5</v>
      </c>
      <c r="ET38" s="373">
        <f t="shared" si="111"/>
        <v>28.437343749999997</v>
      </c>
      <c r="EU38" s="374" t="str">
        <f t="shared" si="224"/>
        <v>(2.64)</v>
      </c>
      <c r="EV38" s="375">
        <v>2</v>
      </c>
      <c r="EW38" s="375">
        <f t="shared" si="113"/>
        <v>3.5</v>
      </c>
      <c r="EX38" s="375">
        <v>0</v>
      </c>
      <c r="EY38" s="375">
        <f t="shared" si="114"/>
        <v>0</v>
      </c>
      <c r="EZ38" s="375">
        <v>1</v>
      </c>
      <c r="FA38" s="375">
        <f t="shared" si="115"/>
        <v>1</v>
      </c>
      <c r="FB38" s="375">
        <f t="shared" si="202"/>
        <v>4.5</v>
      </c>
      <c r="FC38" s="376">
        <f t="shared" si="117"/>
        <v>61.5</v>
      </c>
      <c r="FD38" s="373">
        <f t="shared" si="118"/>
        <v>31.153919270833327</v>
      </c>
      <c r="FE38" s="374" t="str">
        <f t="shared" si="203"/>
        <v>(2.89)</v>
      </c>
      <c r="FF38" s="375">
        <v>2</v>
      </c>
      <c r="FG38" s="375">
        <f t="shared" si="120"/>
        <v>3.5</v>
      </c>
      <c r="FH38" s="375">
        <v>1</v>
      </c>
      <c r="FI38" s="375">
        <f t="shared" si="121"/>
        <v>1.125</v>
      </c>
      <c r="FJ38" s="375">
        <v>0</v>
      </c>
      <c r="FK38" s="375">
        <f t="shared" si="122"/>
        <v>0</v>
      </c>
      <c r="FL38" s="375">
        <f t="shared" si="204"/>
        <v>4.625</v>
      </c>
      <c r="FM38" s="376">
        <f t="shared" si="124"/>
        <v>67.375</v>
      </c>
      <c r="FN38" s="31"/>
      <c r="FO38" s="31"/>
      <c r="FP38" s="32"/>
      <c r="FQ38" s="32"/>
      <c r="FR38" s="32"/>
      <c r="FS38" s="32"/>
      <c r="FT38" s="32"/>
      <c r="FU38" s="32"/>
      <c r="FV38" s="32"/>
      <c r="FW38" s="32"/>
      <c r="FX38" s="31"/>
      <c r="FY38" s="31"/>
      <c r="FZ38" s="32"/>
      <c r="GA38" s="32"/>
      <c r="GB38" s="32"/>
      <c r="GC38" s="32"/>
      <c r="GD38" s="32"/>
      <c r="GE38" s="32"/>
      <c r="GF38" s="32"/>
      <c r="GG38" s="32"/>
      <c r="GH38" s="31"/>
      <c r="GI38" s="31"/>
      <c r="GJ38" s="32"/>
      <c r="GK38" s="32"/>
      <c r="GL38" s="32"/>
      <c r="GM38" s="32"/>
      <c r="GN38" s="32"/>
      <c r="GO38" s="32"/>
      <c r="GP38" s="32"/>
      <c r="GQ38" s="32"/>
      <c r="GR38" s="31"/>
      <c r="GS38" s="31"/>
      <c r="GT38" s="32"/>
      <c r="GU38" s="32"/>
      <c r="GV38" s="32"/>
      <c r="GW38" s="32"/>
      <c r="GX38" s="32"/>
      <c r="GY38" s="32"/>
      <c r="GZ38" s="32"/>
      <c r="HA38" s="32"/>
      <c r="HB38" s="31"/>
      <c r="HC38" s="31"/>
      <c r="HD38" s="32"/>
      <c r="HE38" s="32"/>
      <c r="HF38" s="32"/>
      <c r="HG38" s="32"/>
      <c r="HH38" s="32"/>
      <c r="HI38" s="32"/>
      <c r="HJ38" s="32"/>
      <c r="HK38" s="32"/>
      <c r="HL38" s="31"/>
      <c r="HM38" s="31"/>
      <c r="HN38" s="32"/>
      <c r="HO38" s="32"/>
      <c r="HP38" s="32"/>
      <c r="HQ38" s="32"/>
      <c r="HR38" s="32"/>
      <c r="HS38" s="32"/>
      <c r="HT38" s="32"/>
      <c r="HU38" s="32"/>
      <c r="HV38" s="31"/>
      <c r="HW38" s="31"/>
      <c r="HX38" s="32"/>
      <c r="HY38" s="32"/>
      <c r="HZ38" s="32"/>
      <c r="IA38" s="32"/>
      <c r="IB38" s="32"/>
      <c r="IC38" s="32"/>
      <c r="ID38" s="32"/>
      <c r="IE38" s="32"/>
      <c r="IF38" s="31"/>
      <c r="IG38" s="31"/>
      <c r="IH38" s="32"/>
      <c r="II38" s="32"/>
      <c r="IJ38" s="32"/>
      <c r="IK38" s="32"/>
      <c r="IL38" s="32"/>
      <c r="IM38" s="32"/>
      <c r="IN38" s="33"/>
      <c r="IO38" s="33"/>
      <c r="IP38" s="33"/>
      <c r="IQ38" s="25">
        <v>21</v>
      </c>
      <c r="IR38" s="26">
        <v>3.1160000000000001</v>
      </c>
      <c r="IS38" s="26">
        <v>3.0659999999999998</v>
      </c>
      <c r="IT38" s="26">
        <v>2.149</v>
      </c>
      <c r="IU38" s="26">
        <v>1.75</v>
      </c>
      <c r="IV38" s="26">
        <v>1</v>
      </c>
      <c r="IW38" s="26">
        <v>1.125</v>
      </c>
      <c r="IX38" s="8"/>
    </row>
    <row r="39" spans="1: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64"/>
      <c r="Y39" s="65"/>
      <c r="AT39" s="4"/>
      <c r="AU39" s="27">
        <f t="shared" si="220"/>
        <v>108</v>
      </c>
      <c r="AV39" s="28" t="str">
        <f t="shared" si="40"/>
        <v>(2750)</v>
      </c>
      <c r="AW39" s="19">
        <f t="shared" si="221"/>
        <v>24</v>
      </c>
      <c r="AX39" s="20">
        <f t="shared" si="41"/>
        <v>2.6755590277777781</v>
      </c>
      <c r="AY39" s="21" t="str">
        <f t="shared" si="222"/>
        <v>(0.25)</v>
      </c>
      <c r="AZ39" s="22">
        <v>2</v>
      </c>
      <c r="BA39" s="22">
        <f t="shared" si="43"/>
        <v>3.5</v>
      </c>
      <c r="BB39" s="22">
        <v>0</v>
      </c>
      <c r="BC39" s="22">
        <f t="shared" si="44"/>
        <v>0</v>
      </c>
      <c r="BD39" s="22">
        <v>0</v>
      </c>
      <c r="BE39" s="22">
        <f t="shared" si="45"/>
        <v>0</v>
      </c>
      <c r="BF39" s="22">
        <f t="shared" si="188"/>
        <v>3.5</v>
      </c>
      <c r="BG39" s="23">
        <f t="shared" si="47"/>
        <v>5.5</v>
      </c>
      <c r="BH39" s="373">
        <f t="shared" si="48"/>
        <v>4.1349548611111109</v>
      </c>
      <c r="BI39" s="374" t="str">
        <f t="shared" si="189"/>
        <v>(0.38)</v>
      </c>
      <c r="BJ39" s="375">
        <v>2</v>
      </c>
      <c r="BK39" s="375">
        <f t="shared" si="50"/>
        <v>3.5</v>
      </c>
      <c r="BL39" s="375">
        <v>0</v>
      </c>
      <c r="BM39" s="375">
        <f t="shared" si="51"/>
        <v>0</v>
      </c>
      <c r="BN39" s="375">
        <v>0</v>
      </c>
      <c r="BO39" s="375">
        <f t="shared" si="52"/>
        <v>0</v>
      </c>
      <c r="BP39" s="375">
        <f t="shared" si="190"/>
        <v>3.5</v>
      </c>
      <c r="BQ39" s="376">
        <f t="shared" si="54"/>
        <v>8.5</v>
      </c>
      <c r="BR39" s="373">
        <f t="shared" si="55"/>
        <v>7.0537465277777782</v>
      </c>
      <c r="BS39" s="374" t="str">
        <f t="shared" si="181"/>
        <v>(0.66)</v>
      </c>
      <c r="BT39" s="375">
        <v>2</v>
      </c>
      <c r="BU39" s="375">
        <f t="shared" si="57"/>
        <v>3.5</v>
      </c>
      <c r="BV39" s="375">
        <v>0</v>
      </c>
      <c r="BW39" s="375">
        <f t="shared" si="58"/>
        <v>0</v>
      </c>
      <c r="BX39" s="375">
        <v>0</v>
      </c>
      <c r="BY39" s="375">
        <f t="shared" si="59"/>
        <v>0</v>
      </c>
      <c r="BZ39" s="375">
        <f t="shared" si="191"/>
        <v>3.5</v>
      </c>
      <c r="CA39" s="376">
        <f t="shared" si="61"/>
        <v>14.5</v>
      </c>
      <c r="CB39" s="373">
        <f t="shared" si="62"/>
        <v>9.9725381944444447</v>
      </c>
      <c r="CC39" s="374" t="str">
        <f t="shared" si="182"/>
        <v>(0.93)</v>
      </c>
      <c r="CD39" s="375">
        <v>2</v>
      </c>
      <c r="CE39" s="375">
        <f t="shared" si="64"/>
        <v>3.5</v>
      </c>
      <c r="CF39" s="375">
        <v>0</v>
      </c>
      <c r="CG39" s="375">
        <f t="shared" si="65"/>
        <v>0</v>
      </c>
      <c r="CH39" s="375">
        <v>0</v>
      </c>
      <c r="CI39" s="375">
        <f t="shared" si="66"/>
        <v>0</v>
      </c>
      <c r="CJ39" s="375">
        <f t="shared" si="192"/>
        <v>3.5</v>
      </c>
      <c r="CK39" s="376">
        <f t="shared" si="68"/>
        <v>20.5</v>
      </c>
      <c r="CL39" s="373">
        <f t="shared" si="69"/>
        <v>12.89132986111111</v>
      </c>
      <c r="CM39" s="374" t="str">
        <f t="shared" si="183"/>
        <v>(1.2)</v>
      </c>
      <c r="CN39" s="375">
        <v>2</v>
      </c>
      <c r="CO39" s="375">
        <f t="shared" si="71"/>
        <v>3.5</v>
      </c>
      <c r="CP39" s="375">
        <v>0</v>
      </c>
      <c r="CQ39" s="375">
        <f t="shared" si="72"/>
        <v>0</v>
      </c>
      <c r="CR39" s="375">
        <v>0</v>
      </c>
      <c r="CS39" s="375">
        <f t="shared" si="73"/>
        <v>0</v>
      </c>
      <c r="CT39" s="375">
        <f t="shared" si="193"/>
        <v>3.5</v>
      </c>
      <c r="CU39" s="376">
        <f t="shared" si="75"/>
        <v>26.5</v>
      </c>
      <c r="CV39" s="373">
        <f t="shared" si="76"/>
        <v>15.810121527777779</v>
      </c>
      <c r="CW39" s="374" t="str">
        <f t="shared" si="184"/>
        <v>(1.47)</v>
      </c>
      <c r="CX39" s="375">
        <v>2</v>
      </c>
      <c r="CY39" s="375">
        <f t="shared" si="78"/>
        <v>3.5</v>
      </c>
      <c r="CZ39" s="375">
        <v>0</v>
      </c>
      <c r="DA39" s="375">
        <f t="shared" si="79"/>
        <v>0</v>
      </c>
      <c r="DB39" s="375">
        <v>0</v>
      </c>
      <c r="DC39" s="375">
        <f t="shared" si="80"/>
        <v>0</v>
      </c>
      <c r="DD39" s="375">
        <f t="shared" si="194"/>
        <v>3.5</v>
      </c>
      <c r="DE39" s="376">
        <f t="shared" si="82"/>
        <v>32.5</v>
      </c>
      <c r="DF39" s="373">
        <f t="shared" si="83"/>
        <v>18.728913194444445</v>
      </c>
      <c r="DG39" s="374" t="str">
        <f t="shared" si="185"/>
        <v>(1.74)</v>
      </c>
      <c r="DH39" s="375">
        <v>2</v>
      </c>
      <c r="DI39" s="375">
        <f t="shared" si="85"/>
        <v>3.5</v>
      </c>
      <c r="DJ39" s="375">
        <v>0</v>
      </c>
      <c r="DK39" s="375">
        <f t="shared" si="86"/>
        <v>0</v>
      </c>
      <c r="DL39" s="375">
        <v>0</v>
      </c>
      <c r="DM39" s="375">
        <f t="shared" si="87"/>
        <v>0</v>
      </c>
      <c r="DN39" s="375">
        <f t="shared" si="195"/>
        <v>3.5</v>
      </c>
      <c r="DO39" s="376">
        <f t="shared" si="89"/>
        <v>38.5</v>
      </c>
      <c r="DP39" s="373">
        <f t="shared" si="90"/>
        <v>21.647704861111109</v>
      </c>
      <c r="DQ39" s="374" t="str">
        <f t="shared" si="186"/>
        <v>(2.01)</v>
      </c>
      <c r="DR39" s="375">
        <v>2</v>
      </c>
      <c r="DS39" s="375">
        <f t="shared" si="92"/>
        <v>3.5</v>
      </c>
      <c r="DT39" s="375">
        <v>0</v>
      </c>
      <c r="DU39" s="375">
        <f t="shared" si="93"/>
        <v>0</v>
      </c>
      <c r="DV39" s="375">
        <v>0</v>
      </c>
      <c r="DW39" s="375">
        <f t="shared" si="94"/>
        <v>0</v>
      </c>
      <c r="DX39" s="375">
        <f t="shared" si="196"/>
        <v>3.5</v>
      </c>
      <c r="DY39" s="376">
        <f t="shared" si="96"/>
        <v>44.5</v>
      </c>
      <c r="DZ39" s="373">
        <f t="shared" si="97"/>
        <v>24.080031250000001</v>
      </c>
      <c r="EA39" s="374" t="str">
        <f t="shared" si="197"/>
        <v>(2.24)</v>
      </c>
      <c r="EB39" s="375">
        <v>2</v>
      </c>
      <c r="EC39" s="375">
        <f t="shared" si="99"/>
        <v>3.5</v>
      </c>
      <c r="ED39" s="375">
        <v>0</v>
      </c>
      <c r="EE39" s="375">
        <f t="shared" si="100"/>
        <v>0</v>
      </c>
      <c r="EF39" s="375">
        <v>1</v>
      </c>
      <c r="EG39" s="375">
        <f t="shared" si="101"/>
        <v>1</v>
      </c>
      <c r="EH39" s="375">
        <f t="shared" si="198"/>
        <v>4.5</v>
      </c>
      <c r="EI39" s="376">
        <f t="shared" si="103"/>
        <v>49.5</v>
      </c>
      <c r="EJ39" s="373">
        <f t="shared" si="104"/>
        <v>26.998822916666668</v>
      </c>
      <c r="EK39" s="374" t="str">
        <f t="shared" si="223"/>
        <v>(2.51)</v>
      </c>
      <c r="EL39" s="375">
        <v>2</v>
      </c>
      <c r="EM39" s="375">
        <f t="shared" si="106"/>
        <v>3.5</v>
      </c>
      <c r="EN39" s="375">
        <v>0</v>
      </c>
      <c r="EO39" s="375">
        <f t="shared" si="107"/>
        <v>0</v>
      </c>
      <c r="EP39" s="375">
        <v>1</v>
      </c>
      <c r="EQ39" s="375">
        <f t="shared" si="108"/>
        <v>1</v>
      </c>
      <c r="ER39" s="375">
        <f t="shared" si="200"/>
        <v>4.5</v>
      </c>
      <c r="ES39" s="376">
        <f t="shared" si="110"/>
        <v>55.5</v>
      </c>
      <c r="ET39" s="373">
        <f t="shared" si="111"/>
        <v>29.917614583333336</v>
      </c>
      <c r="EU39" s="374" t="str">
        <f t="shared" si="224"/>
        <v>(2.78)</v>
      </c>
      <c r="EV39" s="375">
        <v>2</v>
      </c>
      <c r="EW39" s="375">
        <f t="shared" si="113"/>
        <v>3.5</v>
      </c>
      <c r="EX39" s="375">
        <v>0</v>
      </c>
      <c r="EY39" s="375">
        <f t="shared" si="114"/>
        <v>0</v>
      </c>
      <c r="EZ39" s="375">
        <v>1</v>
      </c>
      <c r="FA39" s="375">
        <f t="shared" si="115"/>
        <v>1</v>
      </c>
      <c r="FB39" s="375">
        <f t="shared" si="202"/>
        <v>4.5</v>
      </c>
      <c r="FC39" s="376">
        <f t="shared" si="117"/>
        <v>61.5</v>
      </c>
      <c r="FD39" s="373">
        <f t="shared" si="118"/>
        <v>32.775598090277782</v>
      </c>
      <c r="FE39" s="374" t="str">
        <f t="shared" si="203"/>
        <v>(3.04)</v>
      </c>
      <c r="FF39" s="375">
        <v>2</v>
      </c>
      <c r="FG39" s="375">
        <f t="shared" si="120"/>
        <v>3.5</v>
      </c>
      <c r="FH39" s="375">
        <v>1</v>
      </c>
      <c r="FI39" s="375">
        <f t="shared" si="121"/>
        <v>1.125</v>
      </c>
      <c r="FJ39" s="375">
        <v>0</v>
      </c>
      <c r="FK39" s="375">
        <f t="shared" si="122"/>
        <v>0</v>
      </c>
      <c r="FL39" s="375">
        <f t="shared" si="204"/>
        <v>4.625</v>
      </c>
      <c r="FM39" s="376">
        <f t="shared" si="124"/>
        <v>67.375</v>
      </c>
      <c r="FN39" s="31"/>
      <c r="FO39" s="31"/>
      <c r="FP39" s="32"/>
      <c r="FQ39" s="32"/>
      <c r="FR39" s="32"/>
      <c r="FS39" s="32"/>
      <c r="FT39" s="32"/>
      <c r="FU39" s="32"/>
      <c r="FV39" s="32"/>
      <c r="FW39" s="32"/>
      <c r="FX39" s="31"/>
      <c r="FY39" s="31"/>
      <c r="FZ39" s="32"/>
      <c r="GA39" s="32"/>
      <c r="GB39" s="32"/>
      <c r="GC39" s="32"/>
      <c r="GD39" s="32"/>
      <c r="GE39" s="32"/>
      <c r="GF39" s="32"/>
      <c r="GG39" s="32"/>
      <c r="GH39" s="31"/>
      <c r="GI39" s="31"/>
      <c r="GJ39" s="32"/>
      <c r="GK39" s="32"/>
      <c r="GL39" s="32"/>
      <c r="GM39" s="32"/>
      <c r="GN39" s="32"/>
      <c r="GO39" s="32"/>
      <c r="GP39" s="32"/>
      <c r="GQ39" s="32"/>
      <c r="GR39" s="31"/>
      <c r="GS39" s="31"/>
      <c r="GT39" s="32"/>
      <c r="GU39" s="32"/>
      <c r="GV39" s="32"/>
      <c r="GW39" s="32"/>
      <c r="GX39" s="32"/>
      <c r="GY39" s="32"/>
      <c r="GZ39" s="32"/>
      <c r="HA39" s="32"/>
      <c r="HB39" s="31"/>
      <c r="HC39" s="31"/>
      <c r="HD39" s="32"/>
      <c r="HE39" s="32"/>
      <c r="HF39" s="32"/>
      <c r="HG39" s="32"/>
      <c r="HH39" s="32"/>
      <c r="HI39" s="32"/>
      <c r="HJ39" s="32"/>
      <c r="HK39" s="32"/>
      <c r="HL39" s="31"/>
      <c r="HM39" s="31"/>
      <c r="HN39" s="32"/>
      <c r="HO39" s="32"/>
      <c r="HP39" s="32"/>
      <c r="HQ39" s="32"/>
      <c r="HR39" s="32"/>
      <c r="HS39" s="32"/>
      <c r="HT39" s="32"/>
      <c r="HU39" s="32"/>
      <c r="HV39" s="31"/>
      <c r="HW39" s="31"/>
      <c r="HX39" s="32"/>
      <c r="HY39" s="32"/>
      <c r="HZ39" s="32"/>
      <c r="IA39" s="32"/>
      <c r="IB39" s="32"/>
      <c r="IC39" s="32"/>
      <c r="ID39" s="32"/>
      <c r="IE39" s="32"/>
      <c r="IF39" s="31"/>
      <c r="IG39" s="31"/>
      <c r="IH39" s="32"/>
      <c r="II39" s="32"/>
      <c r="IJ39" s="32"/>
      <c r="IK39" s="32"/>
      <c r="IL39" s="32"/>
      <c r="IM39" s="32"/>
      <c r="IN39" s="33"/>
      <c r="IO39" s="33"/>
      <c r="IP39" s="33"/>
      <c r="IQ39" s="25">
        <v>22</v>
      </c>
      <c r="IR39" s="26">
        <v>3.1160000000000001</v>
      </c>
      <c r="IS39" s="26">
        <v>3.0659999999999998</v>
      </c>
      <c r="IT39" s="26">
        <v>2.5489999999999999</v>
      </c>
      <c r="IU39" s="26">
        <v>1.75</v>
      </c>
      <c r="IV39" s="26">
        <v>1</v>
      </c>
      <c r="IW39" s="26">
        <v>1.125</v>
      </c>
      <c r="IX39" s="8"/>
    </row>
    <row r="40" spans="1: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64"/>
      <c r="Y40" s="65"/>
      <c r="AT40" s="4"/>
      <c r="AU40" s="27">
        <f t="shared" si="220"/>
        <v>114</v>
      </c>
      <c r="AV40" s="28" t="str">
        <f t="shared" si="40"/>
        <v>(2900)</v>
      </c>
      <c r="AW40" s="19">
        <f t="shared" si="221"/>
        <v>25</v>
      </c>
      <c r="AX40" s="20">
        <f t="shared" si="41"/>
        <v>2.8415520833333336</v>
      </c>
      <c r="AY40" s="21" t="str">
        <f t="shared" si="222"/>
        <v>(0.26)</v>
      </c>
      <c r="AZ40" s="22">
        <v>2</v>
      </c>
      <c r="BA40" s="22">
        <f t="shared" si="43"/>
        <v>3.5</v>
      </c>
      <c r="BB40" s="22">
        <v>0</v>
      </c>
      <c r="BC40" s="22">
        <f t="shared" si="44"/>
        <v>0</v>
      </c>
      <c r="BD40" s="22">
        <v>0</v>
      </c>
      <c r="BE40" s="22">
        <f t="shared" si="45"/>
        <v>0</v>
      </c>
      <c r="BF40" s="22">
        <f t="shared" si="188"/>
        <v>3.5</v>
      </c>
      <c r="BG40" s="23">
        <f t="shared" si="47"/>
        <v>5.5</v>
      </c>
      <c r="BH40" s="373">
        <f t="shared" si="48"/>
        <v>4.3914895833333336</v>
      </c>
      <c r="BI40" s="374" t="str">
        <f t="shared" si="189"/>
        <v>(0.41)</v>
      </c>
      <c r="BJ40" s="375">
        <v>2</v>
      </c>
      <c r="BK40" s="375">
        <f t="shared" si="50"/>
        <v>3.5</v>
      </c>
      <c r="BL40" s="375">
        <v>0</v>
      </c>
      <c r="BM40" s="375">
        <f t="shared" si="51"/>
        <v>0</v>
      </c>
      <c r="BN40" s="375">
        <v>0</v>
      </c>
      <c r="BO40" s="375">
        <f t="shared" si="52"/>
        <v>0</v>
      </c>
      <c r="BP40" s="375">
        <f t="shared" si="190"/>
        <v>3.5</v>
      </c>
      <c r="BQ40" s="376">
        <f t="shared" si="54"/>
        <v>8.5</v>
      </c>
      <c r="BR40" s="373">
        <f t="shared" si="55"/>
        <v>7.4913645833333344</v>
      </c>
      <c r="BS40" s="374" t="str">
        <f t="shared" si="181"/>
        <v>(0.7)</v>
      </c>
      <c r="BT40" s="375">
        <v>2</v>
      </c>
      <c r="BU40" s="375">
        <f t="shared" si="57"/>
        <v>3.5</v>
      </c>
      <c r="BV40" s="375">
        <v>0</v>
      </c>
      <c r="BW40" s="375">
        <f t="shared" si="58"/>
        <v>0</v>
      </c>
      <c r="BX40" s="375">
        <v>0</v>
      </c>
      <c r="BY40" s="375">
        <f t="shared" si="59"/>
        <v>0</v>
      </c>
      <c r="BZ40" s="375">
        <f t="shared" si="191"/>
        <v>3.5</v>
      </c>
      <c r="CA40" s="376">
        <f t="shared" si="61"/>
        <v>14.5</v>
      </c>
      <c r="CB40" s="373">
        <f t="shared" si="62"/>
        <v>10.591239583333333</v>
      </c>
      <c r="CC40" s="374" t="str">
        <f t="shared" si="182"/>
        <v>(0.98)</v>
      </c>
      <c r="CD40" s="375">
        <v>2</v>
      </c>
      <c r="CE40" s="375">
        <f t="shared" si="64"/>
        <v>3.5</v>
      </c>
      <c r="CF40" s="375">
        <v>0</v>
      </c>
      <c r="CG40" s="375">
        <f t="shared" si="65"/>
        <v>0</v>
      </c>
      <c r="CH40" s="375">
        <v>0</v>
      </c>
      <c r="CI40" s="375">
        <f t="shared" si="66"/>
        <v>0</v>
      </c>
      <c r="CJ40" s="375">
        <f t="shared" si="192"/>
        <v>3.5</v>
      </c>
      <c r="CK40" s="376">
        <f t="shared" si="68"/>
        <v>20.5</v>
      </c>
      <c r="CL40" s="373">
        <f t="shared" si="69"/>
        <v>13.691114583333334</v>
      </c>
      <c r="CM40" s="374" t="str">
        <f t="shared" si="183"/>
        <v>(1.27)</v>
      </c>
      <c r="CN40" s="375">
        <v>2</v>
      </c>
      <c r="CO40" s="375">
        <f t="shared" si="71"/>
        <v>3.5</v>
      </c>
      <c r="CP40" s="375">
        <v>0</v>
      </c>
      <c r="CQ40" s="375">
        <f t="shared" si="72"/>
        <v>0</v>
      </c>
      <c r="CR40" s="375">
        <v>0</v>
      </c>
      <c r="CS40" s="375">
        <f t="shared" si="73"/>
        <v>0</v>
      </c>
      <c r="CT40" s="375">
        <f t="shared" si="193"/>
        <v>3.5</v>
      </c>
      <c r="CU40" s="376">
        <f t="shared" si="75"/>
        <v>26.5</v>
      </c>
      <c r="CV40" s="373">
        <f t="shared" si="76"/>
        <v>16.790989583333335</v>
      </c>
      <c r="CW40" s="374" t="str">
        <f t="shared" si="184"/>
        <v>(1.56)</v>
      </c>
      <c r="CX40" s="375">
        <v>2</v>
      </c>
      <c r="CY40" s="375">
        <f t="shared" si="78"/>
        <v>3.5</v>
      </c>
      <c r="CZ40" s="375">
        <v>0</v>
      </c>
      <c r="DA40" s="375">
        <f t="shared" si="79"/>
        <v>0</v>
      </c>
      <c r="DB40" s="375">
        <v>0</v>
      </c>
      <c r="DC40" s="375">
        <f t="shared" si="80"/>
        <v>0</v>
      </c>
      <c r="DD40" s="375">
        <f t="shared" si="194"/>
        <v>3.5</v>
      </c>
      <c r="DE40" s="376">
        <f t="shared" si="82"/>
        <v>32.5</v>
      </c>
      <c r="DF40" s="373">
        <f t="shared" si="83"/>
        <v>19.890864583333336</v>
      </c>
      <c r="DG40" s="374" t="str">
        <f t="shared" si="185"/>
        <v>(1.85)</v>
      </c>
      <c r="DH40" s="375">
        <v>2</v>
      </c>
      <c r="DI40" s="375">
        <f t="shared" si="85"/>
        <v>3.5</v>
      </c>
      <c r="DJ40" s="375">
        <v>0</v>
      </c>
      <c r="DK40" s="375">
        <f t="shared" si="86"/>
        <v>0</v>
      </c>
      <c r="DL40" s="375">
        <v>0</v>
      </c>
      <c r="DM40" s="375">
        <f t="shared" si="87"/>
        <v>0</v>
      </c>
      <c r="DN40" s="375">
        <f t="shared" si="195"/>
        <v>3.5</v>
      </c>
      <c r="DO40" s="376">
        <f t="shared" si="89"/>
        <v>38.5</v>
      </c>
      <c r="DP40" s="373">
        <f t="shared" si="90"/>
        <v>22.990739583333337</v>
      </c>
      <c r="DQ40" s="374" t="str">
        <f t="shared" si="186"/>
        <v>(2.14)</v>
      </c>
      <c r="DR40" s="375">
        <v>2</v>
      </c>
      <c r="DS40" s="375">
        <f t="shared" si="92"/>
        <v>3.5</v>
      </c>
      <c r="DT40" s="375">
        <v>0</v>
      </c>
      <c r="DU40" s="375">
        <f t="shared" si="93"/>
        <v>0</v>
      </c>
      <c r="DV40" s="375">
        <v>0</v>
      </c>
      <c r="DW40" s="375">
        <f t="shared" si="94"/>
        <v>0</v>
      </c>
      <c r="DX40" s="375">
        <f t="shared" si="196"/>
        <v>3.5</v>
      </c>
      <c r="DY40" s="376">
        <f t="shared" si="96"/>
        <v>44.5</v>
      </c>
      <c r="DZ40" s="373">
        <f t="shared" si="97"/>
        <v>25.573968750000002</v>
      </c>
      <c r="EA40" s="374" t="str">
        <f t="shared" si="197"/>
        <v>(2.38)</v>
      </c>
      <c r="EB40" s="375">
        <v>2</v>
      </c>
      <c r="EC40" s="375">
        <f t="shared" si="99"/>
        <v>3.5</v>
      </c>
      <c r="ED40" s="375">
        <v>0</v>
      </c>
      <c r="EE40" s="375">
        <f t="shared" si="100"/>
        <v>0</v>
      </c>
      <c r="EF40" s="375">
        <v>1</v>
      </c>
      <c r="EG40" s="375">
        <f t="shared" si="101"/>
        <v>1</v>
      </c>
      <c r="EH40" s="375">
        <f t="shared" si="198"/>
        <v>4.5</v>
      </c>
      <c r="EI40" s="376">
        <f t="shared" si="103"/>
        <v>49.5</v>
      </c>
      <c r="EJ40" s="373">
        <f t="shared" si="104"/>
        <v>28.673843750000003</v>
      </c>
      <c r="EK40" s="374" t="str">
        <f t="shared" si="223"/>
        <v>(2.66)</v>
      </c>
      <c r="EL40" s="375">
        <v>2</v>
      </c>
      <c r="EM40" s="375">
        <f t="shared" si="106"/>
        <v>3.5</v>
      </c>
      <c r="EN40" s="375">
        <v>0</v>
      </c>
      <c r="EO40" s="375">
        <f t="shared" si="107"/>
        <v>0</v>
      </c>
      <c r="EP40" s="375">
        <v>1</v>
      </c>
      <c r="EQ40" s="375">
        <f t="shared" si="108"/>
        <v>1</v>
      </c>
      <c r="ER40" s="375">
        <f t="shared" si="200"/>
        <v>4.5</v>
      </c>
      <c r="ES40" s="376">
        <f t="shared" si="110"/>
        <v>55.5</v>
      </c>
      <c r="ET40" s="373">
        <f t="shared" si="111"/>
        <v>31.77371875</v>
      </c>
      <c r="EU40" s="374" t="str">
        <f t="shared" si="224"/>
        <v>(2.95)</v>
      </c>
      <c r="EV40" s="375">
        <v>2</v>
      </c>
      <c r="EW40" s="375">
        <f t="shared" si="113"/>
        <v>3.5</v>
      </c>
      <c r="EX40" s="375">
        <v>0</v>
      </c>
      <c r="EY40" s="375">
        <f t="shared" si="114"/>
        <v>0</v>
      </c>
      <c r="EZ40" s="375">
        <v>1</v>
      </c>
      <c r="FA40" s="375">
        <f t="shared" si="115"/>
        <v>1</v>
      </c>
      <c r="FB40" s="375">
        <f t="shared" si="202"/>
        <v>4.5</v>
      </c>
      <c r="FC40" s="376">
        <f t="shared" si="117"/>
        <v>61.5</v>
      </c>
      <c r="FD40" s="373">
        <f t="shared" si="118"/>
        <v>34.809013020833333</v>
      </c>
      <c r="FE40" s="374" t="str">
        <f t="shared" si="203"/>
        <v>(3.23)</v>
      </c>
      <c r="FF40" s="375">
        <v>2</v>
      </c>
      <c r="FG40" s="375">
        <f t="shared" si="120"/>
        <v>3.5</v>
      </c>
      <c r="FH40" s="375">
        <v>1</v>
      </c>
      <c r="FI40" s="375">
        <f t="shared" si="121"/>
        <v>1.125</v>
      </c>
      <c r="FJ40" s="375">
        <v>0</v>
      </c>
      <c r="FK40" s="375">
        <f t="shared" si="122"/>
        <v>0</v>
      </c>
      <c r="FL40" s="375">
        <f t="shared" si="204"/>
        <v>4.625</v>
      </c>
      <c r="FM40" s="376">
        <f t="shared" si="124"/>
        <v>67.375</v>
      </c>
      <c r="FN40" s="31"/>
      <c r="FO40" s="31"/>
      <c r="FP40" s="32"/>
      <c r="FQ40" s="32"/>
      <c r="FR40" s="32"/>
      <c r="FS40" s="32"/>
      <c r="FT40" s="32"/>
      <c r="FU40" s="32"/>
      <c r="FV40" s="32"/>
      <c r="FW40" s="32"/>
      <c r="FX40" s="31"/>
      <c r="FY40" s="31"/>
      <c r="FZ40" s="32"/>
      <c r="GA40" s="32"/>
      <c r="GB40" s="32"/>
      <c r="GC40" s="32"/>
      <c r="GD40" s="32"/>
      <c r="GE40" s="32"/>
      <c r="GF40" s="32"/>
      <c r="GG40" s="32"/>
      <c r="GH40" s="31"/>
      <c r="GI40" s="31"/>
      <c r="GJ40" s="32"/>
      <c r="GK40" s="32"/>
      <c r="GL40" s="32"/>
      <c r="GM40" s="32"/>
      <c r="GN40" s="32"/>
      <c r="GO40" s="32"/>
      <c r="GP40" s="32"/>
      <c r="GQ40" s="32"/>
      <c r="GR40" s="31"/>
      <c r="GS40" s="31"/>
      <c r="GT40" s="32"/>
      <c r="GU40" s="32"/>
      <c r="GV40" s="32"/>
      <c r="GW40" s="32"/>
      <c r="GX40" s="32"/>
      <c r="GY40" s="32"/>
      <c r="GZ40" s="32"/>
      <c r="HA40" s="32"/>
      <c r="HB40" s="31"/>
      <c r="HC40" s="31"/>
      <c r="HD40" s="32"/>
      <c r="HE40" s="32"/>
      <c r="HF40" s="32"/>
      <c r="HG40" s="32"/>
      <c r="HH40" s="32"/>
      <c r="HI40" s="32"/>
      <c r="HJ40" s="32"/>
      <c r="HK40" s="32"/>
      <c r="HL40" s="31"/>
      <c r="HM40" s="31"/>
      <c r="HN40" s="32"/>
      <c r="HO40" s="32"/>
      <c r="HP40" s="32"/>
      <c r="HQ40" s="32"/>
      <c r="HR40" s="32"/>
      <c r="HS40" s="32"/>
      <c r="HT40" s="32"/>
      <c r="HU40" s="32"/>
      <c r="HV40" s="31"/>
      <c r="HW40" s="31"/>
      <c r="HX40" s="32"/>
      <c r="HY40" s="32"/>
      <c r="HZ40" s="32"/>
      <c r="IA40" s="32"/>
      <c r="IB40" s="32"/>
      <c r="IC40" s="32"/>
      <c r="ID40" s="32"/>
      <c r="IE40" s="32"/>
      <c r="IF40" s="31"/>
      <c r="IG40" s="31"/>
      <c r="IH40" s="32"/>
      <c r="II40" s="32"/>
      <c r="IJ40" s="32"/>
      <c r="IK40" s="32"/>
      <c r="IL40" s="32"/>
      <c r="IM40" s="32"/>
      <c r="IN40" s="33"/>
      <c r="IO40" s="33"/>
      <c r="IP40" s="33"/>
      <c r="IQ40" s="25">
        <v>24</v>
      </c>
      <c r="IR40" s="26">
        <v>3.1160000000000001</v>
      </c>
      <c r="IS40" s="26">
        <v>3.0659999999999998</v>
      </c>
      <c r="IT40" s="26">
        <v>0.76300000000000001</v>
      </c>
      <c r="IU40" s="26">
        <v>1.75</v>
      </c>
      <c r="IV40" s="26">
        <v>1</v>
      </c>
      <c r="IW40" s="26">
        <v>1.125</v>
      </c>
      <c r="IX40" s="8"/>
    </row>
    <row r="41" spans="1: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220"/>
        <v>120</v>
      </c>
      <c r="AV41" s="28" t="str">
        <f t="shared" si="40"/>
        <v>(3050)</v>
      </c>
      <c r="AW41" s="19">
        <f t="shared" si="221"/>
        <v>26</v>
      </c>
      <c r="AX41" s="20">
        <f t="shared" si="41"/>
        <v>3.0115937500000003</v>
      </c>
      <c r="AY41" s="29" t="str">
        <f>"("&amp;FIXED(AX41*0.092903,2)&amp;")"</f>
        <v>(0.28)</v>
      </c>
      <c r="AZ41" s="22">
        <v>2</v>
      </c>
      <c r="BA41" s="22">
        <f t="shared" si="43"/>
        <v>3.5</v>
      </c>
      <c r="BB41" s="30">
        <v>0</v>
      </c>
      <c r="BC41" s="22">
        <f t="shared" si="44"/>
        <v>0</v>
      </c>
      <c r="BD41" s="30">
        <v>0</v>
      </c>
      <c r="BE41" s="22">
        <f t="shared" si="45"/>
        <v>0</v>
      </c>
      <c r="BF41" s="22">
        <f t="shared" si="188"/>
        <v>3.5</v>
      </c>
      <c r="BG41" s="23">
        <f t="shared" si="47"/>
        <v>5.5</v>
      </c>
      <c r="BH41" s="373">
        <f t="shared" si="48"/>
        <v>4.6542812500000004</v>
      </c>
      <c r="BI41" s="374" t="str">
        <f>"("&amp;FIXED(BH41*0.092903,2)&amp;")"</f>
        <v>(0.43)</v>
      </c>
      <c r="BJ41" s="375">
        <v>2</v>
      </c>
      <c r="BK41" s="375">
        <f t="shared" si="50"/>
        <v>3.5</v>
      </c>
      <c r="BL41" s="375">
        <v>0</v>
      </c>
      <c r="BM41" s="375">
        <f t="shared" si="51"/>
        <v>0</v>
      </c>
      <c r="BN41" s="375">
        <v>0</v>
      </c>
      <c r="BO41" s="375">
        <f t="shared" si="52"/>
        <v>0</v>
      </c>
      <c r="BP41" s="375">
        <f t="shared" si="190"/>
        <v>3.5</v>
      </c>
      <c r="BQ41" s="376">
        <f t="shared" si="54"/>
        <v>8.5</v>
      </c>
      <c r="BR41" s="373">
        <f t="shared" si="55"/>
        <v>7.9396562500000005</v>
      </c>
      <c r="BS41" s="374" t="str">
        <f t="shared" si="181"/>
        <v>(0.74)</v>
      </c>
      <c r="BT41" s="375">
        <v>2</v>
      </c>
      <c r="BU41" s="375">
        <f t="shared" si="57"/>
        <v>3.5</v>
      </c>
      <c r="BV41" s="375">
        <v>0</v>
      </c>
      <c r="BW41" s="375">
        <f t="shared" si="58"/>
        <v>0</v>
      </c>
      <c r="BX41" s="375">
        <v>0</v>
      </c>
      <c r="BY41" s="375">
        <f t="shared" si="59"/>
        <v>0</v>
      </c>
      <c r="BZ41" s="375">
        <f t="shared" si="191"/>
        <v>3.5</v>
      </c>
      <c r="CA41" s="376">
        <f t="shared" si="61"/>
        <v>14.5</v>
      </c>
      <c r="CB41" s="373">
        <f t="shared" si="62"/>
        <v>11.225031250000001</v>
      </c>
      <c r="CC41" s="374" t="str">
        <f t="shared" si="182"/>
        <v>(1.04)</v>
      </c>
      <c r="CD41" s="375">
        <v>2</v>
      </c>
      <c r="CE41" s="375">
        <f t="shared" si="64"/>
        <v>3.5</v>
      </c>
      <c r="CF41" s="375">
        <v>0</v>
      </c>
      <c r="CG41" s="375">
        <f t="shared" si="65"/>
        <v>0</v>
      </c>
      <c r="CH41" s="375">
        <v>0</v>
      </c>
      <c r="CI41" s="375">
        <f t="shared" si="66"/>
        <v>0</v>
      </c>
      <c r="CJ41" s="375">
        <f t="shared" si="192"/>
        <v>3.5</v>
      </c>
      <c r="CK41" s="376">
        <f t="shared" si="68"/>
        <v>20.5</v>
      </c>
      <c r="CL41" s="373">
        <f t="shared" si="69"/>
        <v>14.510406250000001</v>
      </c>
      <c r="CM41" s="374" t="str">
        <f t="shared" si="183"/>
        <v>(1.35)</v>
      </c>
      <c r="CN41" s="375">
        <v>2</v>
      </c>
      <c r="CO41" s="375">
        <f t="shared" si="71"/>
        <v>3.5</v>
      </c>
      <c r="CP41" s="375">
        <v>0</v>
      </c>
      <c r="CQ41" s="375">
        <f t="shared" si="72"/>
        <v>0</v>
      </c>
      <c r="CR41" s="375">
        <v>0</v>
      </c>
      <c r="CS41" s="375">
        <f t="shared" si="73"/>
        <v>0</v>
      </c>
      <c r="CT41" s="375">
        <f t="shared" si="193"/>
        <v>3.5</v>
      </c>
      <c r="CU41" s="376">
        <f t="shared" si="75"/>
        <v>26.5</v>
      </c>
      <c r="CV41" s="373">
        <f t="shared" si="76"/>
        <v>17.795781250000001</v>
      </c>
      <c r="CW41" s="374" t="str">
        <f t="shared" si="184"/>
        <v>(1.65)</v>
      </c>
      <c r="CX41" s="375">
        <v>2</v>
      </c>
      <c r="CY41" s="375">
        <f t="shared" si="78"/>
        <v>3.5</v>
      </c>
      <c r="CZ41" s="375">
        <v>0</v>
      </c>
      <c r="DA41" s="375">
        <f t="shared" si="79"/>
        <v>0</v>
      </c>
      <c r="DB41" s="375">
        <v>0</v>
      </c>
      <c r="DC41" s="375">
        <f t="shared" si="80"/>
        <v>0</v>
      </c>
      <c r="DD41" s="375">
        <f t="shared" si="194"/>
        <v>3.5</v>
      </c>
      <c r="DE41" s="376">
        <f t="shared" si="82"/>
        <v>32.5</v>
      </c>
      <c r="DF41" s="373">
        <f t="shared" si="83"/>
        <v>21.081156250000003</v>
      </c>
      <c r="DG41" s="374" t="str">
        <f t="shared" si="185"/>
        <v>(1.96)</v>
      </c>
      <c r="DH41" s="375">
        <v>2</v>
      </c>
      <c r="DI41" s="375">
        <f t="shared" si="85"/>
        <v>3.5</v>
      </c>
      <c r="DJ41" s="375">
        <v>0</v>
      </c>
      <c r="DK41" s="375">
        <f t="shared" si="86"/>
        <v>0</v>
      </c>
      <c r="DL41" s="375">
        <v>0</v>
      </c>
      <c r="DM41" s="375">
        <f t="shared" si="87"/>
        <v>0</v>
      </c>
      <c r="DN41" s="375">
        <f t="shared" si="195"/>
        <v>3.5</v>
      </c>
      <c r="DO41" s="376">
        <f t="shared" si="89"/>
        <v>38.5</v>
      </c>
      <c r="DP41" s="373">
        <f t="shared" si="90"/>
        <v>24.366531250000001</v>
      </c>
      <c r="DQ41" s="374" t="str">
        <f t="shared" si="186"/>
        <v>(2.26)</v>
      </c>
      <c r="DR41" s="375">
        <v>2</v>
      </c>
      <c r="DS41" s="375">
        <f t="shared" si="92"/>
        <v>3.5</v>
      </c>
      <c r="DT41" s="375">
        <v>0</v>
      </c>
      <c r="DU41" s="375">
        <f t="shared" si="93"/>
        <v>0</v>
      </c>
      <c r="DV41" s="375">
        <v>0</v>
      </c>
      <c r="DW41" s="375">
        <f t="shared" si="94"/>
        <v>0</v>
      </c>
      <c r="DX41" s="375">
        <f t="shared" si="196"/>
        <v>3.5</v>
      </c>
      <c r="DY41" s="376">
        <f t="shared" si="96"/>
        <v>44.5</v>
      </c>
      <c r="DZ41" s="373">
        <f t="shared" si="97"/>
        <v>27.104343750000002</v>
      </c>
      <c r="EA41" s="374" t="str">
        <f>"("&amp;FIXED(DZ41*0.092903,2)&amp;")"</f>
        <v>(2.52)</v>
      </c>
      <c r="EB41" s="375">
        <v>2</v>
      </c>
      <c r="EC41" s="375">
        <f t="shared" si="99"/>
        <v>3.5</v>
      </c>
      <c r="ED41" s="375">
        <v>0</v>
      </c>
      <c r="EE41" s="375">
        <f t="shared" si="100"/>
        <v>0</v>
      </c>
      <c r="EF41" s="375">
        <v>1</v>
      </c>
      <c r="EG41" s="375">
        <f t="shared" si="101"/>
        <v>1</v>
      </c>
      <c r="EH41" s="375">
        <f t="shared" si="198"/>
        <v>4.5</v>
      </c>
      <c r="EI41" s="376">
        <f t="shared" si="103"/>
        <v>49.5</v>
      </c>
      <c r="EJ41" s="373">
        <f t="shared" si="104"/>
        <v>30.38971875</v>
      </c>
      <c r="EK41" s="374" t="str">
        <f>"("&amp;FIXED(EJ41*0.092903,2)&amp;")"</f>
        <v>(2.82)</v>
      </c>
      <c r="EL41" s="375">
        <v>2</v>
      </c>
      <c r="EM41" s="375">
        <f t="shared" si="106"/>
        <v>3.5</v>
      </c>
      <c r="EN41" s="375">
        <v>0</v>
      </c>
      <c r="EO41" s="375">
        <f t="shared" si="107"/>
        <v>0</v>
      </c>
      <c r="EP41" s="375">
        <v>1</v>
      </c>
      <c r="EQ41" s="375">
        <f t="shared" si="108"/>
        <v>1</v>
      </c>
      <c r="ER41" s="375">
        <f t="shared" si="200"/>
        <v>4.5</v>
      </c>
      <c r="ES41" s="376">
        <f t="shared" si="110"/>
        <v>55.5</v>
      </c>
      <c r="ET41" s="373">
        <f t="shared" si="111"/>
        <v>33.675093750000002</v>
      </c>
      <c r="EU41" s="374" t="str">
        <f>"("&amp;FIXED(ET41*0.092903,2)&amp;")"</f>
        <v>(3.13)</v>
      </c>
      <c r="EV41" s="375">
        <v>2</v>
      </c>
      <c r="EW41" s="375">
        <f t="shared" si="113"/>
        <v>3.5</v>
      </c>
      <c r="EX41" s="375">
        <v>0</v>
      </c>
      <c r="EY41" s="375">
        <f t="shared" si="114"/>
        <v>0</v>
      </c>
      <c r="EZ41" s="375">
        <v>1</v>
      </c>
      <c r="FA41" s="375">
        <f t="shared" si="115"/>
        <v>1</v>
      </c>
      <c r="FB41" s="375">
        <f t="shared" si="202"/>
        <v>4.5</v>
      </c>
      <c r="FC41" s="376">
        <f t="shared" si="117"/>
        <v>61.5</v>
      </c>
      <c r="FD41" s="373">
        <f t="shared" si="118"/>
        <v>36.892023437500001</v>
      </c>
      <c r="FE41" s="374" t="str">
        <f>"("&amp;FIXED(FD41*0.092903,2)&amp;")"</f>
        <v>(3.43)</v>
      </c>
      <c r="FF41" s="375">
        <v>2</v>
      </c>
      <c r="FG41" s="375">
        <f t="shared" si="120"/>
        <v>3.5</v>
      </c>
      <c r="FH41" s="375">
        <v>1</v>
      </c>
      <c r="FI41" s="375">
        <f t="shared" si="121"/>
        <v>1.125</v>
      </c>
      <c r="FJ41" s="375">
        <v>0</v>
      </c>
      <c r="FK41" s="375">
        <f t="shared" si="122"/>
        <v>0</v>
      </c>
      <c r="FL41" s="375">
        <f t="shared" si="204"/>
        <v>4.625</v>
      </c>
      <c r="FM41" s="376">
        <f t="shared" si="124"/>
        <v>67.375</v>
      </c>
      <c r="FN41" s="31"/>
      <c r="FO41" s="31"/>
      <c r="FP41" s="32"/>
      <c r="FQ41" s="32"/>
      <c r="FR41" s="32"/>
      <c r="FS41" s="32"/>
      <c r="FT41" s="32"/>
      <c r="FU41" s="32"/>
      <c r="FV41" s="32"/>
      <c r="FW41" s="32"/>
      <c r="FX41" s="31"/>
      <c r="FY41" s="31"/>
      <c r="FZ41" s="32"/>
      <c r="GA41" s="32"/>
      <c r="GB41" s="32"/>
      <c r="GC41" s="32"/>
      <c r="GD41" s="32"/>
      <c r="GE41" s="32"/>
      <c r="GF41" s="32"/>
      <c r="GG41" s="32"/>
      <c r="GH41" s="31"/>
      <c r="GI41" s="31"/>
      <c r="GJ41" s="32"/>
      <c r="GK41" s="32"/>
      <c r="GL41" s="32"/>
      <c r="GM41" s="32"/>
      <c r="GN41" s="32"/>
      <c r="GO41" s="32"/>
      <c r="GP41" s="32"/>
      <c r="GQ41" s="32"/>
      <c r="GR41" s="31"/>
      <c r="GS41" s="31"/>
      <c r="GT41" s="32"/>
      <c r="GU41" s="32"/>
      <c r="GV41" s="32"/>
      <c r="GW41" s="32"/>
      <c r="GX41" s="32"/>
      <c r="GY41" s="32"/>
      <c r="GZ41" s="32"/>
      <c r="HA41" s="32"/>
      <c r="HB41" s="31"/>
      <c r="HC41" s="31"/>
      <c r="HD41" s="32"/>
      <c r="HE41" s="32"/>
      <c r="HF41" s="32"/>
      <c r="HG41" s="32"/>
      <c r="HH41" s="32"/>
      <c r="HI41" s="32"/>
      <c r="HJ41" s="32"/>
      <c r="HK41" s="32"/>
      <c r="HL41" s="31"/>
      <c r="HM41" s="31"/>
      <c r="HN41" s="32"/>
      <c r="HO41" s="32"/>
      <c r="HP41" s="32"/>
      <c r="HQ41" s="32"/>
      <c r="HR41" s="32"/>
      <c r="HS41" s="32"/>
      <c r="HT41" s="32"/>
      <c r="HU41" s="32"/>
      <c r="HV41" s="31"/>
      <c r="HW41" s="31"/>
      <c r="HX41" s="32"/>
      <c r="HY41" s="32"/>
      <c r="HZ41" s="32"/>
      <c r="IA41" s="32"/>
      <c r="IB41" s="32"/>
      <c r="IC41" s="32"/>
      <c r="ID41" s="32"/>
      <c r="IE41" s="32"/>
      <c r="IF41" s="31"/>
      <c r="IG41" s="31"/>
      <c r="IH41" s="32"/>
      <c r="II41" s="32"/>
      <c r="IJ41" s="34"/>
      <c r="IK41" s="32"/>
      <c r="IL41" s="32"/>
      <c r="IM41" s="32"/>
      <c r="IN41" s="33"/>
      <c r="IO41" s="33"/>
      <c r="IP41" s="33"/>
      <c r="IQ41" s="25">
        <v>25</v>
      </c>
      <c r="IR41" s="26">
        <v>3.1160000000000001</v>
      </c>
      <c r="IS41" s="26">
        <v>3.0659999999999998</v>
      </c>
      <c r="IT41" s="26">
        <v>2.149</v>
      </c>
      <c r="IU41" s="26">
        <v>1.75</v>
      </c>
      <c r="IV41" s="26">
        <v>1</v>
      </c>
      <c r="IW41" s="26">
        <v>1.125</v>
      </c>
      <c r="IX41" s="8"/>
    </row>
    <row r="42" spans="1: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38"/>
      <c r="FW42" s="38"/>
      <c r="FX42" s="37"/>
      <c r="FY42" s="38"/>
      <c r="FZ42" s="38"/>
      <c r="GA42" s="38"/>
      <c r="GB42" s="38"/>
      <c r="GC42" s="38"/>
      <c r="GD42" s="38"/>
      <c r="GE42" s="38"/>
      <c r="GF42" s="38"/>
      <c r="GG42" s="38"/>
      <c r="GH42" s="37"/>
      <c r="GI42" s="38"/>
      <c r="GJ42" s="38"/>
      <c r="GK42" s="38"/>
      <c r="GL42" s="38"/>
      <c r="GM42" s="38"/>
      <c r="GN42" s="38"/>
      <c r="GO42" s="38"/>
      <c r="GP42" s="38"/>
      <c r="GQ42" s="38"/>
      <c r="GR42" s="37"/>
      <c r="GS42" s="38"/>
      <c r="GT42" s="38"/>
      <c r="GU42" s="38"/>
      <c r="GV42" s="38"/>
      <c r="GW42" s="38"/>
      <c r="GX42" s="38"/>
      <c r="GY42" s="38"/>
      <c r="GZ42" s="38"/>
      <c r="HA42" s="38"/>
      <c r="HB42" s="37"/>
      <c r="HC42" s="38"/>
      <c r="HD42" s="38"/>
      <c r="HE42" s="38"/>
      <c r="HF42" s="38"/>
      <c r="HG42" s="38"/>
      <c r="HH42" s="38"/>
      <c r="HI42" s="38"/>
      <c r="HJ42" s="38"/>
      <c r="HK42" s="38"/>
      <c r="HL42" s="37"/>
      <c r="HM42" s="38"/>
      <c r="HN42" s="38"/>
      <c r="HO42" s="38"/>
      <c r="HP42" s="38"/>
      <c r="HQ42" s="38"/>
      <c r="HR42" s="38"/>
      <c r="HS42" s="38"/>
      <c r="HT42" s="38"/>
      <c r="HU42" s="38"/>
      <c r="HV42" s="37"/>
      <c r="HW42" s="38"/>
      <c r="HX42" s="38"/>
      <c r="HY42" s="38"/>
      <c r="HZ42" s="38"/>
      <c r="IA42" s="38"/>
      <c r="IB42" s="38"/>
      <c r="IC42" s="38"/>
      <c r="ID42" s="38"/>
      <c r="IE42" s="38"/>
      <c r="IF42" s="37"/>
      <c r="IG42" s="38"/>
      <c r="IH42" s="38"/>
      <c r="II42" s="38"/>
      <c r="IJ42" s="38"/>
      <c r="IK42" s="38"/>
      <c r="IL42" s="38"/>
      <c r="IM42" s="38"/>
      <c r="IN42" s="36"/>
      <c r="IO42" s="36"/>
      <c r="IP42" s="36"/>
      <c r="IQ42" s="36"/>
      <c r="IR42" s="36"/>
      <c r="IS42" s="36"/>
      <c r="IT42" s="36"/>
      <c r="IU42" s="36"/>
      <c r="IV42" s="36"/>
      <c r="IW42" s="36"/>
      <c r="IX42" s="39"/>
    </row>
    <row r="43" spans="1:258" ht="16.5" thickTop="1" thickBot="1" x14ac:dyDescent="0.3"/>
    <row r="44" spans="1:258" ht="24" thickBot="1" x14ac:dyDescent="0.4">
      <c r="A44" s="3"/>
      <c r="B44" s="321" t="s">
        <v>84</v>
      </c>
      <c r="C44" s="322"/>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row>
    <row r="45" spans="1:258" ht="21.75" thickBot="1" x14ac:dyDescent="0.4">
      <c r="A45" s="3"/>
      <c r="B45" s="320" t="s">
        <v>41</v>
      </c>
      <c r="C45" s="147" t="e">
        <f>C9</f>
        <v>#VALUE!</v>
      </c>
      <c r="D45" s="73"/>
      <c r="E45" s="73"/>
      <c r="F45" s="73"/>
      <c r="G45" s="73"/>
      <c r="H45" s="73"/>
      <c r="I45" s="73"/>
      <c r="J45" s="73"/>
      <c r="K45" s="73"/>
      <c r="L45" s="273"/>
      <c r="N45" s="879" t="s">
        <v>191</v>
      </c>
      <c r="O45" s="252"/>
      <c r="P45" s="95"/>
      <c r="Q45" s="253">
        <f>F11</f>
        <v>9</v>
      </c>
      <c r="R45" s="254">
        <v>12</v>
      </c>
      <c r="S45" s="254">
        <f t="shared" ref="S45:AJ45" si="231">R45+6</f>
        <v>18</v>
      </c>
      <c r="T45" s="254">
        <f t="shared" si="231"/>
        <v>24</v>
      </c>
      <c r="U45" s="254">
        <f t="shared" si="231"/>
        <v>30</v>
      </c>
      <c r="V45" s="254">
        <f t="shared" si="231"/>
        <v>36</v>
      </c>
      <c r="W45" s="254">
        <f t="shared" si="231"/>
        <v>42</v>
      </c>
      <c r="X45" s="254">
        <f t="shared" si="231"/>
        <v>48</v>
      </c>
      <c r="Y45" s="254">
        <f t="shared" si="231"/>
        <v>54</v>
      </c>
      <c r="Z45" s="254">
        <f t="shared" si="231"/>
        <v>60</v>
      </c>
      <c r="AA45" s="254">
        <f t="shared" si="231"/>
        <v>66</v>
      </c>
      <c r="AB45" s="254">
        <f t="shared" si="231"/>
        <v>72</v>
      </c>
      <c r="AC45" s="254">
        <f t="shared" si="231"/>
        <v>78</v>
      </c>
      <c r="AD45" s="254">
        <f t="shared" si="231"/>
        <v>84</v>
      </c>
      <c r="AE45" s="254">
        <f t="shared" si="231"/>
        <v>90</v>
      </c>
      <c r="AF45" s="254">
        <f t="shared" si="231"/>
        <v>96</v>
      </c>
      <c r="AG45" s="254">
        <f t="shared" si="231"/>
        <v>102</v>
      </c>
      <c r="AH45" s="254">
        <f t="shared" si="231"/>
        <v>108</v>
      </c>
      <c r="AI45" s="254">
        <f t="shared" si="231"/>
        <v>114</v>
      </c>
      <c r="AJ45" s="254">
        <f t="shared" si="231"/>
        <v>120</v>
      </c>
      <c r="AK45" s="94"/>
      <c r="AL45" s="94"/>
      <c r="AM45" s="94"/>
      <c r="AN45" s="94"/>
      <c r="AO45" s="94"/>
      <c r="AP45" s="94"/>
      <c r="AQ45" s="95"/>
      <c r="DB45" s="74"/>
    </row>
    <row r="46" spans="1:258" ht="19.5" thickBot="1" x14ac:dyDescent="0.35">
      <c r="A46" s="3"/>
      <c r="B46" s="110" t="s">
        <v>42</v>
      </c>
      <c r="C46" s="148" t="e">
        <f>F9</f>
        <v>#VALUE!</v>
      </c>
      <c r="E46" s="71"/>
      <c r="F46" s="71"/>
      <c r="G46" s="71"/>
      <c r="H46" s="71"/>
      <c r="I46" s="71"/>
      <c r="J46" s="71"/>
      <c r="K46" s="71"/>
      <c r="L46" s="75"/>
      <c r="N46" s="880"/>
      <c r="O46" s="67"/>
      <c r="P46" s="300">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1:258" ht="18.75" customHeight="1" thickBot="1" x14ac:dyDescent="0.4">
      <c r="A47" s="3"/>
      <c r="B47" s="905" t="s">
        <v>77</v>
      </c>
      <c r="C47" s="906"/>
      <c r="D47" s="71"/>
      <c r="E47" s="71"/>
      <c r="F47" s="71"/>
      <c r="G47" s="71"/>
      <c r="H47" s="71"/>
      <c r="I47" s="71"/>
      <c r="J47" s="71"/>
      <c r="K47" s="71"/>
      <c r="L47" s="75"/>
      <c r="N47" s="250"/>
      <c r="O47" s="251">
        <f>F12</f>
        <v>10.125</v>
      </c>
      <c r="P47" s="301">
        <v>2</v>
      </c>
      <c r="Q47" s="151">
        <v>3.75</v>
      </c>
      <c r="R47" s="150">
        <v>4.8099999999999996</v>
      </c>
      <c r="S47" s="150">
        <v>6.91</v>
      </c>
      <c r="T47" s="150">
        <v>9.02</v>
      </c>
      <c r="U47" s="150">
        <v>11.13</v>
      </c>
      <c r="V47" s="150">
        <v>13.23</v>
      </c>
      <c r="W47" s="150">
        <v>15.34</v>
      </c>
      <c r="X47" s="150">
        <v>17.45</v>
      </c>
      <c r="Y47" s="150">
        <v>19.55</v>
      </c>
      <c r="Z47" s="150">
        <v>21.66</v>
      </c>
      <c r="AA47" s="150">
        <v>23.77</v>
      </c>
      <c r="AB47" s="150">
        <v>25.87</v>
      </c>
      <c r="AC47" s="150">
        <v>27.98</v>
      </c>
      <c r="AD47" s="150">
        <v>30.09</v>
      </c>
      <c r="AE47" s="150">
        <v>32.19</v>
      </c>
      <c r="AF47" s="150">
        <v>34.299999999999997</v>
      </c>
      <c r="AG47" s="150">
        <v>36.409999999999997</v>
      </c>
      <c r="AH47" s="150">
        <v>38.51</v>
      </c>
      <c r="AI47" s="150">
        <v>40.619999999999997</v>
      </c>
      <c r="AJ47" s="150">
        <v>42.73</v>
      </c>
      <c r="AK47" s="150"/>
      <c r="AL47" s="150"/>
      <c r="AM47" s="150"/>
      <c r="AN47" s="150"/>
      <c r="AO47" s="150"/>
      <c r="AP47" s="150"/>
      <c r="AQ47" s="158"/>
    </row>
    <row r="48" spans="1:258" ht="16.5" thickBot="1" x14ac:dyDescent="0.3">
      <c r="A48" s="3"/>
      <c r="B48" s="70"/>
      <c r="D48" s="71"/>
      <c r="E48" s="71"/>
      <c r="F48" s="71"/>
      <c r="G48" s="71"/>
      <c r="H48" s="71"/>
      <c r="I48" s="71"/>
      <c r="J48" s="71"/>
      <c r="K48" s="71"/>
      <c r="L48" s="75"/>
      <c r="N48" s="297">
        <v>2.11</v>
      </c>
      <c r="O48" s="162">
        <v>12</v>
      </c>
      <c r="P48" s="302">
        <v>3</v>
      </c>
      <c r="Q48" s="149">
        <v>4.08</v>
      </c>
      <c r="R48" s="153">
        <v>5.14</v>
      </c>
      <c r="S48" s="153">
        <v>7.24</v>
      </c>
      <c r="T48" s="153">
        <v>9.35</v>
      </c>
      <c r="U48" s="153">
        <v>11.46</v>
      </c>
      <c r="V48" s="153">
        <f t="shared" ref="V48:Y50" si="232">U48+$N48</f>
        <v>13.57</v>
      </c>
      <c r="W48" s="153">
        <f t="shared" si="232"/>
        <v>15.68</v>
      </c>
      <c r="X48" s="153">
        <f t="shared" si="232"/>
        <v>17.79</v>
      </c>
      <c r="Y48" s="153">
        <f t="shared" si="232"/>
        <v>19.899999999999999</v>
      </c>
      <c r="Z48" s="153">
        <v>21.99</v>
      </c>
      <c r="AA48" s="153">
        <f t="shared" ref="AA48:AI48" si="233">Z48+$N48</f>
        <v>24.099999999999998</v>
      </c>
      <c r="AB48" s="153">
        <f t="shared" si="233"/>
        <v>26.209999999999997</v>
      </c>
      <c r="AC48" s="153">
        <f t="shared" si="233"/>
        <v>28.319999999999997</v>
      </c>
      <c r="AD48" s="153">
        <f t="shared" si="233"/>
        <v>30.429999999999996</v>
      </c>
      <c r="AE48" s="153">
        <f t="shared" si="233"/>
        <v>32.54</v>
      </c>
      <c r="AF48" s="153">
        <f t="shared" si="233"/>
        <v>34.65</v>
      </c>
      <c r="AG48" s="153">
        <f t="shared" si="233"/>
        <v>36.76</v>
      </c>
      <c r="AH48" s="153">
        <f t="shared" si="233"/>
        <v>38.869999999999997</v>
      </c>
      <c r="AI48" s="153">
        <f t="shared" si="233"/>
        <v>40.98</v>
      </c>
      <c r="AJ48" s="153">
        <v>43.06</v>
      </c>
      <c r="AK48" s="64"/>
      <c r="AL48" s="154"/>
      <c r="AM48" s="154" t="e">
        <f>D51</f>
        <v>#VALUE!</v>
      </c>
      <c r="AN48" s="155" t="e">
        <f>C45</f>
        <v>#VALUE!</v>
      </c>
      <c r="AO48" s="154" t="e">
        <f>E51</f>
        <v>#VALUE!</v>
      </c>
      <c r="AP48" s="64"/>
      <c r="AQ48" s="65"/>
    </row>
    <row r="49" spans="1:59" ht="15" customHeight="1" thickBot="1" x14ac:dyDescent="0.3">
      <c r="A49" s="3"/>
      <c r="B49" s="70"/>
      <c r="C49" s="124"/>
      <c r="D49" s="125" t="s">
        <v>35</v>
      </c>
      <c r="E49" s="126"/>
      <c r="F49" s="126"/>
      <c r="G49" s="128"/>
      <c r="H49" s="125" t="s">
        <v>36</v>
      </c>
      <c r="I49" s="127"/>
      <c r="J49" s="71"/>
      <c r="K49" s="71"/>
      <c r="L49" s="75"/>
      <c r="N49" s="298">
        <v>2.58</v>
      </c>
      <c r="O49" s="162">
        <f t="shared" ref="O49:O66" si="234">O48+6</f>
        <v>18</v>
      </c>
      <c r="P49" s="302">
        <v>4</v>
      </c>
      <c r="Q49" s="149">
        <v>5.62</v>
      </c>
      <c r="R49" s="153">
        <v>6.91</v>
      </c>
      <c r="S49" s="153">
        <v>9.49</v>
      </c>
      <c r="T49" s="153">
        <v>12.08</v>
      </c>
      <c r="U49" s="153">
        <v>14.66</v>
      </c>
      <c r="V49" s="153">
        <f t="shared" si="232"/>
        <v>17.240000000000002</v>
      </c>
      <c r="W49" s="153">
        <f t="shared" si="232"/>
        <v>19.82</v>
      </c>
      <c r="X49" s="153">
        <f t="shared" si="232"/>
        <v>22.4</v>
      </c>
      <c r="Y49" s="153">
        <f t="shared" si="232"/>
        <v>24.979999999999997</v>
      </c>
      <c r="Z49" s="153">
        <v>27.58</v>
      </c>
      <c r="AA49" s="153">
        <f t="shared" ref="AA49:AI49" si="235">Z49+$N49</f>
        <v>30.159999999999997</v>
      </c>
      <c r="AB49" s="153">
        <f t="shared" si="235"/>
        <v>32.739999999999995</v>
      </c>
      <c r="AC49" s="153">
        <f t="shared" si="235"/>
        <v>35.319999999999993</v>
      </c>
      <c r="AD49" s="153">
        <f t="shared" si="235"/>
        <v>37.899999999999991</v>
      </c>
      <c r="AE49" s="153">
        <f t="shared" si="235"/>
        <v>40.47999999999999</v>
      </c>
      <c r="AF49" s="153">
        <f t="shared" si="235"/>
        <v>43.059999999999988</v>
      </c>
      <c r="AG49" s="153">
        <f t="shared" si="235"/>
        <v>45.639999999999986</v>
      </c>
      <c r="AH49" s="153">
        <f t="shared" si="235"/>
        <v>48.219999999999985</v>
      </c>
      <c r="AI49" s="153">
        <f t="shared" si="235"/>
        <v>50.799999999999983</v>
      </c>
      <c r="AJ49" s="153">
        <v>53.41</v>
      </c>
      <c r="AK49" s="96"/>
      <c r="AL49" s="154" t="e">
        <f>H51</f>
        <v>#VALUE!</v>
      </c>
      <c r="AM49" s="155" t="e">
        <f>INDEX(P46:AJ66,$H$52,$D$52)</f>
        <v>#VALUE!</v>
      </c>
      <c r="AN49" s="155" t="e">
        <f>(((AN48-AM48)/(AO48-AM48))*(AO49-AM49))+AM49</f>
        <v>#VALUE!</v>
      </c>
      <c r="AO49" s="155" t="e">
        <f>INDEX(P46:AJ66,$H$52,$E$52)</f>
        <v>#VALUE!</v>
      </c>
      <c r="AP49" s="64"/>
      <c r="AQ49" s="65"/>
    </row>
    <row r="50" spans="1:59" ht="15" customHeight="1" thickBot="1" x14ac:dyDescent="0.3">
      <c r="A50" s="3"/>
      <c r="B50" s="70"/>
      <c r="C50" s="120"/>
      <c r="D50" s="121" t="s">
        <v>78</v>
      </c>
      <c r="E50" s="122" t="s">
        <v>79</v>
      </c>
      <c r="F50" s="122"/>
      <c r="G50" s="129"/>
      <c r="H50" s="121" t="s">
        <v>78</v>
      </c>
      <c r="I50" s="123" t="s">
        <v>79</v>
      </c>
      <c r="J50" s="71"/>
      <c r="K50" s="71"/>
      <c r="L50" s="75"/>
      <c r="N50" s="103">
        <v>3.54</v>
      </c>
      <c r="O50" s="162">
        <f t="shared" si="234"/>
        <v>24</v>
      </c>
      <c r="P50" s="302">
        <v>5</v>
      </c>
      <c r="Q50" s="149">
        <v>7.63</v>
      </c>
      <c r="R50" s="153">
        <v>9.4</v>
      </c>
      <c r="S50" s="153">
        <v>12.93</v>
      </c>
      <c r="T50" s="153">
        <v>16.47</v>
      </c>
      <c r="U50" s="153">
        <v>20.010000000000002</v>
      </c>
      <c r="V50" s="153">
        <f t="shared" si="232"/>
        <v>23.55</v>
      </c>
      <c r="W50" s="153">
        <f t="shared" si="232"/>
        <v>27.09</v>
      </c>
      <c r="X50" s="153">
        <f t="shared" si="232"/>
        <v>30.63</v>
      </c>
      <c r="Y50" s="153">
        <f t="shared" si="232"/>
        <v>34.17</v>
      </c>
      <c r="Z50" s="153">
        <v>37.69</v>
      </c>
      <c r="AA50" s="153">
        <f t="shared" ref="AA50:AI50" si="236">Z50+$N50</f>
        <v>41.23</v>
      </c>
      <c r="AB50" s="153">
        <f t="shared" si="236"/>
        <v>44.769999999999996</v>
      </c>
      <c r="AC50" s="153">
        <f t="shared" si="236"/>
        <v>48.309999999999995</v>
      </c>
      <c r="AD50" s="153">
        <f t="shared" si="236"/>
        <v>51.849999999999994</v>
      </c>
      <c r="AE50" s="153">
        <f t="shared" si="236"/>
        <v>55.389999999999993</v>
      </c>
      <c r="AF50" s="153">
        <f t="shared" si="236"/>
        <v>58.929999999999993</v>
      </c>
      <c r="AG50" s="153">
        <f t="shared" si="236"/>
        <v>62.469999999999992</v>
      </c>
      <c r="AH50" s="153">
        <f t="shared" si="236"/>
        <v>66.009999999999991</v>
      </c>
      <c r="AI50" s="153">
        <f t="shared" si="236"/>
        <v>69.55</v>
      </c>
      <c r="AJ50" s="153">
        <v>73.05</v>
      </c>
      <c r="AK50" s="64"/>
      <c r="AL50" s="469" t="e">
        <f>C46</f>
        <v>#VALUE!</v>
      </c>
      <c r="AM50" s="155" t="e">
        <f>(((AL50-AL49)/(AL51-AL49))*(AM51-AM49))+AM49</f>
        <v>#VALUE!</v>
      </c>
      <c r="AN50" s="156" t="e">
        <f>IF(AND(AN48&gt;72,AL50&gt;72),5/0,IF(AN48=120,AM50,(((AN49-AM49)/(AO49-AM49))*(AO50-AM50))+AM50))</f>
        <v>#VALUE!</v>
      </c>
      <c r="AO50" s="155" t="e">
        <f>(((AL50-AL49)/(AL51-AL49))*(AO51-AO49))+AO49</f>
        <v>#VALUE!</v>
      </c>
      <c r="AP50" s="64"/>
      <c r="AQ50" s="65"/>
    </row>
    <row r="51" spans="1:59" ht="16.5" thickBot="1" x14ac:dyDescent="0.3">
      <c r="A51" s="3"/>
      <c r="B51" s="70"/>
      <c r="C51" s="118"/>
      <c r="D51" s="116" t="e">
        <f>IF(AND(C45&lt;12,C45&gt;=9),9,FLOOR(C45/6,1)*6)</f>
        <v>#VALUE!</v>
      </c>
      <c r="E51" s="112" t="e">
        <f>IF(D51&lt;12,12,D51+6)</f>
        <v>#VALUE!</v>
      </c>
      <c r="F51" s="112"/>
      <c r="G51" s="130"/>
      <c r="H51" s="116" t="e">
        <f>IF(AND(C46&lt;12,C46&gt;=F12),F12,FLOOR(C46/6,1)*6)</f>
        <v>#VALUE!</v>
      </c>
      <c r="I51" s="113" t="e">
        <f>IF(H51&lt;12,12,H51+6)</f>
        <v>#VALUE!</v>
      </c>
      <c r="J51" s="71"/>
      <c r="K51" s="71"/>
      <c r="L51" s="75"/>
      <c r="N51" s="103">
        <v>2.95</v>
      </c>
      <c r="O51" s="162">
        <f t="shared" si="234"/>
        <v>30</v>
      </c>
      <c r="P51" s="302">
        <v>6</v>
      </c>
      <c r="Q51" s="149">
        <v>9.16</v>
      </c>
      <c r="R51" s="153">
        <v>11.17</v>
      </c>
      <c r="S51" s="153">
        <v>15.18</v>
      </c>
      <c r="T51" s="153">
        <v>19.2</v>
      </c>
      <c r="U51" s="153">
        <v>23.21</v>
      </c>
      <c r="V51" s="153">
        <v>27.22</v>
      </c>
      <c r="W51" s="153">
        <v>31.24</v>
      </c>
      <c r="X51" s="153">
        <v>35.25</v>
      </c>
      <c r="Y51" s="153">
        <v>39.26</v>
      </c>
      <c r="Z51" s="153">
        <v>43.27</v>
      </c>
      <c r="AA51" s="153">
        <v>47.29</v>
      </c>
      <c r="AB51" s="153">
        <v>51.3</v>
      </c>
      <c r="AC51" s="153">
        <v>55.31</v>
      </c>
      <c r="AD51" s="153">
        <v>59.33</v>
      </c>
      <c r="AE51" s="153">
        <v>63.34</v>
      </c>
      <c r="AF51" s="153">
        <v>67.349999999999994</v>
      </c>
      <c r="AG51" s="153">
        <v>71.36</v>
      </c>
      <c r="AH51" s="153">
        <v>75.38</v>
      </c>
      <c r="AI51" s="153">
        <v>79.39</v>
      </c>
      <c r="AJ51" s="153">
        <v>83.4</v>
      </c>
      <c r="AK51" s="64"/>
      <c r="AL51" s="154" t="e">
        <f>I51</f>
        <v>#VALUE!</v>
      </c>
      <c r="AM51" s="155" t="e">
        <f>INDEX(P46:AJ66,$I$52,$D$52)</f>
        <v>#VALUE!</v>
      </c>
      <c r="AN51" s="155" t="e">
        <f>(((AN48-AM48)/(AO48-AM48))*(AO51-AM51))+AM51</f>
        <v>#VALUE!</v>
      </c>
      <c r="AO51" s="155" t="e">
        <f>INDEX(P46:AJ66,$I$52,$E$52)</f>
        <v>#VALUE!</v>
      </c>
      <c r="AP51" s="64"/>
      <c r="AQ51" s="65"/>
    </row>
    <row r="52" spans="1:59" ht="15.75" thickBot="1" x14ac:dyDescent="0.3">
      <c r="A52" s="3"/>
      <c r="B52" s="70"/>
      <c r="C52" s="118" t="s">
        <v>37</v>
      </c>
      <c r="D52" s="116" t="e">
        <f>HLOOKUP(D51,C17:W18,2)</f>
        <v>#VALUE!</v>
      </c>
      <c r="E52" s="112" t="e">
        <f>HLOOKUP(E51,C17:W18,2)</f>
        <v>#VALUE!</v>
      </c>
      <c r="F52" s="112"/>
      <c r="G52" s="130" t="s">
        <v>38</v>
      </c>
      <c r="H52" s="116" t="e">
        <f>VLOOKUP(H51,B18:C38,2)</f>
        <v>#VALUE!</v>
      </c>
      <c r="I52" s="113" t="e">
        <f>VLOOKUP(I51,B18:C38,2)</f>
        <v>#VALUE!</v>
      </c>
      <c r="J52" s="71"/>
      <c r="K52" s="71"/>
      <c r="L52" s="75"/>
      <c r="N52" s="103">
        <v>4.49</v>
      </c>
      <c r="O52" s="162">
        <f t="shared" si="234"/>
        <v>36</v>
      </c>
      <c r="P52" s="302">
        <v>7</v>
      </c>
      <c r="Q52" s="149">
        <v>10.7</v>
      </c>
      <c r="R52" s="153">
        <v>12.94</v>
      </c>
      <c r="S52" s="153">
        <v>17.43</v>
      </c>
      <c r="T52" s="153">
        <v>21.92</v>
      </c>
      <c r="U52" s="153">
        <v>26.41</v>
      </c>
      <c r="V52" s="153">
        <v>30.9</v>
      </c>
      <c r="W52" s="153">
        <v>35.39</v>
      </c>
      <c r="X52" s="153">
        <f>W52+$N52</f>
        <v>39.880000000000003</v>
      </c>
      <c r="Y52" s="153">
        <f>X52+$N52</f>
        <v>44.370000000000005</v>
      </c>
      <c r="Z52" s="153">
        <v>48.86</v>
      </c>
      <c r="AA52" s="153">
        <v>53.35</v>
      </c>
      <c r="AB52" s="153">
        <v>57.84</v>
      </c>
      <c r="AC52" s="153">
        <v>62.33</v>
      </c>
      <c r="AD52" s="153">
        <v>66.819999999999993</v>
      </c>
      <c r="AE52" s="153">
        <v>71.31</v>
      </c>
      <c r="AF52" s="153">
        <v>75.8</v>
      </c>
      <c r="AG52" s="153">
        <v>80.290000000000006</v>
      </c>
      <c r="AH52" s="153">
        <v>84.78</v>
      </c>
      <c r="AI52" s="153">
        <v>89.26</v>
      </c>
      <c r="AJ52" s="153">
        <v>93.75</v>
      </c>
      <c r="AK52" s="64"/>
      <c r="AL52" s="64"/>
      <c r="AM52" s="64"/>
      <c r="AN52" s="64"/>
      <c r="AO52" s="64"/>
      <c r="AP52" s="64"/>
      <c r="AQ52" s="65"/>
    </row>
    <row r="53" spans="1:59" ht="24" thickBot="1" x14ac:dyDescent="0.4">
      <c r="A53" s="3"/>
      <c r="B53" s="70"/>
      <c r="C53" s="119"/>
      <c r="D53" s="117"/>
      <c r="E53" s="114"/>
      <c r="F53" s="114"/>
      <c r="G53" s="131"/>
      <c r="H53" s="117"/>
      <c r="I53" s="115"/>
      <c r="J53" s="71"/>
      <c r="K53" s="71"/>
      <c r="L53" s="75"/>
      <c r="N53" s="103">
        <v>5.44</v>
      </c>
      <c r="O53" s="162">
        <f t="shared" si="234"/>
        <v>42</v>
      </c>
      <c r="P53" s="302">
        <v>8</v>
      </c>
      <c r="Q53" s="149">
        <v>12.71</v>
      </c>
      <c r="R53" s="153">
        <v>15.43</v>
      </c>
      <c r="S53" s="153">
        <v>20.87</v>
      </c>
      <c r="T53" s="153">
        <v>26.32</v>
      </c>
      <c r="U53" s="153">
        <v>31.76</v>
      </c>
      <c r="V53" s="153">
        <v>37.200000000000003</v>
      </c>
      <c r="W53" s="153">
        <v>42.64</v>
      </c>
      <c r="X53" s="153">
        <v>48.09</v>
      </c>
      <c r="Y53" s="153">
        <v>53.53</v>
      </c>
      <c r="Z53" s="153">
        <v>58.97</v>
      </c>
      <c r="AA53" s="153">
        <v>64.41</v>
      </c>
      <c r="AB53" s="153">
        <v>69.86</v>
      </c>
      <c r="AC53" s="153">
        <v>75.3</v>
      </c>
      <c r="AD53" s="153">
        <v>80.739999999999995</v>
      </c>
      <c r="AE53" s="153">
        <v>86.18</v>
      </c>
      <c r="AF53" s="153">
        <v>91.63</v>
      </c>
      <c r="AG53" s="153">
        <v>97.07</v>
      </c>
      <c r="AH53" s="153">
        <v>102.51</v>
      </c>
      <c r="AI53" s="153">
        <v>107.95</v>
      </c>
      <c r="AJ53" s="153">
        <v>113.4</v>
      </c>
      <c r="AK53" s="64"/>
      <c r="AL53" s="64"/>
      <c r="AM53" s="64" t="s">
        <v>157</v>
      </c>
      <c r="AN53" s="64" t="e">
        <f>IF(AN48&gt;=72,1,0)</f>
        <v>#VALUE!</v>
      </c>
      <c r="AO53" s="64"/>
      <c r="AP53" s="64"/>
      <c r="AQ53" s="65"/>
      <c r="AS53" s="495"/>
      <c r="AT53" s="496"/>
    </row>
    <row r="54" spans="1:59" ht="15.75" thickBot="1" x14ac:dyDescent="0.3">
      <c r="A54" s="3"/>
      <c r="B54" s="70"/>
      <c r="C54" s="71"/>
      <c r="D54" s="71"/>
      <c r="E54" s="71"/>
      <c r="F54" s="71"/>
      <c r="G54" s="71"/>
      <c r="H54" s="71"/>
      <c r="I54" s="71"/>
      <c r="J54" s="71"/>
      <c r="K54" s="71"/>
      <c r="L54" s="75"/>
      <c r="N54" s="103">
        <v>5.92</v>
      </c>
      <c r="O54" s="162">
        <f t="shared" si="234"/>
        <v>48</v>
      </c>
      <c r="P54" s="302">
        <v>9</v>
      </c>
      <c r="Q54" s="149">
        <v>14.24</v>
      </c>
      <c r="R54" s="153">
        <v>17.2</v>
      </c>
      <c r="S54" s="153">
        <v>23.12</v>
      </c>
      <c r="T54" s="153">
        <v>29.04</v>
      </c>
      <c r="U54" s="153">
        <v>34.96</v>
      </c>
      <c r="V54" s="153">
        <v>40.880000000000003</v>
      </c>
      <c r="W54" s="153">
        <v>46.8</v>
      </c>
      <c r="X54" s="153">
        <v>52.72</v>
      </c>
      <c r="Y54" s="153">
        <v>58.64</v>
      </c>
      <c r="Z54" s="153">
        <v>64.56</v>
      </c>
      <c r="AA54" s="153">
        <v>70.48</v>
      </c>
      <c r="AB54" s="153">
        <v>76.39</v>
      </c>
      <c r="AC54" s="153">
        <v>82.31</v>
      </c>
      <c r="AD54" s="153">
        <v>88.23</v>
      </c>
      <c r="AE54" s="153">
        <v>94.15</v>
      </c>
      <c r="AF54" s="153">
        <v>100.07</v>
      </c>
      <c r="AG54" s="153">
        <v>105.99</v>
      </c>
      <c r="AH54" s="153">
        <v>111.91</v>
      </c>
      <c r="AI54" s="153">
        <v>117.83</v>
      </c>
      <c r="AJ54" s="153">
        <v>123.75</v>
      </c>
      <c r="AK54" s="64"/>
      <c r="AL54" s="64"/>
      <c r="AM54" s="64" t="s">
        <v>158</v>
      </c>
      <c r="AN54" s="64" t="e">
        <f>AN53*(1.5+((AL50-12))*0.103)</f>
        <v>#VALUE!</v>
      </c>
      <c r="AO54" s="64" t="s">
        <v>184</v>
      </c>
      <c r="AP54" s="64"/>
      <c r="AQ54" s="65"/>
    </row>
    <row r="55" spans="1:59" ht="21.75" thickBot="1" x14ac:dyDescent="0.4">
      <c r="A55" s="3"/>
      <c r="B55" s="111" t="s">
        <v>71</v>
      </c>
      <c r="C55" s="71"/>
      <c r="E55" s="71"/>
      <c r="F55" s="71"/>
      <c r="G55" s="71"/>
      <c r="H55" s="71"/>
      <c r="I55" s="71"/>
      <c r="J55" s="71"/>
      <c r="K55" s="71"/>
      <c r="L55" s="75"/>
      <c r="N55" s="103">
        <v>6.39</v>
      </c>
      <c r="O55" s="162">
        <f t="shared" si="234"/>
        <v>54</v>
      </c>
      <c r="P55" s="302">
        <v>10</v>
      </c>
      <c r="Q55" s="149">
        <v>15.78</v>
      </c>
      <c r="R55" s="153">
        <v>18.98</v>
      </c>
      <c r="S55" s="153">
        <v>25.37</v>
      </c>
      <c r="T55" s="153">
        <v>31.77</v>
      </c>
      <c r="U55" s="153">
        <v>38.159999999999997</v>
      </c>
      <c r="V55" s="153">
        <f t="shared" ref="V55:Y57" si="237">U55+$N55</f>
        <v>44.55</v>
      </c>
      <c r="W55" s="153">
        <f t="shared" si="237"/>
        <v>50.94</v>
      </c>
      <c r="X55" s="153">
        <f t="shared" si="237"/>
        <v>57.33</v>
      </c>
      <c r="Y55" s="153">
        <f t="shared" si="237"/>
        <v>63.72</v>
      </c>
      <c r="Z55" s="153">
        <v>70.14</v>
      </c>
      <c r="AA55" s="153">
        <f t="shared" ref="AA55:AI55" si="238">Z55+$N55</f>
        <v>76.53</v>
      </c>
      <c r="AB55" s="153">
        <f t="shared" si="238"/>
        <v>82.92</v>
      </c>
      <c r="AC55" s="153">
        <f t="shared" si="238"/>
        <v>89.31</v>
      </c>
      <c r="AD55" s="153">
        <f t="shared" si="238"/>
        <v>95.7</v>
      </c>
      <c r="AE55" s="153">
        <f t="shared" si="238"/>
        <v>102.09</v>
      </c>
      <c r="AF55" s="153">
        <f t="shared" si="238"/>
        <v>108.48</v>
      </c>
      <c r="AG55" s="153">
        <f t="shared" si="238"/>
        <v>114.87</v>
      </c>
      <c r="AH55" s="153">
        <f t="shared" si="238"/>
        <v>121.26</v>
      </c>
      <c r="AI55" s="153">
        <f t="shared" si="238"/>
        <v>127.65</v>
      </c>
      <c r="AJ55" s="153">
        <v>134.1</v>
      </c>
      <c r="AK55" s="64"/>
      <c r="AL55" s="64"/>
      <c r="AM55" s="64"/>
      <c r="AN55" s="64"/>
      <c r="AO55" s="64"/>
      <c r="AP55" s="64"/>
      <c r="AQ55" s="65"/>
    </row>
    <row r="56" spans="1:59" ht="16.5" thickBot="1" x14ac:dyDescent="0.3">
      <c r="A56" s="3"/>
      <c r="B56" s="70"/>
      <c r="C56" s="71"/>
      <c r="D56" s="109"/>
      <c r="E56" s="109" t="e">
        <f>D51</f>
        <v>#VALUE!</v>
      </c>
      <c r="F56" s="132" t="e">
        <f>C45</f>
        <v>#VALUE!</v>
      </c>
      <c r="G56" s="109" t="e">
        <f>E51</f>
        <v>#VALUE!</v>
      </c>
      <c r="H56" s="71"/>
      <c r="I56" s="71"/>
      <c r="J56" s="71"/>
      <c r="K56" s="71"/>
      <c r="L56" s="75"/>
      <c r="N56" s="103">
        <v>7.35</v>
      </c>
      <c r="O56" s="162">
        <f t="shared" si="234"/>
        <v>60</v>
      </c>
      <c r="P56" s="302">
        <v>11</v>
      </c>
      <c r="Q56" s="149">
        <v>17.79</v>
      </c>
      <c r="R56" s="153">
        <v>21.46</v>
      </c>
      <c r="S56" s="153">
        <v>28.81</v>
      </c>
      <c r="T56" s="153">
        <v>36.159999999999997</v>
      </c>
      <c r="U56" s="153">
        <v>43.51</v>
      </c>
      <c r="V56" s="153">
        <f t="shared" si="237"/>
        <v>50.86</v>
      </c>
      <c r="W56" s="153">
        <f t="shared" si="237"/>
        <v>58.21</v>
      </c>
      <c r="X56" s="153">
        <f t="shared" si="237"/>
        <v>65.56</v>
      </c>
      <c r="Y56" s="153">
        <f t="shared" si="237"/>
        <v>72.91</v>
      </c>
      <c r="Z56" s="153">
        <f>Y56+$N56</f>
        <v>80.259999999999991</v>
      </c>
      <c r="AA56" s="153">
        <f t="shared" ref="AA56:AI56" si="239">Z56+$N56</f>
        <v>87.609999999999985</v>
      </c>
      <c r="AB56" s="153">
        <f t="shared" si="239"/>
        <v>94.95999999999998</v>
      </c>
      <c r="AC56" s="153">
        <f t="shared" si="239"/>
        <v>102.30999999999997</v>
      </c>
      <c r="AD56" s="153">
        <f t="shared" si="239"/>
        <v>109.65999999999997</v>
      </c>
      <c r="AE56" s="153">
        <f t="shared" si="239"/>
        <v>117.00999999999996</v>
      </c>
      <c r="AF56" s="153">
        <f t="shared" si="239"/>
        <v>124.35999999999996</v>
      </c>
      <c r="AG56" s="153">
        <f t="shared" si="239"/>
        <v>131.70999999999995</v>
      </c>
      <c r="AH56" s="153">
        <f t="shared" si="239"/>
        <v>139.05999999999995</v>
      </c>
      <c r="AI56" s="153">
        <f t="shared" si="239"/>
        <v>146.40999999999994</v>
      </c>
      <c r="AJ56" s="153">
        <v>153.74</v>
      </c>
      <c r="AK56" s="64"/>
      <c r="AL56" s="64"/>
      <c r="AM56" s="64"/>
      <c r="AN56" s="303"/>
      <c r="AO56" s="64"/>
      <c r="AP56" s="64"/>
      <c r="AQ56" s="65"/>
      <c r="AV56" s="175"/>
    </row>
    <row r="57" spans="1:59" ht="16.5" thickBot="1" x14ac:dyDescent="0.3">
      <c r="A57" s="3"/>
      <c r="B57" s="70"/>
      <c r="C57" s="71"/>
      <c r="D57" s="109" t="e">
        <f>H51</f>
        <v>#VALUE!</v>
      </c>
      <c r="E57" s="133" t="e">
        <f>INDEX(C18:W38,$H$52,$D$52)</f>
        <v>#VALUE!</v>
      </c>
      <c r="F57" s="133" t="e">
        <f>(((F56-E56)/(G56-E56))*(G57-E57))+E57</f>
        <v>#VALUE!</v>
      </c>
      <c r="G57" s="133" t="e">
        <f>INDEX(C18:W38,$H$52,$E$52)</f>
        <v>#VALUE!</v>
      </c>
      <c r="H57" s="71"/>
      <c r="I57" s="71"/>
      <c r="J57" s="71"/>
      <c r="K57" s="71"/>
      <c r="L57" s="75"/>
      <c r="N57" s="103">
        <v>7.82</v>
      </c>
      <c r="O57" s="162">
        <f t="shared" si="234"/>
        <v>66</v>
      </c>
      <c r="P57" s="302">
        <v>12</v>
      </c>
      <c r="Q57" s="149">
        <v>19.32</v>
      </c>
      <c r="R57" s="153">
        <v>23.24</v>
      </c>
      <c r="S57" s="153">
        <v>31.06</v>
      </c>
      <c r="T57" s="153">
        <v>38.89</v>
      </c>
      <c r="U57" s="153">
        <v>46.71</v>
      </c>
      <c r="V57" s="153">
        <f t="shared" si="237"/>
        <v>54.53</v>
      </c>
      <c r="W57" s="153">
        <f t="shared" si="237"/>
        <v>62.35</v>
      </c>
      <c r="X57" s="153">
        <f t="shared" si="237"/>
        <v>70.17</v>
      </c>
      <c r="Y57" s="153">
        <f t="shared" si="237"/>
        <v>77.990000000000009</v>
      </c>
      <c r="Z57" s="153">
        <v>85.84</v>
      </c>
      <c r="AA57" s="153">
        <f t="shared" ref="AA57:AI57" si="240">Z57+$N57</f>
        <v>93.66</v>
      </c>
      <c r="AB57" s="153">
        <f t="shared" si="240"/>
        <v>101.47999999999999</v>
      </c>
      <c r="AC57" s="153">
        <f t="shared" si="240"/>
        <v>109.29999999999998</v>
      </c>
      <c r="AD57" s="153">
        <f t="shared" si="240"/>
        <v>117.11999999999998</v>
      </c>
      <c r="AE57" s="153">
        <f t="shared" si="240"/>
        <v>124.93999999999997</v>
      </c>
      <c r="AF57" s="153">
        <f t="shared" si="240"/>
        <v>132.75999999999996</v>
      </c>
      <c r="AG57" s="153">
        <f t="shared" si="240"/>
        <v>140.57999999999996</v>
      </c>
      <c r="AH57" s="153">
        <f t="shared" si="240"/>
        <v>148.39999999999995</v>
      </c>
      <c r="AI57" s="153">
        <f t="shared" si="240"/>
        <v>156.21999999999994</v>
      </c>
      <c r="AJ57" s="153">
        <v>164.09</v>
      </c>
      <c r="AK57" s="64"/>
      <c r="AL57" s="64"/>
      <c r="AM57" s="270" t="s">
        <v>212</v>
      </c>
      <c r="AN57" s="304"/>
      <c r="AO57" s="153" t="e">
        <f>(AN50+AN54)</f>
        <v>#VALUE!</v>
      </c>
      <c r="AP57" s="64" t="s">
        <v>184</v>
      </c>
      <c r="AQ57" s="65"/>
      <c r="AV57" s="175"/>
    </row>
    <row r="58" spans="1:59" ht="16.5" thickBot="1" x14ac:dyDescent="0.3">
      <c r="A58" s="3"/>
      <c r="B58" s="70"/>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03">
        <v>8.3000000000000007</v>
      </c>
      <c r="O58" s="162">
        <f t="shared" si="234"/>
        <v>72</v>
      </c>
      <c r="P58" s="302">
        <v>13</v>
      </c>
      <c r="Q58" s="149">
        <v>20.86</v>
      </c>
      <c r="R58" s="153">
        <v>25.02</v>
      </c>
      <c r="S58" s="153">
        <v>33.32</v>
      </c>
      <c r="T58" s="153">
        <v>41.62</v>
      </c>
      <c r="U58" s="153">
        <v>49.92</v>
      </c>
      <c r="V58" s="153">
        <v>58.22</v>
      </c>
      <c r="W58" s="153">
        <v>66.52</v>
      </c>
      <c r="X58" s="153">
        <f t="shared" ref="X58:Y66" si="241">W58+$N58</f>
        <v>74.819999999999993</v>
      </c>
      <c r="Y58" s="153">
        <f t="shared" si="241"/>
        <v>83.11999999999999</v>
      </c>
      <c r="Z58" s="153">
        <v>91.42</v>
      </c>
      <c r="AA58" s="153">
        <f t="shared" ref="AA58:AC66" si="242">Z58+$N58</f>
        <v>99.72</v>
      </c>
      <c r="AB58" s="153">
        <f t="shared" si="242"/>
        <v>108.02</v>
      </c>
      <c r="AC58" s="153">
        <f t="shared" si="242"/>
        <v>116.32</v>
      </c>
      <c r="AD58" s="153">
        <v>124.63</v>
      </c>
      <c r="AE58" s="153">
        <f t="shared" ref="AE58:AI58" si="243">AD58+$N58</f>
        <v>132.93</v>
      </c>
      <c r="AF58" s="153">
        <f t="shared" si="243"/>
        <v>141.23000000000002</v>
      </c>
      <c r="AG58" s="153">
        <f t="shared" si="243"/>
        <v>149.53000000000003</v>
      </c>
      <c r="AH58" s="153">
        <f t="shared" si="243"/>
        <v>157.83000000000004</v>
      </c>
      <c r="AI58" s="153">
        <f t="shared" si="243"/>
        <v>166.13000000000005</v>
      </c>
      <c r="AJ58" s="153">
        <v>174.44</v>
      </c>
      <c r="AK58" s="64"/>
      <c r="AL58" s="64"/>
      <c r="AM58" s="270" t="s">
        <v>213</v>
      </c>
      <c r="AN58" s="304"/>
      <c r="AO58" s="64" t="e">
        <f>AO57*C11</f>
        <v>#VALUE!</v>
      </c>
      <c r="AP58" s="64" t="s">
        <v>184</v>
      </c>
      <c r="AQ58" s="65"/>
    </row>
    <row r="59" spans="1:59" ht="16.5" thickBot="1" x14ac:dyDescent="0.3">
      <c r="A59" s="3"/>
      <c r="B59" s="70"/>
      <c r="C59" s="71"/>
      <c r="D59" s="109" t="e">
        <f>I51</f>
        <v>#VALUE!</v>
      </c>
      <c r="E59" s="133" t="e">
        <f>INDEX(C18:W38,$I$52,$D$52)</f>
        <v>#VALUE!</v>
      </c>
      <c r="F59" s="133" t="e">
        <f>(((F56-E56)/(G56-E56))*(G59-E59))+E59</f>
        <v>#VALUE!</v>
      </c>
      <c r="G59" s="133" t="e">
        <f>INDEX(C18:W38,$I$52,$E$52)</f>
        <v>#VALUE!</v>
      </c>
      <c r="H59" s="71"/>
      <c r="I59" s="71"/>
      <c r="J59" s="71"/>
      <c r="K59" s="71"/>
      <c r="L59" s="75"/>
      <c r="N59" s="103">
        <v>9.25</v>
      </c>
      <c r="O59" s="162">
        <f t="shared" si="234"/>
        <v>78</v>
      </c>
      <c r="P59" s="302">
        <v>14</v>
      </c>
      <c r="Q59" s="149">
        <v>22.87</v>
      </c>
      <c r="R59" s="153">
        <v>27.5</v>
      </c>
      <c r="S59" s="153">
        <v>36.75</v>
      </c>
      <c r="T59" s="153">
        <v>46.01</v>
      </c>
      <c r="U59" s="153">
        <v>55.26</v>
      </c>
      <c r="V59" s="153">
        <f>U59+$N59</f>
        <v>64.509999999999991</v>
      </c>
      <c r="W59" s="153">
        <f>V59+$N59</f>
        <v>73.759999999999991</v>
      </c>
      <c r="X59" s="153">
        <f t="shared" si="241"/>
        <v>83.009999999999991</v>
      </c>
      <c r="Y59" s="153">
        <f t="shared" si="241"/>
        <v>92.259999999999991</v>
      </c>
      <c r="Z59" s="153">
        <v>101.51</v>
      </c>
      <c r="AA59" s="153">
        <f t="shared" si="242"/>
        <v>110.76</v>
      </c>
      <c r="AB59" s="153">
        <f t="shared" si="242"/>
        <v>120.01</v>
      </c>
      <c r="AC59" s="306"/>
      <c r="AD59" s="306"/>
      <c r="AE59" s="306"/>
      <c r="AF59" s="306"/>
      <c r="AG59" s="306"/>
      <c r="AH59" s="306"/>
      <c r="AI59" s="306"/>
      <c r="AJ59" s="306"/>
      <c r="AK59" s="64"/>
      <c r="AL59" s="64"/>
      <c r="AM59" s="64"/>
      <c r="AN59" s="303"/>
      <c r="AO59" s="64"/>
      <c r="AP59" s="64"/>
      <c r="AQ59" s="65"/>
      <c r="AV59" s="175"/>
    </row>
    <row r="60" spans="1:59" ht="15.75" thickBot="1" x14ac:dyDescent="0.3">
      <c r="A60" s="3"/>
      <c r="B60" s="70"/>
      <c r="C60" s="71"/>
      <c r="D60" s="71"/>
      <c r="E60" s="71"/>
      <c r="F60" s="71"/>
      <c r="G60" s="71"/>
      <c r="H60" s="71"/>
      <c r="I60" s="71"/>
      <c r="J60" s="71"/>
      <c r="K60" s="71"/>
      <c r="L60" s="75"/>
      <c r="N60" s="103">
        <v>9.73</v>
      </c>
      <c r="O60" s="162">
        <f t="shared" si="234"/>
        <v>84</v>
      </c>
      <c r="P60" s="302">
        <v>15</v>
      </c>
      <c r="Q60" s="149">
        <v>24.4</v>
      </c>
      <c r="R60" s="153">
        <v>29.27</v>
      </c>
      <c r="S60" s="153">
        <v>39</v>
      </c>
      <c r="T60" s="153">
        <v>48.73</v>
      </c>
      <c r="U60" s="153">
        <v>58.46</v>
      </c>
      <c r="V60" s="153">
        <f>U60+$N60</f>
        <v>68.19</v>
      </c>
      <c r="W60" s="153">
        <f>V60+$N60</f>
        <v>77.92</v>
      </c>
      <c r="X60" s="153">
        <f t="shared" si="241"/>
        <v>87.65</v>
      </c>
      <c r="Y60" s="153">
        <f t="shared" si="241"/>
        <v>97.38000000000001</v>
      </c>
      <c r="Z60" s="153">
        <v>107.12</v>
      </c>
      <c r="AA60" s="153">
        <f t="shared" si="242"/>
        <v>116.85000000000001</v>
      </c>
      <c r="AB60" s="153">
        <f t="shared" si="242"/>
        <v>126.58000000000001</v>
      </c>
      <c r="AC60" s="306"/>
      <c r="AD60" s="306"/>
      <c r="AE60" s="306"/>
      <c r="AF60" s="306"/>
      <c r="AG60" s="306"/>
      <c r="AH60" s="306"/>
      <c r="AI60" s="306"/>
      <c r="AJ60" s="306"/>
      <c r="AK60" s="64"/>
      <c r="AL60" s="64"/>
      <c r="AM60" s="64"/>
      <c r="AN60" s="303"/>
      <c r="AO60" s="64"/>
      <c r="AP60" s="64"/>
      <c r="AQ60" s="97"/>
    </row>
    <row r="61" spans="1:59" ht="15.75" thickBot="1" x14ac:dyDescent="0.3">
      <c r="A61" s="3"/>
      <c r="B61" s="70"/>
      <c r="C61" s="71"/>
      <c r="D61" s="71"/>
      <c r="E61" s="71"/>
      <c r="F61" s="71"/>
      <c r="G61" s="71"/>
      <c r="H61" s="71"/>
      <c r="I61" s="71"/>
      <c r="J61" s="71"/>
      <c r="K61" s="71"/>
      <c r="L61" s="75"/>
      <c r="N61" s="103">
        <v>10.210000000000001</v>
      </c>
      <c r="O61" s="162">
        <f t="shared" si="234"/>
        <v>90</v>
      </c>
      <c r="P61" s="302">
        <v>16</v>
      </c>
      <c r="Q61" s="149">
        <v>25.94</v>
      </c>
      <c r="R61" s="153">
        <v>31.08</v>
      </c>
      <c r="S61" s="153">
        <v>41.28</v>
      </c>
      <c r="T61" s="153">
        <v>51.48</v>
      </c>
      <c r="U61" s="153">
        <v>61.68</v>
      </c>
      <c r="V61" s="153">
        <v>71.88</v>
      </c>
      <c r="W61" s="153">
        <v>82.08</v>
      </c>
      <c r="X61" s="153">
        <f t="shared" si="241"/>
        <v>92.289999999999992</v>
      </c>
      <c r="Y61" s="153">
        <f t="shared" si="241"/>
        <v>102.5</v>
      </c>
      <c r="Z61" s="153">
        <v>112.71</v>
      </c>
      <c r="AA61" s="153">
        <f t="shared" si="242"/>
        <v>122.91999999999999</v>
      </c>
      <c r="AB61" s="153">
        <f t="shared" si="242"/>
        <v>133.13</v>
      </c>
      <c r="AC61" s="306"/>
      <c r="AD61" s="306"/>
      <c r="AE61" s="306"/>
      <c r="AF61" s="306"/>
      <c r="AG61" s="306"/>
      <c r="AH61" s="306"/>
      <c r="AI61" s="306"/>
      <c r="AJ61" s="306"/>
      <c r="AK61" s="153"/>
      <c r="AL61" s="64"/>
      <c r="AM61" s="64"/>
      <c r="AN61" s="64"/>
      <c r="AO61" s="64"/>
      <c r="AP61" s="64"/>
      <c r="AQ61" s="97"/>
      <c r="BG61" s="83"/>
    </row>
    <row r="62" spans="1:59" ht="15.75" thickBot="1" x14ac:dyDescent="0.3">
      <c r="A62" s="3"/>
      <c r="B62" s="70"/>
      <c r="C62" s="71"/>
      <c r="D62" s="71"/>
      <c r="E62" s="71"/>
      <c r="F62" s="71"/>
      <c r="G62" s="71"/>
      <c r="H62" s="71"/>
      <c r="I62" s="71"/>
      <c r="J62" s="71"/>
      <c r="K62" s="71"/>
      <c r="L62" s="75"/>
      <c r="N62" s="103">
        <v>11.16</v>
      </c>
      <c r="O62" s="162">
        <f t="shared" si="234"/>
        <v>96</v>
      </c>
      <c r="P62" s="302">
        <v>17</v>
      </c>
      <c r="Q62" s="149">
        <v>27.95</v>
      </c>
      <c r="R62" s="153">
        <v>33.53</v>
      </c>
      <c r="S62" s="153">
        <v>44.69</v>
      </c>
      <c r="T62" s="153">
        <v>55.85</v>
      </c>
      <c r="U62" s="153">
        <v>67.010000000000005</v>
      </c>
      <c r="V62" s="153">
        <f t="shared" ref="V62:W66" si="244">U62+$N62</f>
        <v>78.17</v>
      </c>
      <c r="W62" s="153">
        <f t="shared" si="244"/>
        <v>89.33</v>
      </c>
      <c r="X62" s="153">
        <f t="shared" si="241"/>
        <v>100.49</v>
      </c>
      <c r="Y62" s="153">
        <f t="shared" si="241"/>
        <v>111.64999999999999</v>
      </c>
      <c r="Z62" s="153">
        <v>122.82</v>
      </c>
      <c r="AA62" s="153">
        <f t="shared" si="242"/>
        <v>133.97999999999999</v>
      </c>
      <c r="AB62" s="153">
        <f t="shared" si="242"/>
        <v>145.13999999999999</v>
      </c>
      <c r="AC62" s="306"/>
      <c r="AD62" s="306"/>
      <c r="AE62" s="306"/>
      <c r="AF62" s="306"/>
      <c r="AG62" s="306"/>
      <c r="AH62" s="306"/>
      <c r="AI62" s="306"/>
      <c r="AJ62" s="306"/>
      <c r="AK62" s="153"/>
      <c r="AL62" s="64"/>
      <c r="AM62" s="64"/>
      <c r="AN62" s="64"/>
      <c r="AO62" s="64"/>
      <c r="AP62" s="64"/>
      <c r="AQ62" s="97"/>
      <c r="BG62" s="83"/>
    </row>
    <row r="63" spans="1:59" ht="21.75" thickBot="1" x14ac:dyDescent="0.4">
      <c r="A63" s="3"/>
      <c r="B63" s="111" t="s">
        <v>80</v>
      </c>
      <c r="C63" s="71"/>
      <c r="D63" s="71"/>
      <c r="E63" s="71"/>
      <c r="F63" s="71"/>
      <c r="G63" s="71"/>
      <c r="H63" s="71"/>
      <c r="I63" s="71"/>
      <c r="J63" s="71"/>
      <c r="K63" s="71"/>
      <c r="L63" s="75"/>
      <c r="N63" s="103">
        <v>11.64</v>
      </c>
      <c r="O63" s="162">
        <f t="shared" si="234"/>
        <v>102</v>
      </c>
      <c r="P63" s="302">
        <v>18</v>
      </c>
      <c r="Q63" s="149">
        <v>29.48</v>
      </c>
      <c r="R63" s="153">
        <v>35.299999999999997</v>
      </c>
      <c r="S63" s="153">
        <v>46.94</v>
      </c>
      <c r="T63" s="153">
        <v>58.58</v>
      </c>
      <c r="U63" s="153">
        <v>70.22</v>
      </c>
      <c r="V63" s="153">
        <f t="shared" si="244"/>
        <v>81.86</v>
      </c>
      <c r="W63" s="153">
        <f t="shared" si="244"/>
        <v>93.5</v>
      </c>
      <c r="X63" s="153">
        <f t="shared" si="241"/>
        <v>105.14</v>
      </c>
      <c r="Y63" s="153">
        <f t="shared" si="241"/>
        <v>116.78</v>
      </c>
      <c r="Z63" s="153">
        <v>128.4</v>
      </c>
      <c r="AA63" s="153">
        <f t="shared" si="242"/>
        <v>140.04000000000002</v>
      </c>
      <c r="AB63" s="153">
        <f t="shared" si="242"/>
        <v>151.68</v>
      </c>
      <c r="AC63" s="306"/>
      <c r="AD63" s="306"/>
      <c r="AE63" s="306"/>
      <c r="AF63" s="306"/>
      <c r="AG63" s="306"/>
      <c r="AH63" s="306"/>
      <c r="AI63" s="306"/>
      <c r="AJ63" s="306"/>
      <c r="AK63" s="153"/>
      <c r="AL63" s="64"/>
      <c r="AM63" s="64"/>
      <c r="AN63" s="64"/>
      <c r="AO63" s="64"/>
      <c r="AP63" s="64"/>
      <c r="AQ63" s="97"/>
      <c r="BG63" s="83"/>
    </row>
    <row r="64" spans="1:59" ht="19.5" thickBot="1" x14ac:dyDescent="0.35">
      <c r="A64" s="3"/>
      <c r="B64" s="135" t="s">
        <v>46</v>
      </c>
      <c r="C64" s="71"/>
      <c r="D64" s="141" t="e">
        <f>F58*(D3*D4)/144</f>
        <v>#VALUE!</v>
      </c>
      <c r="E64" s="294" t="s">
        <v>45</v>
      </c>
      <c r="F64" s="71"/>
      <c r="G64" s="71"/>
      <c r="H64" s="71"/>
      <c r="I64" s="71"/>
      <c r="J64" s="71"/>
      <c r="K64" s="71"/>
      <c r="L64" s="75"/>
      <c r="N64" s="103">
        <v>12.11</v>
      </c>
      <c r="O64" s="162">
        <f t="shared" si="234"/>
        <v>108</v>
      </c>
      <c r="P64" s="302">
        <v>19</v>
      </c>
      <c r="Q64" s="149">
        <v>31.02</v>
      </c>
      <c r="R64" s="153">
        <v>37.08</v>
      </c>
      <c r="S64" s="153">
        <v>49.19</v>
      </c>
      <c r="T64" s="153">
        <v>61.3</v>
      </c>
      <c r="U64" s="153">
        <v>73.42</v>
      </c>
      <c r="V64" s="153">
        <f t="shared" si="244"/>
        <v>85.53</v>
      </c>
      <c r="W64" s="153">
        <f t="shared" si="244"/>
        <v>97.64</v>
      </c>
      <c r="X64" s="153">
        <f t="shared" si="241"/>
        <v>109.75</v>
      </c>
      <c r="Y64" s="153">
        <f t="shared" si="241"/>
        <v>121.86</v>
      </c>
      <c r="Z64" s="153">
        <v>133.99</v>
      </c>
      <c r="AA64" s="153">
        <f t="shared" si="242"/>
        <v>146.10000000000002</v>
      </c>
      <c r="AB64" s="153">
        <f t="shared" si="242"/>
        <v>158.21000000000004</v>
      </c>
      <c r="AC64" s="306"/>
      <c r="AD64" s="306"/>
      <c r="AE64" s="306"/>
      <c r="AF64" s="306"/>
      <c r="AG64" s="306"/>
      <c r="AH64" s="306"/>
      <c r="AI64" s="306"/>
      <c r="AJ64" s="306"/>
      <c r="AK64" s="153"/>
      <c r="AL64" s="64"/>
      <c r="AM64" s="64"/>
      <c r="AN64" s="64"/>
      <c r="AO64" s="64"/>
      <c r="AP64" s="64"/>
      <c r="AQ64" s="97"/>
      <c r="BG64" s="83"/>
    </row>
    <row r="65" spans="1:59" ht="19.5" thickBot="1" x14ac:dyDescent="0.35">
      <c r="A65" s="3"/>
      <c r="B65" s="135" t="s">
        <v>47</v>
      </c>
      <c r="C65" s="71"/>
      <c r="D65" s="142" t="e">
        <f>(D3*D4)/144</f>
        <v>#VALUE!</v>
      </c>
      <c r="E65" s="294" t="s">
        <v>45</v>
      </c>
      <c r="F65" s="71"/>
      <c r="G65" s="71"/>
      <c r="H65" s="71"/>
      <c r="I65" s="71"/>
      <c r="J65" s="71"/>
      <c r="K65" s="71"/>
      <c r="L65" s="75"/>
      <c r="N65" s="103">
        <v>13.07</v>
      </c>
      <c r="O65" s="162">
        <f t="shared" si="234"/>
        <v>114</v>
      </c>
      <c r="P65" s="302">
        <v>20</v>
      </c>
      <c r="Q65" s="149">
        <v>33.03</v>
      </c>
      <c r="R65" s="153">
        <v>39.56</v>
      </c>
      <c r="S65" s="153">
        <v>52.63</v>
      </c>
      <c r="T65" s="153">
        <v>65.7</v>
      </c>
      <c r="U65" s="153">
        <v>78.77</v>
      </c>
      <c r="V65" s="153">
        <f t="shared" si="244"/>
        <v>91.84</v>
      </c>
      <c r="W65" s="153">
        <f t="shared" si="244"/>
        <v>104.91</v>
      </c>
      <c r="X65" s="153">
        <f t="shared" si="241"/>
        <v>117.97999999999999</v>
      </c>
      <c r="Y65" s="153">
        <f t="shared" si="241"/>
        <v>131.04999999999998</v>
      </c>
      <c r="Z65" s="153">
        <v>144.12</v>
      </c>
      <c r="AA65" s="153">
        <f t="shared" si="242"/>
        <v>157.19</v>
      </c>
      <c r="AB65" s="153">
        <f t="shared" si="242"/>
        <v>170.26</v>
      </c>
      <c r="AC65" s="306"/>
      <c r="AD65" s="306"/>
      <c r="AE65" s="306"/>
      <c r="AF65" s="306"/>
      <c r="AG65" s="306"/>
      <c r="AH65" s="306"/>
      <c r="AI65" s="306"/>
      <c r="AJ65" s="306"/>
      <c r="AK65" s="153"/>
      <c r="AL65" s="64"/>
      <c r="AM65" s="64"/>
      <c r="AN65" s="64"/>
      <c r="AO65" s="64"/>
      <c r="AP65" s="64"/>
      <c r="AQ65" s="97"/>
      <c r="BG65" s="83"/>
    </row>
    <row r="66" spans="1:59" ht="19.5" thickBot="1" x14ac:dyDescent="0.35">
      <c r="A66" s="3"/>
      <c r="B66" s="135" t="s">
        <v>81</v>
      </c>
      <c r="C66" s="71"/>
      <c r="D66" s="138" t="e">
        <f>F58*100</f>
        <v>#VALUE!</v>
      </c>
      <c r="E66" s="294" t="s">
        <v>16</v>
      </c>
      <c r="F66" s="71"/>
      <c r="G66" s="71"/>
      <c r="H66" s="71"/>
      <c r="I66" s="71"/>
      <c r="J66" s="71"/>
      <c r="K66" s="71"/>
      <c r="L66" s="75"/>
      <c r="N66" s="103">
        <v>13.54</v>
      </c>
      <c r="O66" s="162">
        <f t="shared" si="234"/>
        <v>120</v>
      </c>
      <c r="P66" s="302">
        <v>21</v>
      </c>
      <c r="Q66" s="149">
        <v>34.56</v>
      </c>
      <c r="R66" s="153">
        <v>41.34</v>
      </c>
      <c r="S66" s="153">
        <v>54.88</v>
      </c>
      <c r="T66" s="153">
        <v>68.42</v>
      </c>
      <c r="U66" s="153">
        <v>81.97</v>
      </c>
      <c r="V66" s="153">
        <f t="shared" si="244"/>
        <v>95.509999999999991</v>
      </c>
      <c r="W66" s="153">
        <f t="shared" si="244"/>
        <v>109.04999999999998</v>
      </c>
      <c r="X66" s="153">
        <f t="shared" si="241"/>
        <v>122.58999999999997</v>
      </c>
      <c r="Y66" s="153">
        <f t="shared" si="241"/>
        <v>136.12999999999997</v>
      </c>
      <c r="Z66" s="153">
        <v>149.69</v>
      </c>
      <c r="AA66" s="153">
        <f t="shared" si="242"/>
        <v>163.22999999999999</v>
      </c>
      <c r="AB66" s="153">
        <f t="shared" si="242"/>
        <v>176.76999999999998</v>
      </c>
      <c r="AC66" s="306"/>
      <c r="AD66" s="306"/>
      <c r="AE66" s="306"/>
      <c r="AF66" s="306"/>
      <c r="AG66" s="306"/>
      <c r="AH66" s="306"/>
      <c r="AI66" s="306"/>
      <c r="AJ66" s="306"/>
      <c r="AK66" s="153"/>
      <c r="AL66" s="64"/>
      <c r="AM66" s="64"/>
      <c r="AN66" s="64"/>
      <c r="AO66" s="64"/>
      <c r="AP66" s="64"/>
      <c r="AQ66" s="97"/>
      <c r="BG66" s="83"/>
    </row>
    <row r="67" spans="1:59" ht="15.75" thickBot="1" x14ac:dyDescent="0.3">
      <c r="A67" s="3"/>
      <c r="B67" s="70"/>
      <c r="C67" s="108"/>
      <c r="D67" s="71"/>
      <c r="E67" s="71"/>
      <c r="F67" s="71"/>
      <c r="G67" s="71"/>
      <c r="H67" s="71"/>
      <c r="I67" s="71"/>
      <c r="J67" s="71"/>
      <c r="K67" s="71"/>
      <c r="L67" s="75"/>
      <c r="N67" s="103"/>
      <c r="O67" s="149"/>
      <c r="P67" s="302"/>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1:59" ht="19.5" thickBot="1" x14ac:dyDescent="0.35">
      <c r="A68" s="3"/>
      <c r="B68" s="137" t="s">
        <v>82</v>
      </c>
      <c r="D68" s="138" t="e">
        <f>C5/D64</f>
        <v>#VALUE!</v>
      </c>
      <c r="E68" s="295" t="s">
        <v>48</v>
      </c>
      <c r="F68" s="71"/>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1:59" ht="19.5" thickBot="1" x14ac:dyDescent="0.35">
      <c r="A69" s="3"/>
      <c r="B69" s="152" t="s">
        <v>83</v>
      </c>
      <c r="C69" s="293" t="s">
        <v>9</v>
      </c>
      <c r="D69" s="143" t="e">
        <f>1.4549150436898E-07*D68^2 + 2.818925648462E-18*D68 - 4.48946435582798E-15</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1:59" ht="18.75" x14ac:dyDescent="0.3">
      <c r="A70" s="3"/>
      <c r="B70" s="80"/>
      <c r="C70" s="136" t="s">
        <v>10</v>
      </c>
      <c r="D70" s="143" t="e">
        <f>1.13575615438189E-07*D68^2 + 3.252606517457E-18*D68 - 2.71310751642773E-15</f>
        <v>#VALUE!</v>
      </c>
      <c r="E70" s="256" t="s">
        <v>99</v>
      </c>
      <c r="F70" s="72"/>
      <c r="G70" s="72"/>
      <c r="H70" s="72"/>
      <c r="I70" s="72"/>
      <c r="J70" s="72"/>
      <c r="K70" s="72"/>
      <c r="L70" s="81"/>
    </row>
    <row r="71" spans="1:59" ht="15.75" thickBot="1" x14ac:dyDescent="0.3">
      <c r="B71" s="79"/>
      <c r="C71" s="76"/>
      <c r="D71" s="76"/>
      <c r="E71" s="76"/>
      <c r="F71" s="76"/>
      <c r="G71" s="76"/>
      <c r="H71" s="76"/>
      <c r="I71" s="76"/>
      <c r="J71" s="76"/>
      <c r="K71" s="76"/>
      <c r="L71" s="77"/>
    </row>
    <row r="72" spans="1:59"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1:59" x14ac:dyDescent="0.25">
      <c r="N73" s="903"/>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1:59" ht="25.5" customHeight="1" x14ac:dyDescent="0.25">
      <c r="N74" s="904"/>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row>
    <row r="75" spans="1:59" x14ac:dyDescent="0.25">
      <c r="N75" s="476"/>
      <c r="O75" s="47" t="s">
        <v>185</v>
      </c>
      <c r="P75" s="47">
        <v>1.9E-2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row>
    <row r="76" spans="1:59" ht="15.75" x14ac:dyDescent="0.25">
      <c r="N76" s="477"/>
      <c r="O76" s="47" t="s">
        <v>195</v>
      </c>
      <c r="P76" s="47"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c r="AL76" s="313"/>
      <c r="AM76" s="313"/>
      <c r="AN76" s="485"/>
      <c r="AO76" s="313"/>
    </row>
    <row r="77" spans="1:59" ht="16.5" thickBot="1" x14ac:dyDescent="0.3">
      <c r="N77" s="48"/>
      <c r="O77" s="47"/>
      <c r="P77" s="47"/>
      <c r="Q77" s="47"/>
      <c r="R77" s="47"/>
      <c r="S77" s="47"/>
      <c r="T77" s="47"/>
      <c r="U77" s="47"/>
      <c r="V77" s="47"/>
      <c r="W77" s="278"/>
      <c r="Y77" s="48"/>
      <c r="Z77" s="47"/>
      <c r="AA77" s="47"/>
      <c r="AB77" s="47"/>
      <c r="AC77" s="47"/>
      <c r="AD77" s="47"/>
      <c r="AE77" s="47"/>
      <c r="AF77" s="47"/>
      <c r="AG77" s="47"/>
      <c r="AH77" s="47"/>
      <c r="AI77" s="47"/>
      <c r="AJ77" s="278"/>
      <c r="AK77" s="83"/>
      <c r="AL77" s="313"/>
      <c r="AM77" s="485"/>
      <c r="AN77" s="485"/>
      <c r="AO77" s="485"/>
    </row>
    <row r="78" spans="1:59" ht="16.5" thickBot="1" x14ac:dyDescent="0.3">
      <c r="N78" s="48"/>
      <c r="O78" s="492" t="s">
        <v>183</v>
      </c>
      <c r="P78" s="153" t="e">
        <f>P75*P76</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c r="AL78" s="486"/>
      <c r="AM78" s="485"/>
      <c r="AN78" s="487"/>
      <c r="AO78" s="485"/>
    </row>
    <row r="79" spans="1:59" ht="15.75"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c r="AL79" s="313"/>
      <c r="AM79" s="485"/>
      <c r="AN79" s="485"/>
      <c r="AO79" s="485"/>
    </row>
    <row r="80" spans="1:59" x14ac:dyDescent="0.25">
      <c r="N80" s="48"/>
      <c r="O80" s="480"/>
      <c r="P80" s="47"/>
      <c r="Q80" s="47"/>
      <c r="R80" s="47"/>
      <c r="S80" s="47"/>
      <c r="T80" s="47"/>
      <c r="U80" s="47"/>
      <c r="V80" s="47"/>
      <c r="W80" s="278"/>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row>
    <row r="82" spans="14:43" ht="15.75" thickBot="1" x14ac:dyDescent="0.3">
      <c r="N82" s="48"/>
      <c r="O82" s="47" t="s">
        <v>185</v>
      </c>
      <c r="P82" s="47">
        <v>8.9999999999999998E-4</v>
      </c>
      <c r="Q82" s="47" t="s">
        <v>190</v>
      </c>
      <c r="R82" s="64"/>
      <c r="S82" s="47"/>
      <c r="T82" s="47"/>
      <c r="U82" s="47"/>
      <c r="V82" s="47"/>
      <c r="W82" s="278"/>
      <c r="Y82" s="48"/>
      <c r="Z82" s="47"/>
      <c r="AA82" s="47"/>
      <c r="AB82" s="47"/>
      <c r="AC82" s="47"/>
      <c r="AD82" s="47"/>
      <c r="AE82" s="47"/>
      <c r="AF82" s="47"/>
      <c r="AG82" s="47"/>
      <c r="AH82" s="47"/>
      <c r="AI82" s="47"/>
      <c r="AJ82" s="278"/>
    </row>
    <row r="83" spans="14:43" ht="15.75" thickBot="1" x14ac:dyDescent="0.3">
      <c r="N83" s="48"/>
      <c r="O83" s="47" t="s">
        <v>197</v>
      </c>
      <c r="P83" s="47" t="e">
        <f>(D3*D4)</f>
        <v>#VALUE!</v>
      </c>
      <c r="Q83" s="47" t="s">
        <v>198</v>
      </c>
      <c r="R83" s="64"/>
      <c r="S83" s="47"/>
      <c r="T83" s="47"/>
      <c r="U83" s="47"/>
      <c r="V83" s="47"/>
      <c r="W83" s="278"/>
      <c r="Y83" s="48"/>
      <c r="Z83" s="47"/>
      <c r="AA83" s="47"/>
      <c r="AB83" s="47"/>
      <c r="AC83" s="47"/>
      <c r="AD83" s="47"/>
      <c r="AE83" s="47"/>
      <c r="AF83" s="47"/>
      <c r="AG83" s="47"/>
      <c r="AH83" s="47"/>
      <c r="AI83" s="47"/>
      <c r="AJ83" s="278"/>
    </row>
    <row r="84" spans="14:43"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row>
    <row r="85" spans="14:43" ht="16.5" thickBot="1" x14ac:dyDescent="0.3">
      <c r="N85" s="48"/>
      <c r="O85" s="493" t="s">
        <v>192</v>
      </c>
      <c r="P85" s="153" t="e">
        <f>P82*P83</f>
        <v>#VALUE!</v>
      </c>
      <c r="Q85" s="47" t="s">
        <v>184</v>
      </c>
      <c r="S85" s="47"/>
      <c r="T85" s="47"/>
      <c r="U85" s="47"/>
      <c r="V85" s="47"/>
      <c r="W85" s="278"/>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c r="AQ88" s="83"/>
    </row>
    <row r="89" spans="14:43" x14ac:dyDescent="0.25">
      <c r="O89" s="481"/>
      <c r="P89" s="482"/>
      <c r="AC89" s="175"/>
      <c r="AD89" s="175"/>
      <c r="AE89" s="175"/>
      <c r="AF89" s="175"/>
      <c r="AG89" s="175"/>
      <c r="AH89" s="175"/>
      <c r="AI89" s="175"/>
      <c r="AJ89" s="175"/>
      <c r="AK89" s="175"/>
      <c r="AQ89" s="83"/>
    </row>
    <row r="90" spans="14:43" x14ac:dyDescent="0.25">
      <c r="O90" s="481"/>
      <c r="P90" s="482"/>
      <c r="AC90" s="175"/>
      <c r="AD90" s="175"/>
      <c r="AE90" s="175"/>
      <c r="AF90" s="175"/>
      <c r="AG90" s="175"/>
      <c r="AH90" s="175"/>
      <c r="AI90" s="175"/>
      <c r="AJ90" s="175"/>
      <c r="AK90" s="175"/>
      <c r="AQ90" s="83"/>
    </row>
    <row r="91" spans="14:43" x14ac:dyDescent="0.25">
      <c r="O91" s="481"/>
      <c r="P91" s="482"/>
      <c r="AC91" s="175"/>
      <c r="AD91" s="175"/>
      <c r="AE91" s="175"/>
      <c r="AF91" s="175"/>
      <c r="AG91" s="175"/>
      <c r="AH91" s="175"/>
      <c r="AI91" s="175"/>
      <c r="AJ91" s="175"/>
      <c r="AK91" s="175"/>
      <c r="AQ91" s="83"/>
    </row>
    <row r="92" spans="14:43" x14ac:dyDescent="0.25">
      <c r="O92" s="481"/>
      <c r="P92" s="482"/>
      <c r="T92" s="175"/>
      <c r="U92" s="175"/>
      <c r="AC92" s="175"/>
      <c r="AD92" s="175"/>
      <c r="AE92" s="175"/>
      <c r="AF92" s="175"/>
      <c r="AG92" s="175"/>
      <c r="AH92" s="175"/>
      <c r="AI92" s="175"/>
      <c r="AJ92" s="175"/>
      <c r="AK92" s="175"/>
      <c r="AQ92" s="83"/>
    </row>
    <row r="93" spans="14:43" x14ac:dyDescent="0.25">
      <c r="O93" s="481"/>
      <c r="P93" s="482"/>
      <c r="AC93" s="175"/>
      <c r="AD93" s="175"/>
      <c r="AE93" s="175"/>
      <c r="AF93" s="175"/>
      <c r="AG93" s="175"/>
      <c r="AH93" s="175"/>
      <c r="AI93" s="175"/>
      <c r="AJ93" s="175"/>
      <c r="AK93" s="175"/>
      <c r="AQ93" s="83"/>
    </row>
    <row r="94" spans="14:43" ht="18.75" customHeight="1" x14ac:dyDescent="0.25">
      <c r="O94" s="481"/>
      <c r="P94" s="482"/>
      <c r="AC94" s="175"/>
      <c r="AD94" s="175"/>
      <c r="AE94" s="175"/>
      <c r="AF94" s="175"/>
      <c r="AG94" s="175"/>
      <c r="AH94" s="175"/>
      <c r="AI94" s="175"/>
      <c r="AJ94" s="175"/>
      <c r="AK94" s="175"/>
      <c r="AQ94" s="83"/>
    </row>
    <row r="95" spans="14:43" ht="18.75" customHeight="1" x14ac:dyDescent="0.25">
      <c r="P95" s="482"/>
    </row>
    <row r="100" spans="14:72" ht="21" x14ac:dyDescent="0.35">
      <c r="N100" s="74"/>
    </row>
    <row r="101" spans="14:72"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72" x14ac:dyDescent="0.25">
      <c r="N102" s="484"/>
      <c r="P102" s="482"/>
    </row>
    <row r="103" spans="14:72" x14ac:dyDescent="0.25">
      <c r="N103" s="483"/>
      <c r="O103" s="481"/>
      <c r="P103" s="482"/>
    </row>
    <row r="104" spans="14:72" ht="15.75" x14ac:dyDescent="0.25">
      <c r="N104" s="484"/>
      <c r="O104" s="481"/>
      <c r="P104" s="482"/>
      <c r="AL104" s="313"/>
      <c r="AM104" s="313"/>
      <c r="AN104" s="485"/>
      <c r="AO104" s="313"/>
      <c r="BT104" s="140"/>
    </row>
    <row r="105" spans="14:72" ht="15.75" x14ac:dyDescent="0.25">
      <c r="O105" s="481"/>
      <c r="P105" s="482"/>
      <c r="AK105" s="83"/>
      <c r="AL105" s="313"/>
      <c r="AM105" s="485"/>
      <c r="AN105" s="485"/>
      <c r="AO105" s="485"/>
    </row>
    <row r="106" spans="14:72" ht="15.75" x14ac:dyDescent="0.25">
      <c r="O106" s="481"/>
      <c r="P106" s="482"/>
      <c r="AL106" s="486"/>
      <c r="AM106" s="485"/>
      <c r="AN106" s="487"/>
      <c r="AO106" s="485"/>
    </row>
    <row r="107" spans="14:72" ht="15.75" x14ac:dyDescent="0.25">
      <c r="O107" s="481"/>
      <c r="P107" s="482"/>
      <c r="AL107" s="313"/>
      <c r="AM107" s="485"/>
      <c r="AN107" s="485"/>
      <c r="AO107" s="485"/>
    </row>
    <row r="108" spans="14:72" x14ac:dyDescent="0.25">
      <c r="O108" s="481"/>
      <c r="P108" s="482"/>
    </row>
    <row r="109" spans="14:72" x14ac:dyDescent="0.25">
      <c r="O109" s="481"/>
      <c r="P109" s="482"/>
    </row>
    <row r="110" spans="14:72" x14ac:dyDescent="0.25">
      <c r="O110" s="481"/>
      <c r="P110" s="482"/>
    </row>
    <row r="111" spans="14:72" x14ac:dyDescent="0.25">
      <c r="O111" s="481"/>
      <c r="P111" s="482"/>
    </row>
    <row r="112" spans="14:72"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280" spans="24:25" x14ac:dyDescent="0.25">
      <c r="X280" s="146"/>
      <c r="Y280" s="145"/>
    </row>
  </sheetData>
  <sheetProtection selectLockedCells="1" selectUnlockedCells="1"/>
  <mergeCells count="8">
    <mergeCell ref="N73:N74"/>
    <mergeCell ref="B47:C47"/>
    <mergeCell ref="AT16:IX16"/>
    <mergeCell ref="AU18:AV20"/>
    <mergeCell ref="BH18:IG19"/>
    <mergeCell ref="IQ19:IW19"/>
    <mergeCell ref="E16:W16"/>
    <mergeCell ref="N45:N46"/>
  </mergeCells>
  <conditionalFormatting sqref="Q47:AJ66">
    <cfRule type="colorScale" priority="4">
      <colorScale>
        <cfvo type="min"/>
        <cfvo type="percentile" val="50"/>
        <cfvo type="max"/>
        <color rgb="FF63BE7B"/>
        <color rgb="FFFFEB84"/>
        <color rgb="FFF8696B"/>
      </colorScale>
    </cfRule>
  </conditionalFormatting>
  <conditionalFormatting sqref="Q89:AJ94 X75:X88">
    <cfRule type="colorScale" priority="3">
      <colorScale>
        <cfvo type="min"/>
        <cfvo type="percentile" val="50"/>
        <cfvo type="max"/>
        <color rgb="FF63BE7B"/>
        <color rgb="FFFFEB84"/>
        <color rgb="FFF8696B"/>
      </colorScale>
    </cfRule>
  </conditionalFormatting>
  <conditionalFormatting sqref="Q103:AJ122">
    <cfRule type="colorScale" priority="2">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X278"/>
  <sheetViews>
    <sheetView zoomScale="70" zoomScaleNormal="70" workbookViewId="0">
      <selection activeCell="D28" sqref="D28"/>
    </sheetView>
  </sheetViews>
  <sheetFormatPr defaultRowHeight="15" x14ac:dyDescent="0.25"/>
  <cols>
    <col min="1" max="1" width="12.85546875" customWidth="1"/>
    <col min="2" max="2" width="20.5703125" customWidth="1"/>
    <col min="3" max="3" width="19.7109375" customWidth="1"/>
    <col min="4" max="4" width="13.7109375" customWidth="1"/>
    <col min="5" max="5" width="20.28515625" customWidth="1"/>
    <col min="6" max="13" width="15" customWidth="1"/>
    <col min="14" max="14" width="20.7109375" customWidth="1"/>
    <col min="15" max="15" width="18.5703125" customWidth="1"/>
    <col min="16" max="16" width="13.42578125" customWidth="1"/>
    <col min="17" max="17" width="9.85546875" customWidth="1"/>
    <col min="18" max="18" width="10" customWidth="1"/>
    <col min="19" max="19" width="13.42578125" customWidth="1"/>
    <col min="20" max="20" width="10.28515625" customWidth="1"/>
    <col min="21" max="21" width="15.140625" customWidth="1"/>
    <col min="22" max="22" width="12.5703125" customWidth="1"/>
    <col min="23" max="23" width="10.140625" customWidth="1"/>
    <col min="24" max="24" width="11.140625" customWidth="1"/>
    <col min="25" max="25" width="9.7109375" customWidth="1"/>
    <col min="26" max="26" width="11.7109375" customWidth="1"/>
    <col min="28" max="31" width="9.140625" customWidth="1"/>
    <col min="32" max="32" width="9.42578125" customWidth="1"/>
    <col min="33" max="35" width="9.140625" customWidth="1"/>
    <col min="38" max="38" width="9.140625" customWidth="1"/>
    <col min="39" max="39" width="14.5703125" customWidth="1"/>
    <col min="40" max="45" width="9.140625" customWidth="1"/>
    <col min="48" max="51" width="9.140625" customWidth="1"/>
    <col min="52" max="55" width="9.140625" hidden="1" customWidth="1"/>
    <col min="56" max="57" width="0" hidden="1" customWidth="1"/>
    <col min="58" max="59" width="9.140625" hidden="1" customWidth="1"/>
    <col min="60" max="61" width="9.140625" customWidth="1"/>
    <col min="62" max="65" width="9.140625" hidden="1" customWidth="1"/>
    <col min="66" max="67" width="0" hidden="1" customWidth="1"/>
    <col min="68" max="69" width="9.140625" hidden="1" customWidth="1"/>
    <col min="70" max="71" width="9.140625" customWidth="1"/>
    <col min="72" max="75" width="9.140625" hidden="1" customWidth="1"/>
    <col min="76" max="77" width="0" hidden="1" customWidth="1"/>
    <col min="78" max="79" width="9.140625" hidden="1" customWidth="1"/>
    <col min="80" max="81" width="9.140625" customWidth="1"/>
    <col min="82" max="85" width="9.140625" hidden="1" customWidth="1"/>
    <col min="86" max="87" width="0" hidden="1" customWidth="1"/>
    <col min="88" max="89" width="9.140625" hidden="1" customWidth="1"/>
    <col min="90" max="91" width="9.140625" customWidth="1"/>
    <col min="92" max="95" width="9.140625" hidden="1" customWidth="1"/>
    <col min="96" max="97" width="0" hidden="1" customWidth="1"/>
    <col min="98" max="99" width="9.140625" hidden="1" customWidth="1"/>
    <col min="100" max="101" width="9.140625" customWidth="1"/>
    <col min="102" max="105" width="9.140625" hidden="1" customWidth="1"/>
    <col min="106" max="107" width="0" hidden="1" customWidth="1"/>
    <col min="108" max="109" width="9.140625" hidden="1" customWidth="1"/>
    <col min="110" max="111" width="9.140625" customWidth="1"/>
    <col min="112" max="115" width="9.140625" hidden="1" customWidth="1"/>
    <col min="116" max="116" width="0" hidden="1" customWidth="1"/>
    <col min="117" max="117" width="12.140625" hidden="1" customWidth="1"/>
    <col min="118" max="119" width="9.140625" hidden="1" customWidth="1"/>
    <col min="120" max="121" width="9.140625" customWidth="1"/>
    <col min="122" max="125" width="9.140625" hidden="1" customWidth="1"/>
    <col min="126" max="127" width="0" hidden="1" customWidth="1"/>
    <col min="128" max="129" width="9.140625" hidden="1" customWidth="1"/>
    <col min="130" max="131" width="9.140625" customWidth="1"/>
    <col min="132" max="135" width="9.140625" hidden="1" customWidth="1"/>
    <col min="136" max="137" width="0" hidden="1" customWidth="1"/>
    <col min="138" max="139" width="9.140625" hidden="1" customWidth="1"/>
    <col min="140" max="141" width="9.140625" customWidth="1"/>
    <col min="142" max="145" width="9.140625" hidden="1" customWidth="1"/>
    <col min="146" max="147" width="0" hidden="1" customWidth="1"/>
    <col min="148" max="149" width="9.140625" hidden="1" customWidth="1"/>
    <col min="150" max="151" width="9.140625" customWidth="1"/>
    <col min="152" max="155" width="9.140625" hidden="1" customWidth="1"/>
    <col min="156" max="157" width="0" hidden="1" customWidth="1"/>
    <col min="158" max="159" width="9.140625" hidden="1" customWidth="1"/>
    <col min="160" max="161" width="9.140625" customWidth="1"/>
    <col min="162" max="169" width="9.140625" hidden="1" customWidth="1"/>
    <col min="170" max="171" width="9.140625" customWidth="1"/>
    <col min="172" max="175" width="9.140625" hidden="1" customWidth="1"/>
    <col min="176" max="177" width="0" hidden="1" customWidth="1"/>
    <col min="178" max="179" width="9.140625" hidden="1" customWidth="1"/>
    <col min="180" max="181" width="9.140625" customWidth="1"/>
    <col min="182" max="185" width="9.140625" hidden="1" customWidth="1"/>
    <col min="186" max="187" width="0" hidden="1" customWidth="1"/>
    <col min="188" max="189" width="9.140625" hidden="1" customWidth="1"/>
    <col min="190" max="191" width="9.140625" customWidth="1"/>
    <col min="192" max="195" width="9.140625" hidden="1" customWidth="1"/>
    <col min="196" max="197" width="0" hidden="1" customWidth="1"/>
    <col min="198"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9.28515625" customWidth="1"/>
    <col min="211" max="211" width="9.42578125" customWidth="1"/>
    <col min="212" max="212" width="22.5703125" hidden="1" customWidth="1"/>
    <col min="213" max="213" width="28" hidden="1" customWidth="1"/>
    <col min="214" max="216" width="0" hidden="1" customWidth="1"/>
    <col min="217" max="217" width="20.28515625" hidden="1" customWidth="1"/>
    <col min="218" max="218" width="36" hidden="1" customWidth="1"/>
    <col min="219" max="219" width="35.42578125" hidden="1" customWidth="1"/>
    <col min="220" max="220" width="9.140625" customWidth="1"/>
    <col min="221" max="221" width="9.85546875" customWidth="1"/>
    <col min="222" max="224" width="0" hidden="1" customWidth="1"/>
    <col min="225" max="225" width="18.28515625" hidden="1" customWidth="1"/>
    <col min="226" max="229" width="0" hidden="1" customWidth="1"/>
    <col min="232" max="239" width="0" hidden="1" customWidth="1"/>
    <col min="242" max="249" width="0" hidden="1" customWidth="1"/>
  </cols>
  <sheetData>
    <row r="1" spans="2:258" ht="21.75" thickBot="1" x14ac:dyDescent="0.4">
      <c r="B1" s="315" t="s">
        <v>39</v>
      </c>
      <c r="C1" s="381" t="s">
        <v>54</v>
      </c>
      <c r="D1" s="316"/>
      <c r="E1" s="316"/>
      <c r="F1" s="324"/>
      <c r="L1" s="313"/>
      <c r="M1" s="313"/>
      <c r="N1" s="313"/>
      <c r="O1" s="313"/>
      <c r="P1" s="313"/>
      <c r="Q1" s="313"/>
      <c r="R1" s="313"/>
      <c r="S1" s="313"/>
      <c r="T1" s="313"/>
      <c r="U1" s="313"/>
      <c r="V1" s="313"/>
      <c r="W1" s="313"/>
      <c r="X1" s="313"/>
    </row>
    <row r="2" spans="2:258" ht="21" x14ac:dyDescent="0.35">
      <c r="B2" s="382" t="s">
        <v>40</v>
      </c>
      <c r="C2" s="314"/>
      <c r="D2" s="314" t="s">
        <v>73</v>
      </c>
      <c r="E2" s="314"/>
      <c r="F2" s="331"/>
      <c r="H2" s="403" t="s">
        <v>277</v>
      </c>
      <c r="I2" s="387"/>
      <c r="J2" s="388"/>
      <c r="L2" s="313"/>
      <c r="M2" s="313"/>
      <c r="N2" s="315" t="s">
        <v>64</v>
      </c>
      <c r="O2" s="316"/>
      <c r="P2" s="317"/>
      <c r="Q2" s="317"/>
      <c r="R2" s="317"/>
      <c r="S2" s="317"/>
      <c r="T2" s="317"/>
      <c r="U2" s="317"/>
      <c r="V2" s="317"/>
      <c r="W2" s="318"/>
      <c r="X2" s="313"/>
    </row>
    <row r="3" spans="2:258" ht="18.75" x14ac:dyDescent="0.3">
      <c r="B3" s="382" t="s">
        <v>41</v>
      </c>
      <c r="C3" s="314" t="str">
        <f>IF('DATA ENTRY'!B9="mm",'DATA ENTRY'!B10/25.4,'DATA ENTRY'!B10)</f>
        <v>ENTER WIDTH</v>
      </c>
      <c r="D3" s="287" t="e">
        <f>IF('DATA ENTRY'!B12="ACTUAL",'ZE439'!C3,'ZE439'!C3-0.5)</f>
        <v>#VALUE!</v>
      </c>
      <c r="E3" s="314"/>
      <c r="F3" s="331"/>
      <c r="H3" s="330" t="s">
        <v>278</v>
      </c>
      <c r="J3" s="331" t="e">
        <f>D3*D4/144</f>
        <v>#VALUE!</v>
      </c>
      <c r="L3" s="313"/>
      <c r="M3" s="313"/>
      <c r="N3" s="280"/>
      <c r="O3" s="282"/>
      <c r="P3" s="282"/>
      <c r="Q3" s="282"/>
      <c r="R3" s="282"/>
      <c r="S3" s="282"/>
      <c r="T3" s="282"/>
      <c r="U3" s="282"/>
      <c r="V3" s="282"/>
      <c r="W3" s="291"/>
      <c r="X3" s="313"/>
    </row>
    <row r="4" spans="2:258" ht="18.75" x14ac:dyDescent="0.3">
      <c r="B4" s="382" t="s">
        <v>42</v>
      </c>
      <c r="C4" s="314" t="str">
        <f>IF('DATA ENTRY'!B9="mm",'DATA ENTRY'!B11/25.4,'DATA ENTRY'!B11)</f>
        <v>ENTER HEIGHT</v>
      </c>
      <c r="D4" s="287" t="e">
        <f>IF('DATA ENTRY'!B11=241,9.5,IF('DATA ENTRY'!B12="ACTUAL",'ZE439'!C4,'ZE439'!C4-0.5))</f>
        <v>#VALUE!</v>
      </c>
      <c r="E4" s="314"/>
      <c r="F4" s="331"/>
      <c r="H4" s="330" t="s">
        <v>279</v>
      </c>
      <c r="I4" s="314"/>
      <c r="J4" s="331" t="e">
        <f>C5/J3</f>
        <v>#VALUE!</v>
      </c>
      <c r="L4" s="313"/>
      <c r="M4" s="313"/>
      <c r="N4" s="280"/>
      <c r="O4" s="282" t="str">
        <f>C1&amp;"_MODEL"</f>
        <v>ZE439_MODEL</v>
      </c>
      <c r="P4" s="282" t="s">
        <v>131</v>
      </c>
      <c r="Q4" s="282"/>
      <c r="R4" s="282"/>
      <c r="S4" s="282"/>
      <c r="T4" s="282"/>
      <c r="U4" s="282"/>
      <c r="V4" s="287" t="s">
        <v>116</v>
      </c>
      <c r="W4" s="291"/>
      <c r="X4" s="313"/>
    </row>
    <row r="5" spans="2:258" ht="18.75" x14ac:dyDescent="0.3">
      <c r="B5" s="382" t="s">
        <v>43</v>
      </c>
      <c r="C5" s="509" t="str">
        <f>IF('DATA ENTRY'!B9="mm",'DATA ENTRY'!B13*2.1188799727597,'DATA ENTRY'!B13)</f>
        <v>ENTER AIR VOLUME</v>
      </c>
      <c r="D5" s="314"/>
      <c r="E5" s="314"/>
      <c r="F5" s="331"/>
      <c r="H5" s="330"/>
      <c r="I5" s="314"/>
      <c r="J5" s="331"/>
      <c r="L5" s="313"/>
      <c r="M5" s="313"/>
      <c r="N5" s="280" t="s">
        <v>93</v>
      </c>
      <c r="O5" s="282" t="str">
        <f>C1&amp;"_FA"</f>
        <v>ZE439_FA</v>
      </c>
      <c r="P5" s="282" t="e">
        <f>D64</f>
        <v>#VALUE!</v>
      </c>
      <c r="Q5" s="282" t="s">
        <v>45</v>
      </c>
      <c r="R5" s="282"/>
      <c r="S5" s="282"/>
      <c r="T5" s="282"/>
      <c r="U5" s="282"/>
      <c r="V5" s="282" t="str">
        <f>C1&amp;"_W"</f>
        <v>ZE439_W</v>
      </c>
      <c r="W5" s="286" t="e">
        <f>D3</f>
        <v>#VALUE!</v>
      </c>
      <c r="X5" s="313"/>
    </row>
    <row r="6" spans="2:258" ht="18.75" x14ac:dyDescent="0.3">
      <c r="B6" s="382" t="s">
        <v>44</v>
      </c>
      <c r="C6" s="383" t="str">
        <f>'DATA ENTRY'!B14</f>
        <v>SELECT AIR DIRECTION</v>
      </c>
      <c r="D6" s="314"/>
      <c r="E6" s="314"/>
      <c r="F6" s="331"/>
      <c r="H6" s="330"/>
      <c r="I6" s="314"/>
      <c r="J6" s="331"/>
      <c r="L6" s="313"/>
      <c r="M6" s="313"/>
      <c r="N6" s="280" t="s">
        <v>70</v>
      </c>
      <c r="O6" s="282" t="str">
        <f>C1&amp;"_FA%"</f>
        <v>ZE439_FA%</v>
      </c>
      <c r="P6" s="282" t="e">
        <f>D66</f>
        <v>#VALUE!</v>
      </c>
      <c r="Q6" s="282" t="s">
        <v>16</v>
      </c>
      <c r="R6" s="282"/>
      <c r="S6" s="282"/>
      <c r="T6" s="282"/>
      <c r="U6" s="282"/>
      <c r="V6" s="282" t="str">
        <f>C1&amp;"_H"</f>
        <v>ZE439_H</v>
      </c>
      <c r="W6" s="286" t="e">
        <f>D4</f>
        <v>#VALUE!</v>
      </c>
      <c r="X6" s="313"/>
    </row>
    <row r="7" spans="2:258" ht="19.5" thickBot="1" x14ac:dyDescent="0.35">
      <c r="B7" s="330"/>
      <c r="C7" s="314"/>
      <c r="D7" s="314"/>
      <c r="E7" s="314"/>
      <c r="F7" s="331"/>
      <c r="H7" s="543"/>
      <c r="I7" s="544"/>
      <c r="J7" s="545"/>
      <c r="L7" s="313"/>
      <c r="M7" s="313"/>
      <c r="N7" s="280" t="s">
        <v>96</v>
      </c>
      <c r="O7" s="282" t="str">
        <f>C1&amp;"_VEL"</f>
        <v>ZE439_VEL</v>
      </c>
      <c r="P7" s="282" t="e">
        <f>D68</f>
        <v>#VALUE!</v>
      </c>
      <c r="Q7" s="282" t="s">
        <v>0</v>
      </c>
      <c r="R7" s="282"/>
      <c r="S7" s="282"/>
      <c r="T7" s="282"/>
      <c r="U7" s="282"/>
      <c r="V7" s="282" t="str">
        <f>C1&amp;"_SW"</f>
        <v>ZE439_SW</v>
      </c>
      <c r="W7" s="286" t="e">
        <f>C8</f>
        <v>#VALUE!</v>
      </c>
      <c r="X7" s="313"/>
    </row>
    <row r="8" spans="2:258" ht="18.75" x14ac:dyDescent="0.3">
      <c r="B8" s="382" t="s">
        <v>74</v>
      </c>
      <c r="C8" s="314" t="e">
        <f>CEILING(D3/120,1)</f>
        <v>#VALUE!</v>
      </c>
      <c r="D8" s="314"/>
      <c r="E8" s="314" t="s">
        <v>75</v>
      </c>
      <c r="F8" s="331" t="e">
        <f>CEILING(IF(C9&lt;=72,D4/120,D4/72),1)</f>
        <v>#VALUE!</v>
      </c>
      <c r="L8" s="313"/>
      <c r="M8" s="313"/>
      <c r="N8" s="280" t="s">
        <v>94</v>
      </c>
      <c r="O8" s="282" t="str">
        <f>C1&amp;"_Intake"</f>
        <v>ZE439_Intake</v>
      </c>
      <c r="P8" s="282" t="e">
        <f>D69</f>
        <v>#VALUE!</v>
      </c>
      <c r="Q8" s="282" t="s">
        <v>99</v>
      </c>
      <c r="R8" s="282"/>
      <c r="S8" s="282"/>
      <c r="T8" s="282"/>
      <c r="U8" s="282"/>
      <c r="V8" s="282" t="str">
        <f>C1&amp;"_SH"</f>
        <v>ZE439_SH</v>
      </c>
      <c r="W8" s="286" t="e">
        <f>F8</f>
        <v>#VALUE!</v>
      </c>
      <c r="X8" s="313"/>
    </row>
    <row r="9" spans="2:258" ht="18.75" x14ac:dyDescent="0.3">
      <c r="B9" s="382" t="s">
        <v>72</v>
      </c>
      <c r="C9" s="314" t="e">
        <f>D3/C8</f>
        <v>#VALUE!</v>
      </c>
      <c r="D9" s="314"/>
      <c r="E9" s="314" t="s">
        <v>63</v>
      </c>
      <c r="F9" s="331" t="e">
        <f>D4/F8</f>
        <v>#VALUE!</v>
      </c>
      <c r="L9" s="313"/>
      <c r="M9" s="313"/>
      <c r="N9" s="280" t="s">
        <v>95</v>
      </c>
      <c r="O9" s="282" t="str">
        <f>C1&amp;"_Exhaust"</f>
        <v>ZE439_Exhaust</v>
      </c>
      <c r="P9" s="282" t="e">
        <f>D70</f>
        <v>#VALUE!</v>
      </c>
      <c r="Q9" s="282" t="s">
        <v>99</v>
      </c>
      <c r="R9" s="282"/>
      <c r="S9" s="282"/>
      <c r="T9" s="282"/>
      <c r="U9" s="282"/>
      <c r="V9" s="282"/>
      <c r="W9" s="291"/>
      <c r="X9" s="313"/>
    </row>
    <row r="10" spans="2:258" ht="18.75" x14ac:dyDescent="0.3">
      <c r="B10" s="330"/>
      <c r="C10" s="314"/>
      <c r="D10" s="314"/>
      <c r="E10" s="314"/>
      <c r="F10" s="331"/>
      <c r="L10" s="313"/>
      <c r="M10" s="313"/>
      <c r="N10" s="280" t="s">
        <v>100</v>
      </c>
      <c r="O10" s="282" t="str">
        <f>C1&amp;"_SEC"</f>
        <v>ZE439_SEC</v>
      </c>
      <c r="P10" s="282" t="e">
        <f>C11</f>
        <v>#VALUE!</v>
      </c>
      <c r="Q10" s="282"/>
      <c r="R10" s="282"/>
      <c r="S10" s="282"/>
      <c r="T10" s="282"/>
      <c r="U10" s="282"/>
      <c r="V10" s="282"/>
      <c r="W10" s="291"/>
      <c r="X10" s="313"/>
    </row>
    <row r="11" spans="2:258" ht="18.75" x14ac:dyDescent="0.3">
      <c r="B11" s="382" t="s">
        <v>76</v>
      </c>
      <c r="C11" s="314" t="e">
        <f>C8*F8</f>
        <v>#VALUE!</v>
      </c>
      <c r="D11" s="314"/>
      <c r="E11" s="383" t="s">
        <v>164</v>
      </c>
      <c r="F11" s="384">
        <v>9</v>
      </c>
      <c r="L11" s="313"/>
      <c r="M11" s="313"/>
      <c r="N11" s="280" t="s">
        <v>97</v>
      </c>
      <c r="O11" s="282" t="str">
        <f>C1&amp;"_SECW"</f>
        <v>ZE439_SECW</v>
      </c>
      <c r="P11" s="364" t="e">
        <f>AB79</f>
        <v>#VALUE!</v>
      </c>
      <c r="Q11" s="282" t="s">
        <v>86</v>
      </c>
      <c r="R11" s="282"/>
      <c r="S11" s="282"/>
      <c r="T11" s="282"/>
      <c r="U11" s="282"/>
      <c r="V11" s="282"/>
      <c r="W11" s="291"/>
      <c r="X11" s="313"/>
    </row>
    <row r="12" spans="2:258" ht="18.75" x14ac:dyDescent="0.3">
      <c r="B12" s="48"/>
      <c r="C12" s="47"/>
      <c r="D12" s="47"/>
      <c r="E12" s="383" t="s">
        <v>165</v>
      </c>
      <c r="F12" s="384">
        <v>9.5</v>
      </c>
      <c r="L12" s="313"/>
      <c r="M12" s="313"/>
      <c r="N12" s="280" t="s">
        <v>98</v>
      </c>
      <c r="O12" s="282" t="str">
        <f>C1&amp;"_TW"</f>
        <v>ZE439_TW</v>
      </c>
      <c r="P12" s="364" t="e">
        <f>AB78</f>
        <v>#VALUE!</v>
      </c>
      <c r="Q12" s="282" t="s">
        <v>86</v>
      </c>
      <c r="R12" s="47"/>
      <c r="S12" s="47"/>
      <c r="T12" s="47"/>
      <c r="U12" s="47"/>
      <c r="V12" s="47"/>
      <c r="W12" s="278"/>
      <c r="X12" s="313"/>
    </row>
    <row r="13" spans="2:258" ht="18.75" x14ac:dyDescent="0.3">
      <c r="B13" s="48"/>
      <c r="C13" s="47"/>
      <c r="D13" s="47"/>
      <c r="E13" s="383"/>
      <c r="F13" s="384"/>
      <c r="L13" s="313"/>
      <c r="M13" s="313"/>
      <c r="N13" s="280" t="s">
        <v>280</v>
      </c>
      <c r="O13" s="282" t="str">
        <f>$C$1&amp;"_FACEAREA"</f>
        <v>ZE439_FACEAREA</v>
      </c>
      <c r="P13" s="364" t="e">
        <f>J3</f>
        <v>#VALUE!</v>
      </c>
      <c r="Q13" s="282" t="s">
        <v>45</v>
      </c>
      <c r="R13" s="47"/>
      <c r="S13" s="47"/>
      <c r="T13" s="47"/>
      <c r="U13" s="47"/>
      <c r="V13" s="47"/>
      <c r="W13" s="278"/>
      <c r="X13" s="313"/>
    </row>
    <row r="14" spans="2:258" ht="19.5" thickBot="1" x14ac:dyDescent="0.35">
      <c r="B14" s="48"/>
      <c r="C14" s="47"/>
      <c r="D14" s="47"/>
      <c r="E14" s="383"/>
      <c r="F14" s="384"/>
      <c r="L14" s="313"/>
      <c r="M14" s="313"/>
      <c r="N14" s="281" t="s">
        <v>277</v>
      </c>
      <c r="O14" s="395" t="str">
        <f>$C$1&amp;"_FACEVEL"</f>
        <v>ZE439_FACEVEL</v>
      </c>
      <c r="P14" s="472" t="e">
        <f>J4</f>
        <v>#VALUE!</v>
      </c>
      <c r="Q14" s="395" t="s">
        <v>0</v>
      </c>
      <c r="R14" s="50"/>
      <c r="S14" s="50"/>
      <c r="T14" s="50"/>
      <c r="U14" s="50"/>
      <c r="V14" s="50"/>
      <c r="W14" s="279"/>
      <c r="X14" s="313"/>
    </row>
    <row r="15" spans="2:258" ht="16.5" thickBot="1" x14ac:dyDescent="0.3">
      <c r="B15" s="49"/>
      <c r="C15" s="50"/>
      <c r="D15" s="50"/>
      <c r="E15" s="50"/>
      <c r="F15" s="279"/>
      <c r="L15" s="313"/>
      <c r="M15" s="313"/>
      <c r="N15" s="313"/>
      <c r="O15" s="313"/>
      <c r="P15" s="313"/>
      <c r="Q15" s="313"/>
      <c r="R15" s="313"/>
      <c r="S15" s="313"/>
      <c r="T15" s="313"/>
      <c r="U15" s="313"/>
      <c r="V15" s="313"/>
      <c r="W15" s="313"/>
      <c r="X15" s="313"/>
    </row>
    <row r="16" spans="2:258" ht="27.75" thickTop="1" thickBot="1" x14ac:dyDescent="0.45">
      <c r="B16" s="93" t="s">
        <v>62</v>
      </c>
      <c r="C16" s="94"/>
      <c r="D16" s="907" t="s">
        <v>124</v>
      </c>
      <c r="E16" s="908"/>
      <c r="F16" s="908"/>
      <c r="G16" s="908"/>
      <c r="H16" s="908"/>
      <c r="I16" s="908"/>
      <c r="J16" s="908"/>
      <c r="K16" s="908"/>
      <c r="L16" s="908"/>
      <c r="M16" s="908"/>
      <c r="N16" s="908"/>
      <c r="O16" s="908"/>
      <c r="P16" s="908"/>
      <c r="Q16" s="908"/>
      <c r="R16" s="908"/>
      <c r="S16" s="908"/>
      <c r="T16" s="908"/>
      <c r="U16" s="908"/>
      <c r="V16" s="908"/>
      <c r="W16" s="909"/>
      <c r="X16" s="94"/>
      <c r="Y16" s="95"/>
      <c r="AT16" s="886" t="s">
        <v>54</v>
      </c>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c r="DJ16" s="887"/>
      <c r="DK16" s="887"/>
      <c r="DL16" s="887"/>
      <c r="DM16" s="887"/>
      <c r="DN16" s="887"/>
      <c r="DO16" s="887"/>
      <c r="DP16" s="887"/>
      <c r="DQ16" s="887"/>
      <c r="DR16" s="887"/>
      <c r="DS16" s="887"/>
      <c r="DT16" s="887"/>
      <c r="DU16" s="887"/>
      <c r="DV16" s="887"/>
      <c r="DW16" s="887"/>
      <c r="DX16" s="887"/>
      <c r="DY16" s="887"/>
      <c r="DZ16" s="887"/>
      <c r="EA16" s="887"/>
      <c r="EB16" s="887"/>
      <c r="EC16" s="887"/>
      <c r="ED16" s="887"/>
      <c r="EE16" s="887"/>
      <c r="EF16" s="887"/>
      <c r="EG16" s="887"/>
      <c r="EH16" s="887"/>
      <c r="EI16" s="887"/>
      <c r="EJ16" s="887"/>
      <c r="EK16" s="887"/>
      <c r="EL16" s="887"/>
      <c r="EM16" s="887"/>
      <c r="EN16" s="887"/>
      <c r="EO16" s="887"/>
      <c r="EP16" s="887"/>
      <c r="EQ16" s="887"/>
      <c r="ER16" s="887"/>
      <c r="ES16" s="887"/>
      <c r="ET16" s="887"/>
      <c r="EU16" s="887"/>
      <c r="EV16" s="887"/>
      <c r="EW16" s="887"/>
      <c r="EX16" s="887"/>
      <c r="EY16" s="887"/>
      <c r="EZ16" s="887"/>
      <c r="FA16" s="887"/>
      <c r="FB16" s="887"/>
      <c r="FC16" s="887"/>
      <c r="FD16" s="887"/>
      <c r="FE16" s="887"/>
      <c r="FF16" s="887"/>
      <c r="FG16" s="887"/>
      <c r="FH16" s="887"/>
      <c r="FI16" s="887"/>
      <c r="FJ16" s="887"/>
      <c r="FK16" s="887"/>
      <c r="FL16" s="887"/>
      <c r="FM16" s="887"/>
      <c r="FN16" s="887"/>
      <c r="FO16" s="887"/>
      <c r="FP16" s="887"/>
      <c r="FQ16" s="887"/>
      <c r="FR16" s="887"/>
      <c r="FS16" s="887"/>
      <c r="FT16" s="887"/>
      <c r="FU16" s="887"/>
      <c r="FV16" s="887"/>
      <c r="FW16" s="887"/>
      <c r="FX16" s="887"/>
      <c r="FY16" s="887"/>
      <c r="FZ16" s="887"/>
      <c r="GA16" s="887"/>
      <c r="GB16" s="887"/>
      <c r="GC16" s="887"/>
      <c r="GD16" s="887"/>
      <c r="GE16" s="887"/>
      <c r="GF16" s="887"/>
      <c r="GG16" s="887"/>
      <c r="GH16" s="887"/>
      <c r="GI16" s="887"/>
      <c r="GJ16" s="887"/>
      <c r="GK16" s="887"/>
      <c r="GL16" s="887"/>
      <c r="GM16" s="887"/>
      <c r="GN16" s="887"/>
      <c r="GO16" s="887"/>
      <c r="GP16" s="887"/>
      <c r="GQ16" s="887"/>
      <c r="GR16" s="887"/>
      <c r="GS16" s="887"/>
      <c r="GT16" s="887"/>
      <c r="GU16" s="887"/>
      <c r="GV16" s="887"/>
      <c r="GW16" s="887"/>
      <c r="GX16" s="887"/>
      <c r="GY16" s="887"/>
      <c r="GZ16" s="887"/>
      <c r="HA16" s="887"/>
      <c r="HB16" s="887"/>
      <c r="HC16" s="887"/>
      <c r="HD16" s="887"/>
      <c r="HE16" s="887"/>
      <c r="HF16" s="887"/>
      <c r="HG16" s="887"/>
      <c r="HH16" s="887"/>
      <c r="HI16" s="887"/>
      <c r="HJ16" s="887"/>
      <c r="HK16" s="887"/>
      <c r="HL16" s="887"/>
      <c r="HM16" s="887"/>
      <c r="HN16" s="887"/>
      <c r="HO16" s="887"/>
      <c r="HP16" s="887"/>
      <c r="HQ16" s="887"/>
      <c r="HR16" s="887"/>
      <c r="HS16" s="887"/>
      <c r="HT16" s="887"/>
      <c r="HU16" s="887"/>
      <c r="HV16" s="887"/>
      <c r="HW16" s="887"/>
      <c r="HX16" s="887"/>
      <c r="HY16" s="887"/>
      <c r="HZ16" s="887"/>
      <c r="IA16" s="887"/>
      <c r="IB16" s="887"/>
      <c r="IC16" s="887"/>
      <c r="ID16" s="887"/>
      <c r="IE16" s="887"/>
      <c r="IF16" s="887"/>
      <c r="IG16" s="887"/>
      <c r="IH16" s="887"/>
      <c r="II16" s="887"/>
      <c r="IJ16" s="887"/>
      <c r="IK16" s="887"/>
      <c r="IL16" s="887"/>
      <c r="IM16" s="887"/>
      <c r="IN16" s="887"/>
      <c r="IO16" s="887"/>
      <c r="IP16" s="887"/>
      <c r="IQ16" s="887"/>
      <c r="IR16" s="887"/>
      <c r="IS16" s="887"/>
      <c r="IT16" s="887"/>
      <c r="IU16" s="887"/>
      <c r="IV16" s="887"/>
      <c r="IW16" s="887"/>
      <c r="IX16" s="888"/>
    </row>
    <row r="17" spans="2:258" ht="15.75" thickBot="1" x14ac:dyDescent="0.3">
      <c r="B17" s="66"/>
      <c r="C17" s="68"/>
      <c r="D17" s="68">
        <f>F11</f>
        <v>9</v>
      </c>
      <c r="E17" s="68">
        <v>12</v>
      </c>
      <c r="F17" s="68">
        <f>E17+6</f>
        <v>18</v>
      </c>
      <c r="G17" s="68">
        <f>F17+6</f>
        <v>24</v>
      </c>
      <c r="H17" s="68">
        <f t="shared" ref="H17" si="0">G17+6</f>
        <v>30</v>
      </c>
      <c r="I17" s="68">
        <f>H17+6</f>
        <v>36</v>
      </c>
      <c r="J17" s="68">
        <v>42</v>
      </c>
      <c r="K17" s="68">
        <v>48</v>
      </c>
      <c r="L17" s="68">
        <v>54</v>
      </c>
      <c r="M17" s="68">
        <v>60</v>
      </c>
      <c r="N17" s="68">
        <v>66</v>
      </c>
      <c r="O17" s="68">
        <v>72</v>
      </c>
      <c r="P17" s="68">
        <v>78</v>
      </c>
      <c r="Q17" s="68">
        <v>84</v>
      </c>
      <c r="R17" s="68">
        <v>90</v>
      </c>
      <c r="S17" s="68">
        <v>96</v>
      </c>
      <c r="T17" s="68">
        <v>102</v>
      </c>
      <c r="U17" s="68">
        <v>108</v>
      </c>
      <c r="V17" s="68">
        <v>114</v>
      </c>
      <c r="W17" s="68">
        <v>120</v>
      </c>
      <c r="X17" s="64"/>
      <c r="Y17" s="65"/>
      <c r="AT17" s="4"/>
      <c r="AU17" s="5"/>
      <c r="AV17" s="5"/>
      <c r="AW17" s="5"/>
      <c r="AX17" s="5"/>
      <c r="AY17" s="5"/>
      <c r="AZ17" s="5"/>
      <c r="BA17" s="5"/>
      <c r="BB17" s="5"/>
      <c r="BC17" s="5"/>
      <c r="BD17" s="5"/>
      <c r="BE17" s="5"/>
      <c r="BF17" s="5"/>
      <c r="BG17" s="5"/>
      <c r="BH17" s="6"/>
      <c r="BI17" s="7"/>
      <c r="BJ17" s="7"/>
      <c r="BK17" s="7"/>
      <c r="BL17" s="7"/>
      <c r="BM17" s="7"/>
      <c r="BN17" s="7"/>
      <c r="BO17" s="7"/>
      <c r="BP17" s="7"/>
      <c r="BQ17" s="7"/>
      <c r="BR17" s="6"/>
      <c r="BS17" s="7"/>
      <c r="BT17" s="7"/>
      <c r="BU17" s="7"/>
      <c r="BV17" s="7"/>
      <c r="BW17" s="7"/>
      <c r="BX17" s="7"/>
      <c r="BY17" s="7"/>
      <c r="BZ17" s="7"/>
      <c r="CA17" s="7"/>
      <c r="CB17" s="6"/>
      <c r="CC17" s="7"/>
      <c r="CD17" s="7"/>
      <c r="CE17" s="7"/>
      <c r="CF17" s="7"/>
      <c r="CG17" s="7"/>
      <c r="CH17" s="7"/>
      <c r="CI17" s="7"/>
      <c r="CJ17" s="7"/>
      <c r="CK17" s="7"/>
      <c r="CL17" s="6"/>
      <c r="CM17" s="7"/>
      <c r="CN17" s="7"/>
      <c r="CO17" s="7"/>
      <c r="CP17" s="7"/>
      <c r="CQ17" s="7"/>
      <c r="CR17" s="7"/>
      <c r="CS17" s="7"/>
      <c r="CT17" s="7"/>
      <c r="CU17" s="7"/>
      <c r="CV17" s="6"/>
      <c r="CW17" s="7"/>
      <c r="CX17" s="7"/>
      <c r="CY17" s="7"/>
      <c r="CZ17" s="7"/>
      <c r="DA17" s="7"/>
      <c r="DB17" s="7"/>
      <c r="DC17" s="7"/>
      <c r="DD17" s="7"/>
      <c r="DE17" s="7"/>
      <c r="DF17" s="6"/>
      <c r="DG17" s="7"/>
      <c r="DH17" s="7"/>
      <c r="DI17" s="7"/>
      <c r="DJ17" s="7"/>
      <c r="DK17" s="7"/>
      <c r="DL17" s="7"/>
      <c r="DM17" s="7"/>
      <c r="DN17" s="7"/>
      <c r="DO17" s="7"/>
      <c r="DP17" s="6"/>
      <c r="DQ17" s="7"/>
      <c r="DR17" s="7"/>
      <c r="DS17" s="7"/>
      <c r="DT17" s="7"/>
      <c r="DU17" s="7"/>
      <c r="DV17" s="7"/>
      <c r="DW17" s="7"/>
      <c r="DX17" s="7"/>
      <c r="DY17" s="7"/>
      <c r="DZ17" s="6"/>
      <c r="EA17" s="7"/>
      <c r="EB17" s="7"/>
      <c r="EC17" s="7"/>
      <c r="ED17" s="7"/>
      <c r="EE17" s="7"/>
      <c r="EF17" s="7"/>
      <c r="EG17" s="7"/>
      <c r="EH17" s="7"/>
      <c r="EI17" s="7"/>
      <c r="EJ17" s="6"/>
      <c r="EK17" s="7"/>
      <c r="EL17" s="7"/>
      <c r="EM17" s="7"/>
      <c r="EN17" s="7"/>
      <c r="EO17" s="7"/>
      <c r="EP17" s="7"/>
      <c r="EQ17" s="7"/>
      <c r="ER17" s="7"/>
      <c r="ES17" s="7"/>
      <c r="ET17" s="6"/>
      <c r="EU17" s="7"/>
      <c r="EV17" s="7"/>
      <c r="EW17" s="7"/>
      <c r="EX17" s="7"/>
      <c r="EY17" s="7"/>
      <c r="EZ17" s="7"/>
      <c r="FA17" s="7"/>
      <c r="FB17" s="7"/>
      <c r="FC17" s="7"/>
      <c r="FD17" s="6"/>
      <c r="FE17" s="7"/>
      <c r="FF17" s="7"/>
      <c r="FG17" s="7"/>
      <c r="FH17" s="7"/>
      <c r="FI17" s="7"/>
      <c r="FJ17" s="7"/>
      <c r="FK17" s="7"/>
      <c r="FL17" s="7"/>
      <c r="FM17" s="7"/>
      <c r="FN17" s="6"/>
      <c r="FO17" s="7"/>
      <c r="FP17" s="7"/>
      <c r="FQ17" s="7"/>
      <c r="FR17" s="7"/>
      <c r="FS17" s="7"/>
      <c r="FT17" s="7"/>
      <c r="FU17" s="7"/>
      <c r="FV17" s="7"/>
      <c r="FW17" s="7"/>
      <c r="FX17" s="6"/>
      <c r="FY17" s="7"/>
      <c r="FZ17" s="7"/>
      <c r="GA17" s="7"/>
      <c r="GB17" s="7"/>
      <c r="GC17" s="7"/>
      <c r="GD17" s="7"/>
      <c r="GE17" s="7"/>
      <c r="GF17" s="7"/>
      <c r="GG17" s="7"/>
      <c r="GH17" s="6"/>
      <c r="GI17" s="7"/>
      <c r="GJ17" s="7"/>
      <c r="GK17" s="7"/>
      <c r="GL17" s="7"/>
      <c r="GM17" s="7"/>
      <c r="GN17" s="7"/>
      <c r="GO17" s="7"/>
      <c r="GP17" s="7"/>
      <c r="GQ17" s="7"/>
      <c r="GR17" s="6"/>
      <c r="GS17" s="7"/>
      <c r="GT17" s="7"/>
      <c r="GU17" s="7"/>
      <c r="GV17" s="7"/>
      <c r="GW17" s="7"/>
      <c r="GX17" s="7"/>
      <c r="GY17" s="7"/>
      <c r="GZ17" s="7"/>
      <c r="HA17" s="7"/>
      <c r="HB17" s="6"/>
      <c r="HC17" s="7"/>
      <c r="HD17" s="7"/>
      <c r="HE17" s="7"/>
      <c r="HF17" s="7"/>
      <c r="HG17" s="7"/>
      <c r="HH17" s="7"/>
      <c r="HI17" s="7"/>
      <c r="HJ17" s="7"/>
      <c r="HK17" s="7"/>
      <c r="HL17" s="6"/>
      <c r="HM17" s="7"/>
      <c r="HN17" s="7"/>
      <c r="HO17" s="7"/>
      <c r="HP17" s="7"/>
      <c r="HQ17" s="7"/>
      <c r="HR17" s="7"/>
      <c r="HS17" s="7"/>
      <c r="HT17" s="7"/>
      <c r="HU17" s="7"/>
      <c r="HV17" s="6"/>
      <c r="HW17" s="7"/>
      <c r="HX17" s="7"/>
      <c r="HY17" s="7"/>
      <c r="HZ17" s="7"/>
      <c r="IA17" s="7"/>
      <c r="IB17" s="7"/>
      <c r="IC17" s="7"/>
      <c r="ID17" s="7"/>
      <c r="IE17" s="7"/>
      <c r="IF17" s="6"/>
      <c r="IG17" s="7"/>
      <c r="IH17" s="7"/>
      <c r="II17" s="7"/>
      <c r="IJ17" s="7"/>
      <c r="IK17" s="7"/>
      <c r="IL17" s="7"/>
      <c r="IM17" s="7"/>
      <c r="IN17" s="5"/>
      <c r="IO17" s="5"/>
      <c r="IP17" s="5"/>
      <c r="IQ17" s="5"/>
      <c r="IR17" s="5"/>
      <c r="IS17" s="5"/>
      <c r="IT17" s="5"/>
      <c r="IU17" s="5"/>
      <c r="IV17" s="5"/>
      <c r="IW17" s="5"/>
      <c r="IX17" s="8"/>
    </row>
    <row r="18" spans="2:258" ht="16.5" thickBot="1" x14ac:dyDescent="0.3">
      <c r="B18" s="107" t="s">
        <v>123</v>
      </c>
      <c r="C18" s="225">
        <v>1</v>
      </c>
      <c r="D18" s="344">
        <v>2</v>
      </c>
      <c r="E18" s="345">
        <v>3</v>
      </c>
      <c r="F18" s="345">
        <v>4</v>
      </c>
      <c r="G18" s="345">
        <v>5</v>
      </c>
      <c r="H18" s="345">
        <v>6</v>
      </c>
      <c r="I18" s="345">
        <v>7</v>
      </c>
      <c r="J18" s="345">
        <v>8</v>
      </c>
      <c r="K18" s="345">
        <v>9</v>
      </c>
      <c r="L18" s="345">
        <v>10</v>
      </c>
      <c r="M18" s="345">
        <v>11</v>
      </c>
      <c r="N18" s="345">
        <v>12</v>
      </c>
      <c r="O18" s="345">
        <v>13</v>
      </c>
      <c r="P18" s="345">
        <v>14</v>
      </c>
      <c r="Q18" s="345">
        <v>15</v>
      </c>
      <c r="R18" s="345">
        <v>16</v>
      </c>
      <c r="S18" s="345">
        <v>17</v>
      </c>
      <c r="T18" s="345">
        <v>18</v>
      </c>
      <c r="U18" s="345">
        <v>19</v>
      </c>
      <c r="V18" s="345">
        <v>20</v>
      </c>
      <c r="W18" s="346">
        <v>21</v>
      </c>
      <c r="X18" s="64"/>
      <c r="Y18" s="65"/>
      <c r="AT18" s="4"/>
      <c r="AU18" s="889" t="s">
        <v>17</v>
      </c>
      <c r="AV18" s="890"/>
      <c r="AW18" s="209"/>
      <c r="AX18" s="209"/>
      <c r="AY18" s="209"/>
      <c r="AZ18" s="209"/>
      <c r="BA18" s="209"/>
      <c r="BB18" s="209"/>
      <c r="BC18" s="209"/>
      <c r="BD18" s="209"/>
      <c r="BE18" s="209"/>
      <c r="BF18" s="209"/>
      <c r="BG18" s="209"/>
      <c r="BH18" s="895" t="s">
        <v>18</v>
      </c>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208"/>
      <c r="II18" s="208"/>
      <c r="IJ18" s="208"/>
      <c r="IK18" s="208"/>
      <c r="IL18" s="208"/>
      <c r="IM18" s="208"/>
      <c r="IN18" s="198"/>
      <c r="IO18" s="200"/>
      <c r="IP18" s="5"/>
      <c r="IQ18" s="9"/>
      <c r="IR18" s="9"/>
      <c r="IS18" s="9"/>
      <c r="IT18" s="9"/>
      <c r="IU18" s="9"/>
      <c r="IV18" s="9"/>
      <c r="IW18" s="9"/>
      <c r="IX18" s="8"/>
    </row>
    <row r="19" spans="2:258" ht="15" customHeight="1" thickBot="1" x14ac:dyDescent="0.3">
      <c r="B19" s="103">
        <f>F12</f>
        <v>9.5</v>
      </c>
      <c r="C19" s="227">
        <v>2</v>
      </c>
      <c r="D19" s="99">
        <f t="shared" ref="D19:D38" si="1">AX22/((D$17*B19)/144)</f>
        <v>0.19787134502923975</v>
      </c>
      <c r="E19" s="100">
        <f t="shared" ref="E19:E38" si="2">BH22/((E$17*B19)/144)</f>
        <v>0.22935087719298244</v>
      </c>
      <c r="F19" s="100">
        <f t="shared" ref="F19:F38" si="3">BR22/((F$17*$B19)/144)</f>
        <v>0.26083040935672513</v>
      </c>
      <c r="G19" s="100">
        <f t="shared" ref="G19:G38" si="4">CB22/((G$17*$B19)/144)</f>
        <v>0.27657017543859647</v>
      </c>
      <c r="H19" s="100">
        <f t="shared" ref="H19:H38" si="5">CL22/((H$17*$B19)/144)</f>
        <v>0.28601403508771928</v>
      </c>
      <c r="I19" s="100">
        <f t="shared" ref="I19:I38" si="6">CV22/((I$17*$B19)/144)</f>
        <v>0.2923099415204678</v>
      </c>
      <c r="J19" s="100">
        <f t="shared" ref="J19:J38" si="7">DF22/((J$17*$B19)/144)</f>
        <v>0.29680701754385963</v>
      </c>
      <c r="K19" s="100">
        <f t="shared" ref="K19:K38" si="8">DP22/((K$17*$B19)/144)</f>
        <v>0.30017982456140346</v>
      </c>
      <c r="L19" s="100">
        <f t="shared" ref="L19:L38" si="9">DZ22/((L$17*$B19)/144)</f>
        <v>0.29680701754385957</v>
      </c>
      <c r="M19" s="100">
        <f t="shared" ref="M19:M38" si="10">EJ22/((M$17*$B19)/144)</f>
        <v>0.29950526315789466</v>
      </c>
      <c r="N19" s="100">
        <f t="shared" ref="N19:N38" si="11">ET22/((N$17*$B19)/144)</f>
        <v>0.30171291866028704</v>
      </c>
      <c r="O19" s="100">
        <f t="shared" ref="O19:O38" si="12">FD22/((O$17*$B19)/144)</f>
        <v>0.30299049707602332</v>
      </c>
      <c r="P19" s="100">
        <f t="shared" ref="P19:P30" si="13">FN22/((P$17*$B19)/144)</f>
        <v>0.3045904183535762</v>
      </c>
      <c r="Q19" s="100">
        <f t="shared" ref="Q19:Q30" si="14">FX22/((Q$17*$B19)/144)</f>
        <v>0.30596177944862152</v>
      </c>
      <c r="R19" s="100">
        <f t="shared" ref="R19:R30" si="15">GH22/((R$17*$B19)/144)</f>
        <v>0.30715029239766084</v>
      </c>
      <c r="S19" s="100">
        <f t="shared" ref="S19:S30" si="16">GR22/((S$17*$B19)/144)</f>
        <v>0.30819024122807015</v>
      </c>
      <c r="T19" s="100">
        <f t="shared" ref="T19:T30" si="17">HB22/((T$17*$B19)/144)</f>
        <v>0.30910784313725487</v>
      </c>
      <c r="U19" s="100">
        <f t="shared" ref="U19:U30" si="18">HL22/((U$17*$B19)/144)</f>
        <v>0.30392738791422996</v>
      </c>
      <c r="V19" s="100">
        <f t="shared" ref="V19:V30" si="19">HV22/((V$17*$B19)/144)</f>
        <v>0.30497276084949215</v>
      </c>
      <c r="W19" s="100">
        <f t="shared" ref="W19:W30" si="20">IF22/((W$17*$B19)/144)</f>
        <v>0.30591359649122801</v>
      </c>
      <c r="X19" s="96"/>
      <c r="Y19" s="97"/>
      <c r="Z19" s="83"/>
      <c r="AA19" s="83"/>
      <c r="AT19" s="4"/>
      <c r="AU19" s="891"/>
      <c r="AV19" s="892"/>
      <c r="AW19" s="210"/>
      <c r="AX19" s="210"/>
      <c r="AY19" s="210"/>
      <c r="AZ19" s="210"/>
      <c r="BA19" s="210"/>
      <c r="BB19" s="210"/>
      <c r="BC19" s="210"/>
      <c r="BD19" s="210"/>
      <c r="BE19" s="210"/>
      <c r="BF19" s="210"/>
      <c r="BG19" s="210"/>
      <c r="BH19" s="897"/>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207"/>
      <c r="II19" s="207"/>
      <c r="IJ19" s="207"/>
      <c r="IK19" s="207"/>
      <c r="IL19" s="207"/>
      <c r="IM19" s="207"/>
      <c r="IN19" s="199"/>
      <c r="IO19" s="201"/>
      <c r="IP19" s="5"/>
      <c r="IQ19" s="899" t="s">
        <v>19</v>
      </c>
      <c r="IR19" s="900"/>
      <c r="IS19" s="900"/>
      <c r="IT19" s="900"/>
      <c r="IU19" s="900"/>
      <c r="IV19" s="900"/>
      <c r="IW19" s="901"/>
      <c r="IX19" s="8"/>
    </row>
    <row r="20" spans="2:258" ht="15.75" thickBot="1" x14ac:dyDescent="0.3">
      <c r="B20" s="103">
        <v>12</v>
      </c>
      <c r="C20" s="226">
        <v>3</v>
      </c>
      <c r="D20" s="98">
        <f t="shared" si="1"/>
        <v>0.24174537037037036</v>
      </c>
      <c r="E20" s="96">
        <f t="shared" si="2"/>
        <v>0.28020486111111109</v>
      </c>
      <c r="F20" s="96">
        <f t="shared" si="3"/>
        <v>0.31866435185185188</v>
      </c>
      <c r="G20" s="96">
        <f t="shared" si="4"/>
        <v>0.33789409722222224</v>
      </c>
      <c r="H20" s="96">
        <f t="shared" si="5"/>
        <v>0.34943194444444448</v>
      </c>
      <c r="I20" s="96">
        <f t="shared" si="6"/>
        <v>0.35712384259259261</v>
      </c>
      <c r="J20" s="96">
        <f t="shared" si="7"/>
        <v>0.36261805555555554</v>
      </c>
      <c r="K20" s="96">
        <f t="shared" si="8"/>
        <v>0.36673871527777779</v>
      </c>
      <c r="L20" s="96">
        <f t="shared" si="9"/>
        <v>0.36261805555555554</v>
      </c>
      <c r="M20" s="96">
        <f t="shared" si="10"/>
        <v>0.36591458333333338</v>
      </c>
      <c r="N20" s="96">
        <f t="shared" si="11"/>
        <v>0.36861174242424238</v>
      </c>
      <c r="O20" s="96">
        <f t="shared" si="12"/>
        <v>0.37017259837962957</v>
      </c>
      <c r="P20" s="96">
        <f t="shared" si="13"/>
        <v>0.37212727029914533</v>
      </c>
      <c r="Q20" s="96">
        <f t="shared" si="14"/>
        <v>0.37380270337301585</v>
      </c>
      <c r="R20" s="96">
        <f t="shared" si="15"/>
        <v>0.3752547453703704</v>
      </c>
      <c r="S20" s="96">
        <f t="shared" si="16"/>
        <v>0.37652528211805553</v>
      </c>
      <c r="T20" s="96">
        <f t="shared" si="17"/>
        <v>0.37764634395424834</v>
      </c>
      <c r="U20" s="96">
        <f t="shared" si="18"/>
        <v>0.37131722608024692</v>
      </c>
      <c r="V20" s="96">
        <f t="shared" si="19"/>
        <v>0.372594389619883</v>
      </c>
      <c r="W20" s="96">
        <f t="shared" si="20"/>
        <v>0.37374383680555551</v>
      </c>
      <c r="X20" s="96"/>
      <c r="Y20" s="65"/>
      <c r="AA20" s="83"/>
      <c r="AT20" s="4"/>
      <c r="AU20" s="893"/>
      <c r="AV20" s="894"/>
      <c r="AW20" s="10"/>
      <c r="AX20" s="10">
        <v>9</v>
      </c>
      <c r="AY20" s="12" t="str">
        <f>"("&amp;ROUND(AX20*25.4/50,0)*50&amp;")"</f>
        <v>(250)</v>
      </c>
      <c r="AZ20" s="13" t="s">
        <v>20</v>
      </c>
      <c r="BA20" s="13" t="s">
        <v>21</v>
      </c>
      <c r="BB20" s="13" t="s">
        <v>22</v>
      </c>
      <c r="BC20" s="13" t="s">
        <v>23</v>
      </c>
      <c r="BD20" s="13" t="s">
        <v>24</v>
      </c>
      <c r="BE20" s="13" t="s">
        <v>25</v>
      </c>
      <c r="BF20" s="13" t="s">
        <v>26</v>
      </c>
      <c r="BG20" s="13" t="s">
        <v>27</v>
      </c>
      <c r="BH20" s="11">
        <v>12</v>
      </c>
      <c r="BI20" s="12" t="str">
        <f>"("&amp;ROUND(BH20*25.4/50,0)*50&amp;")"</f>
        <v>(300)</v>
      </c>
      <c r="BJ20" s="13" t="s">
        <v>20</v>
      </c>
      <c r="BK20" s="13" t="s">
        <v>21</v>
      </c>
      <c r="BL20" s="13" t="s">
        <v>22</v>
      </c>
      <c r="BM20" s="13" t="s">
        <v>23</v>
      </c>
      <c r="BN20" s="13" t="s">
        <v>24</v>
      </c>
      <c r="BO20" s="13" t="s">
        <v>25</v>
      </c>
      <c r="BP20" s="13" t="s">
        <v>26</v>
      </c>
      <c r="BQ20" s="13" t="s">
        <v>27</v>
      </c>
      <c r="BR20" s="11">
        <f>BH20+6</f>
        <v>18</v>
      </c>
      <c r="BS20" s="12" t="str">
        <f>"("&amp;ROUND(BR20*25.4/50,0)*50&amp;")"</f>
        <v>(450)</v>
      </c>
      <c r="BT20" s="13" t="s">
        <v>20</v>
      </c>
      <c r="BU20" s="13" t="s">
        <v>21</v>
      </c>
      <c r="BV20" s="13" t="s">
        <v>22</v>
      </c>
      <c r="BW20" s="13" t="s">
        <v>23</v>
      </c>
      <c r="BX20" s="13" t="s">
        <v>24</v>
      </c>
      <c r="BY20" s="13" t="s">
        <v>25</v>
      </c>
      <c r="BZ20" s="13" t="s">
        <v>26</v>
      </c>
      <c r="CA20" s="13" t="s">
        <v>27</v>
      </c>
      <c r="CB20" s="11">
        <f>BR20+6</f>
        <v>24</v>
      </c>
      <c r="CC20" s="12" t="str">
        <f>"("&amp;ROUND(CB20*25.4/50,0)*50&amp;")"</f>
        <v>(600)</v>
      </c>
      <c r="CD20" s="13" t="s">
        <v>20</v>
      </c>
      <c r="CE20" s="13" t="s">
        <v>21</v>
      </c>
      <c r="CF20" s="13" t="s">
        <v>22</v>
      </c>
      <c r="CG20" s="13" t="s">
        <v>23</v>
      </c>
      <c r="CH20" s="13" t="s">
        <v>24</v>
      </c>
      <c r="CI20" s="13" t="s">
        <v>25</v>
      </c>
      <c r="CJ20" s="13" t="s">
        <v>26</v>
      </c>
      <c r="CK20" s="13" t="s">
        <v>27</v>
      </c>
      <c r="CL20" s="11">
        <f>CB20+6</f>
        <v>30</v>
      </c>
      <c r="CM20" s="12" t="str">
        <f>"("&amp;ROUND(CL20*25.4/50,0)*50&amp;")"</f>
        <v>(750)</v>
      </c>
      <c r="CN20" s="13" t="s">
        <v>20</v>
      </c>
      <c r="CO20" s="13" t="s">
        <v>21</v>
      </c>
      <c r="CP20" s="13" t="s">
        <v>22</v>
      </c>
      <c r="CQ20" s="13" t="s">
        <v>23</v>
      </c>
      <c r="CR20" s="13" t="s">
        <v>24</v>
      </c>
      <c r="CS20" s="13" t="s">
        <v>25</v>
      </c>
      <c r="CT20" s="13" t="s">
        <v>26</v>
      </c>
      <c r="CU20" s="13" t="s">
        <v>27</v>
      </c>
      <c r="CV20" s="11">
        <f>CL20+6</f>
        <v>36</v>
      </c>
      <c r="CW20" s="12" t="str">
        <f>"("&amp;ROUND(CV20*25.4/50,0)*50&amp;")"</f>
        <v>(900)</v>
      </c>
      <c r="CX20" s="13" t="s">
        <v>20</v>
      </c>
      <c r="CY20" s="13" t="s">
        <v>21</v>
      </c>
      <c r="CZ20" s="13" t="s">
        <v>22</v>
      </c>
      <c r="DA20" s="13" t="s">
        <v>23</v>
      </c>
      <c r="DB20" s="13" t="s">
        <v>24</v>
      </c>
      <c r="DC20" s="13" t="s">
        <v>25</v>
      </c>
      <c r="DD20" s="13" t="s">
        <v>26</v>
      </c>
      <c r="DE20" s="13" t="s">
        <v>27</v>
      </c>
      <c r="DF20" s="11">
        <f>CV20+6</f>
        <v>42</v>
      </c>
      <c r="DG20" s="12" t="str">
        <f>"("&amp;ROUND(DF20*25.4/50,0)*50&amp;")"</f>
        <v>(1050)</v>
      </c>
      <c r="DH20" s="13" t="s">
        <v>20</v>
      </c>
      <c r="DI20" s="13" t="s">
        <v>21</v>
      </c>
      <c r="DJ20" s="13" t="s">
        <v>22</v>
      </c>
      <c r="DK20" s="13" t="s">
        <v>23</v>
      </c>
      <c r="DL20" s="13" t="s">
        <v>24</v>
      </c>
      <c r="DM20" s="13" t="s">
        <v>25</v>
      </c>
      <c r="DN20" s="13" t="s">
        <v>26</v>
      </c>
      <c r="DO20" s="13" t="s">
        <v>27</v>
      </c>
      <c r="DP20" s="11">
        <f>DF20+6</f>
        <v>48</v>
      </c>
      <c r="DQ20" s="12" t="str">
        <f>"("&amp;ROUND(DP20*25.4/50,0)*50&amp;")"</f>
        <v>(1200)</v>
      </c>
      <c r="DR20" s="13" t="s">
        <v>20</v>
      </c>
      <c r="DS20" s="13" t="s">
        <v>21</v>
      </c>
      <c r="DT20" s="13" t="s">
        <v>22</v>
      </c>
      <c r="DU20" s="13" t="s">
        <v>23</v>
      </c>
      <c r="DV20" s="13" t="s">
        <v>24</v>
      </c>
      <c r="DW20" s="13" t="s">
        <v>25</v>
      </c>
      <c r="DX20" s="13" t="s">
        <v>26</v>
      </c>
      <c r="DY20" s="13" t="s">
        <v>27</v>
      </c>
      <c r="DZ20" s="11">
        <f>DP20+6</f>
        <v>54</v>
      </c>
      <c r="EA20" s="12" t="str">
        <f>"("&amp;ROUND(DZ20*25.4/50,0)*50&amp;")"</f>
        <v>(1350)</v>
      </c>
      <c r="EB20" s="13" t="s">
        <v>20</v>
      </c>
      <c r="EC20" s="13" t="s">
        <v>21</v>
      </c>
      <c r="ED20" s="13" t="s">
        <v>22</v>
      </c>
      <c r="EE20" s="13" t="s">
        <v>23</v>
      </c>
      <c r="EF20" s="13" t="s">
        <v>24</v>
      </c>
      <c r="EG20" s="13" t="s">
        <v>25</v>
      </c>
      <c r="EH20" s="13" t="s">
        <v>26</v>
      </c>
      <c r="EI20" s="13" t="s">
        <v>27</v>
      </c>
      <c r="EJ20" s="11">
        <f>DZ20+6</f>
        <v>60</v>
      </c>
      <c r="EK20" s="12" t="str">
        <f>"("&amp;ROUND(EJ20*25.4/50,0)*50&amp;")"</f>
        <v>(1500)</v>
      </c>
      <c r="EL20" s="13" t="s">
        <v>20</v>
      </c>
      <c r="EM20" s="13" t="s">
        <v>21</v>
      </c>
      <c r="EN20" s="13" t="s">
        <v>22</v>
      </c>
      <c r="EO20" s="13" t="s">
        <v>23</v>
      </c>
      <c r="EP20" s="13" t="s">
        <v>24</v>
      </c>
      <c r="EQ20" s="13" t="s">
        <v>25</v>
      </c>
      <c r="ER20" s="13" t="s">
        <v>26</v>
      </c>
      <c r="ES20" s="13" t="s">
        <v>27</v>
      </c>
      <c r="ET20" s="11">
        <f>EJ20+6</f>
        <v>66</v>
      </c>
      <c r="EU20" s="12" t="str">
        <f>"("&amp;ROUND(ET20*25.4/50,0)*50&amp;")"</f>
        <v>(1700)</v>
      </c>
      <c r="EV20" s="13" t="s">
        <v>20</v>
      </c>
      <c r="EW20" s="13" t="s">
        <v>21</v>
      </c>
      <c r="EX20" s="13" t="s">
        <v>22</v>
      </c>
      <c r="EY20" s="13" t="s">
        <v>23</v>
      </c>
      <c r="EZ20" s="13" t="s">
        <v>24</v>
      </c>
      <c r="FA20" s="13" t="s">
        <v>25</v>
      </c>
      <c r="FB20" s="13" t="s">
        <v>26</v>
      </c>
      <c r="FC20" s="13" t="s">
        <v>27</v>
      </c>
      <c r="FD20" s="11">
        <f>ET20+6</f>
        <v>72</v>
      </c>
      <c r="FE20" s="12" t="str">
        <f>"("&amp;ROUND(FD20*25.4/50,0)*50&amp;")"</f>
        <v>(1850)</v>
      </c>
      <c r="FF20" s="13" t="s">
        <v>20</v>
      </c>
      <c r="FG20" s="13" t="s">
        <v>21</v>
      </c>
      <c r="FH20" s="13" t="s">
        <v>22</v>
      </c>
      <c r="FI20" s="13" t="s">
        <v>23</v>
      </c>
      <c r="FJ20" s="13" t="s">
        <v>24</v>
      </c>
      <c r="FK20" s="13" t="s">
        <v>25</v>
      </c>
      <c r="FL20" s="13" t="s">
        <v>26</v>
      </c>
      <c r="FM20" s="13" t="s">
        <v>27</v>
      </c>
      <c r="FN20" s="11">
        <f>FD20+6</f>
        <v>78</v>
      </c>
      <c r="FO20" s="12" t="str">
        <f>"("&amp;ROUND(FN20*25.4/50,0)*50&amp;")"</f>
        <v>(2000)</v>
      </c>
      <c r="FP20" s="13" t="s">
        <v>20</v>
      </c>
      <c r="FQ20" s="13" t="s">
        <v>21</v>
      </c>
      <c r="FR20" s="13" t="s">
        <v>22</v>
      </c>
      <c r="FS20" s="13" t="s">
        <v>23</v>
      </c>
      <c r="FT20" s="13" t="s">
        <v>24</v>
      </c>
      <c r="FU20" s="13" t="s">
        <v>25</v>
      </c>
      <c r="FV20" s="13" t="s">
        <v>26</v>
      </c>
      <c r="FW20" s="13" t="s">
        <v>27</v>
      </c>
      <c r="FX20" s="11">
        <f>FN20+6</f>
        <v>84</v>
      </c>
      <c r="FY20" s="12" t="str">
        <f>"("&amp;ROUND(FX20*25.4/50,0)*50&amp;")"</f>
        <v>(2150)</v>
      </c>
      <c r="FZ20" s="13" t="s">
        <v>20</v>
      </c>
      <c r="GA20" s="13" t="s">
        <v>21</v>
      </c>
      <c r="GB20" s="13" t="s">
        <v>22</v>
      </c>
      <c r="GC20" s="13" t="s">
        <v>23</v>
      </c>
      <c r="GD20" s="13" t="s">
        <v>24</v>
      </c>
      <c r="GE20" s="13" t="s">
        <v>25</v>
      </c>
      <c r="GF20" s="13" t="s">
        <v>26</v>
      </c>
      <c r="GG20" s="13" t="s">
        <v>27</v>
      </c>
      <c r="GH20" s="11">
        <f>FX20+6</f>
        <v>90</v>
      </c>
      <c r="GI20" s="12" t="str">
        <f>"("&amp;ROUND(GH20*25.4/50,0)*50&amp;")"</f>
        <v>(2300)</v>
      </c>
      <c r="GJ20" s="13" t="s">
        <v>20</v>
      </c>
      <c r="GK20" s="13" t="s">
        <v>21</v>
      </c>
      <c r="GL20" s="13" t="s">
        <v>22</v>
      </c>
      <c r="GM20" s="13" t="s">
        <v>23</v>
      </c>
      <c r="GN20" s="13" t="s">
        <v>24</v>
      </c>
      <c r="GO20" s="13" t="s">
        <v>25</v>
      </c>
      <c r="GP20" s="13" t="s">
        <v>26</v>
      </c>
      <c r="GQ20" s="13" t="s">
        <v>27</v>
      </c>
      <c r="GR20" s="11">
        <f>GH20+6</f>
        <v>96</v>
      </c>
      <c r="GS20" s="12" t="str">
        <f>"("&amp;ROUND(GR20*25.4/50,0)*50&amp;")"</f>
        <v>(2450)</v>
      </c>
      <c r="GT20" s="13" t="s">
        <v>20</v>
      </c>
      <c r="GU20" s="13" t="s">
        <v>21</v>
      </c>
      <c r="GV20" s="13" t="s">
        <v>22</v>
      </c>
      <c r="GW20" s="13" t="s">
        <v>23</v>
      </c>
      <c r="GX20" s="13" t="s">
        <v>24</v>
      </c>
      <c r="GY20" s="13" t="s">
        <v>25</v>
      </c>
      <c r="GZ20" s="13" t="s">
        <v>26</v>
      </c>
      <c r="HA20" s="13" t="s">
        <v>27</v>
      </c>
      <c r="HB20" s="11">
        <f>GR20+6</f>
        <v>102</v>
      </c>
      <c r="HC20" s="12" t="str">
        <f>"("&amp;ROUND(HB20*25.4/50,0)*50&amp;")"</f>
        <v>(2600)</v>
      </c>
      <c r="HD20" s="13" t="s">
        <v>20</v>
      </c>
      <c r="HE20" s="13" t="s">
        <v>21</v>
      </c>
      <c r="HF20" s="13" t="s">
        <v>22</v>
      </c>
      <c r="HG20" s="13" t="s">
        <v>23</v>
      </c>
      <c r="HH20" s="13" t="s">
        <v>24</v>
      </c>
      <c r="HI20" s="13" t="s">
        <v>25</v>
      </c>
      <c r="HJ20" s="13" t="s">
        <v>26</v>
      </c>
      <c r="HK20" s="13" t="s">
        <v>27</v>
      </c>
      <c r="HL20" s="11">
        <f>HB20+6</f>
        <v>108</v>
      </c>
      <c r="HM20" s="12" t="str">
        <f>"("&amp;ROUND(HL20*25.4/50,0)*50&amp;")"</f>
        <v>(2750)</v>
      </c>
      <c r="HN20" s="13" t="s">
        <v>20</v>
      </c>
      <c r="HO20" s="13" t="s">
        <v>21</v>
      </c>
      <c r="HP20" s="13" t="s">
        <v>22</v>
      </c>
      <c r="HQ20" s="13" t="s">
        <v>23</v>
      </c>
      <c r="HR20" s="13" t="s">
        <v>24</v>
      </c>
      <c r="HS20" s="13" t="s">
        <v>25</v>
      </c>
      <c r="HT20" s="13" t="s">
        <v>26</v>
      </c>
      <c r="HU20" s="13" t="s">
        <v>27</v>
      </c>
      <c r="HV20" s="11">
        <f>HL20+6</f>
        <v>114</v>
      </c>
      <c r="HW20" s="12" t="str">
        <f>"("&amp;ROUND(HV20*25.4/50,0)*50&amp;")"</f>
        <v>(2900)</v>
      </c>
      <c r="HX20" s="13" t="s">
        <v>20</v>
      </c>
      <c r="HY20" s="13" t="s">
        <v>21</v>
      </c>
      <c r="HZ20" s="13" t="s">
        <v>22</v>
      </c>
      <c r="IA20" s="13" t="s">
        <v>23</v>
      </c>
      <c r="IB20" s="13" t="s">
        <v>24</v>
      </c>
      <c r="IC20" s="13" t="s">
        <v>25</v>
      </c>
      <c r="ID20" s="13" t="s">
        <v>26</v>
      </c>
      <c r="IE20" s="13" t="s">
        <v>27</v>
      </c>
      <c r="IF20" s="11">
        <f>HV20+6</f>
        <v>120</v>
      </c>
      <c r="IG20" s="12" t="str">
        <f>"("&amp;ROUND(IF20*25.4/50,0)*50&amp;")"</f>
        <v>(3050)</v>
      </c>
      <c r="IH20" s="13" t="s">
        <v>20</v>
      </c>
      <c r="II20" s="13" t="s">
        <v>21</v>
      </c>
      <c r="IJ20" s="13" t="s">
        <v>22</v>
      </c>
      <c r="IK20" s="13" t="s">
        <v>23</v>
      </c>
      <c r="IL20" s="13" t="s">
        <v>24</v>
      </c>
      <c r="IM20" s="13" t="s">
        <v>25</v>
      </c>
      <c r="IN20" s="13" t="s">
        <v>26</v>
      </c>
      <c r="IO20" s="13" t="s">
        <v>27</v>
      </c>
      <c r="IP20" s="15"/>
      <c r="IQ20" s="16" t="s">
        <v>28</v>
      </c>
      <c r="IR20" s="16" t="s">
        <v>29</v>
      </c>
      <c r="IS20" s="16" t="s">
        <v>30</v>
      </c>
      <c r="IT20" s="16" t="s">
        <v>31</v>
      </c>
      <c r="IU20" s="16" t="s">
        <v>32</v>
      </c>
      <c r="IV20" s="16" t="s">
        <v>33</v>
      </c>
      <c r="IW20" s="16" t="s">
        <v>34</v>
      </c>
      <c r="IX20" s="8"/>
    </row>
    <row r="21" spans="2:258" ht="15.75" thickBot="1" x14ac:dyDescent="0.3">
      <c r="B21" s="103">
        <f>B20+6</f>
        <v>18</v>
      </c>
      <c r="C21" s="221">
        <v>4</v>
      </c>
      <c r="D21" s="98">
        <f t="shared" si="1"/>
        <v>0.29988580246913582</v>
      </c>
      <c r="E21" s="96">
        <f t="shared" si="2"/>
        <v>0.34759490740740739</v>
      </c>
      <c r="F21" s="96">
        <f t="shared" si="3"/>
        <v>0.39530401234567897</v>
      </c>
      <c r="G21" s="96">
        <f t="shared" si="4"/>
        <v>0.41915856481481484</v>
      </c>
      <c r="H21" s="96">
        <f t="shared" si="5"/>
        <v>0.43347129629629627</v>
      </c>
      <c r="I21" s="96">
        <f t="shared" si="6"/>
        <v>0.4430131172839506</v>
      </c>
      <c r="J21" s="96">
        <f t="shared" si="7"/>
        <v>0.4498287037037037</v>
      </c>
      <c r="K21" s="96">
        <f t="shared" si="8"/>
        <v>0.45494039351851856</v>
      </c>
      <c r="L21" s="96">
        <f t="shared" si="9"/>
        <v>0.4498287037037037</v>
      </c>
      <c r="M21" s="96">
        <f t="shared" si="10"/>
        <v>0.45391805555555553</v>
      </c>
      <c r="N21" s="96">
        <f t="shared" si="11"/>
        <v>0.45726388888888891</v>
      </c>
      <c r="O21" s="96">
        <f t="shared" si="12"/>
        <v>0.45920013503086415</v>
      </c>
      <c r="P21" s="96">
        <f t="shared" si="13"/>
        <v>0.46162491096866104</v>
      </c>
      <c r="Q21" s="96">
        <f t="shared" si="14"/>
        <v>0.46370329034391533</v>
      </c>
      <c r="R21" s="96">
        <f t="shared" si="15"/>
        <v>0.46550455246913586</v>
      </c>
      <c r="S21" s="96">
        <f t="shared" si="16"/>
        <v>0.46708065682870364</v>
      </c>
      <c r="T21" s="96">
        <f t="shared" si="17"/>
        <v>0.4684713371459695</v>
      </c>
      <c r="U21" s="96">
        <f t="shared" si="18"/>
        <v>0.46062004886831276</v>
      </c>
      <c r="V21" s="96">
        <f t="shared" si="19"/>
        <v>0.46220437378167645</v>
      </c>
      <c r="W21" s="96">
        <f t="shared" si="20"/>
        <v>0.46363026620370368</v>
      </c>
      <c r="X21" s="96"/>
      <c r="Y21" s="65"/>
      <c r="AA21" s="83"/>
      <c r="AT21" s="4"/>
      <c r="AU21" s="10"/>
      <c r="AV21" s="17"/>
      <c r="AW21" s="18"/>
      <c r="AX21" s="18"/>
      <c r="AY21" s="18">
        <v>0</v>
      </c>
      <c r="AZ21" s="12">
        <f t="shared" ref="AZ21:BG21" si="21">AY21+1</f>
        <v>1</v>
      </c>
      <c r="BA21" s="12">
        <f t="shared" si="21"/>
        <v>2</v>
      </c>
      <c r="BB21" s="12">
        <f t="shared" si="21"/>
        <v>3</v>
      </c>
      <c r="BC21" s="12">
        <f t="shared" si="21"/>
        <v>4</v>
      </c>
      <c r="BD21" s="12">
        <f t="shared" si="21"/>
        <v>5</v>
      </c>
      <c r="BE21" s="12">
        <f t="shared" si="21"/>
        <v>6</v>
      </c>
      <c r="BF21" s="12">
        <f t="shared" si="21"/>
        <v>7</v>
      </c>
      <c r="BG21" s="12">
        <f t="shared" si="21"/>
        <v>8</v>
      </c>
      <c r="BH21" s="11">
        <v>6</v>
      </c>
      <c r="BI21" s="12">
        <f>BH21+1</f>
        <v>7</v>
      </c>
      <c r="BJ21" s="12">
        <f t="shared" ref="BJ21:DU21" si="22">BI21+1</f>
        <v>8</v>
      </c>
      <c r="BK21" s="12">
        <f t="shared" si="22"/>
        <v>9</v>
      </c>
      <c r="BL21" s="12">
        <f t="shared" si="22"/>
        <v>10</v>
      </c>
      <c r="BM21" s="12">
        <f t="shared" si="22"/>
        <v>11</v>
      </c>
      <c r="BN21" s="12">
        <f t="shared" si="22"/>
        <v>12</v>
      </c>
      <c r="BO21" s="12">
        <f t="shared" si="22"/>
        <v>13</v>
      </c>
      <c r="BP21" s="12">
        <f t="shared" si="22"/>
        <v>14</v>
      </c>
      <c r="BQ21" s="12">
        <f t="shared" si="22"/>
        <v>15</v>
      </c>
      <c r="BR21" s="12">
        <f>BQ21+1</f>
        <v>16</v>
      </c>
      <c r="BS21" s="12">
        <f t="shared" si="22"/>
        <v>17</v>
      </c>
      <c r="BT21" s="12">
        <f t="shared" si="22"/>
        <v>18</v>
      </c>
      <c r="BU21" s="12">
        <f t="shared" si="22"/>
        <v>19</v>
      </c>
      <c r="BV21" s="12">
        <f t="shared" si="22"/>
        <v>20</v>
      </c>
      <c r="BW21" s="12">
        <f t="shared" si="22"/>
        <v>21</v>
      </c>
      <c r="BX21" s="12">
        <f t="shared" si="22"/>
        <v>22</v>
      </c>
      <c r="BY21" s="12">
        <f t="shared" si="22"/>
        <v>23</v>
      </c>
      <c r="BZ21" s="12">
        <f t="shared" si="22"/>
        <v>24</v>
      </c>
      <c r="CA21" s="12">
        <f t="shared" si="22"/>
        <v>25</v>
      </c>
      <c r="CB21" s="12">
        <f t="shared" si="22"/>
        <v>26</v>
      </c>
      <c r="CC21" s="12">
        <f t="shared" si="22"/>
        <v>27</v>
      </c>
      <c r="CD21" s="12">
        <f t="shared" si="22"/>
        <v>28</v>
      </c>
      <c r="CE21" s="12">
        <f t="shared" si="22"/>
        <v>29</v>
      </c>
      <c r="CF21" s="12">
        <f t="shared" si="22"/>
        <v>30</v>
      </c>
      <c r="CG21" s="12">
        <f t="shared" si="22"/>
        <v>31</v>
      </c>
      <c r="CH21" s="12">
        <f t="shared" si="22"/>
        <v>32</v>
      </c>
      <c r="CI21" s="12">
        <f t="shared" si="22"/>
        <v>33</v>
      </c>
      <c r="CJ21" s="12">
        <f t="shared" si="22"/>
        <v>34</v>
      </c>
      <c r="CK21" s="12">
        <f t="shared" si="22"/>
        <v>35</v>
      </c>
      <c r="CL21" s="12">
        <f t="shared" si="22"/>
        <v>36</v>
      </c>
      <c r="CM21" s="12">
        <f t="shared" si="22"/>
        <v>37</v>
      </c>
      <c r="CN21" s="12">
        <f t="shared" si="22"/>
        <v>38</v>
      </c>
      <c r="CO21" s="12">
        <f t="shared" si="22"/>
        <v>39</v>
      </c>
      <c r="CP21" s="12">
        <f t="shared" si="22"/>
        <v>40</v>
      </c>
      <c r="CQ21" s="12">
        <f t="shared" si="22"/>
        <v>41</v>
      </c>
      <c r="CR21" s="12">
        <f t="shared" si="22"/>
        <v>42</v>
      </c>
      <c r="CS21" s="12">
        <f t="shared" si="22"/>
        <v>43</v>
      </c>
      <c r="CT21" s="12">
        <f t="shared" si="22"/>
        <v>44</v>
      </c>
      <c r="CU21" s="12">
        <f t="shared" si="22"/>
        <v>45</v>
      </c>
      <c r="CV21" s="12">
        <f t="shared" si="22"/>
        <v>46</v>
      </c>
      <c r="CW21" s="12">
        <f t="shared" si="22"/>
        <v>47</v>
      </c>
      <c r="CX21" s="12">
        <f t="shared" si="22"/>
        <v>48</v>
      </c>
      <c r="CY21" s="12">
        <f t="shared" si="22"/>
        <v>49</v>
      </c>
      <c r="CZ21" s="12">
        <f t="shared" si="22"/>
        <v>50</v>
      </c>
      <c r="DA21" s="12">
        <f t="shared" si="22"/>
        <v>51</v>
      </c>
      <c r="DB21" s="12">
        <f t="shared" si="22"/>
        <v>52</v>
      </c>
      <c r="DC21" s="12">
        <f t="shared" si="22"/>
        <v>53</v>
      </c>
      <c r="DD21" s="12">
        <f t="shared" si="22"/>
        <v>54</v>
      </c>
      <c r="DE21" s="12">
        <f t="shared" si="22"/>
        <v>55</v>
      </c>
      <c r="DF21" s="12">
        <f t="shared" si="22"/>
        <v>56</v>
      </c>
      <c r="DG21" s="12">
        <f t="shared" si="22"/>
        <v>57</v>
      </c>
      <c r="DH21" s="12">
        <f t="shared" si="22"/>
        <v>58</v>
      </c>
      <c r="DI21" s="12">
        <f t="shared" si="22"/>
        <v>59</v>
      </c>
      <c r="DJ21" s="12">
        <f t="shared" si="22"/>
        <v>60</v>
      </c>
      <c r="DK21" s="12">
        <f t="shared" si="22"/>
        <v>61</v>
      </c>
      <c r="DL21" s="12">
        <f t="shared" si="22"/>
        <v>62</v>
      </c>
      <c r="DM21" s="12">
        <f t="shared" si="22"/>
        <v>63</v>
      </c>
      <c r="DN21" s="12">
        <f t="shared" si="22"/>
        <v>64</v>
      </c>
      <c r="DO21" s="12">
        <f t="shared" si="22"/>
        <v>65</v>
      </c>
      <c r="DP21" s="12">
        <f t="shared" si="22"/>
        <v>66</v>
      </c>
      <c r="DQ21" s="12">
        <f t="shared" si="22"/>
        <v>67</v>
      </c>
      <c r="DR21" s="12">
        <f t="shared" si="22"/>
        <v>68</v>
      </c>
      <c r="DS21" s="12">
        <f t="shared" si="22"/>
        <v>69</v>
      </c>
      <c r="DT21" s="12">
        <f t="shared" si="22"/>
        <v>70</v>
      </c>
      <c r="DU21" s="12">
        <f t="shared" si="22"/>
        <v>71</v>
      </c>
      <c r="DV21" s="12">
        <f t="shared" ref="DV21:GG21" si="23">DU21+1</f>
        <v>72</v>
      </c>
      <c r="DW21" s="12">
        <f t="shared" si="23"/>
        <v>73</v>
      </c>
      <c r="DX21" s="12">
        <f t="shared" si="23"/>
        <v>74</v>
      </c>
      <c r="DY21" s="12">
        <f t="shared" si="23"/>
        <v>75</v>
      </c>
      <c r="DZ21" s="12">
        <f t="shared" si="23"/>
        <v>76</v>
      </c>
      <c r="EA21" s="12">
        <f t="shared" si="23"/>
        <v>77</v>
      </c>
      <c r="EB21" s="12">
        <f t="shared" si="23"/>
        <v>78</v>
      </c>
      <c r="EC21" s="12">
        <f t="shared" si="23"/>
        <v>79</v>
      </c>
      <c r="ED21" s="12">
        <f t="shared" si="23"/>
        <v>80</v>
      </c>
      <c r="EE21" s="12">
        <f t="shared" si="23"/>
        <v>81</v>
      </c>
      <c r="EF21" s="12">
        <f t="shared" si="23"/>
        <v>82</v>
      </c>
      <c r="EG21" s="12">
        <f t="shared" si="23"/>
        <v>83</v>
      </c>
      <c r="EH21" s="12">
        <f t="shared" si="23"/>
        <v>84</v>
      </c>
      <c r="EI21" s="12">
        <f t="shared" si="23"/>
        <v>85</v>
      </c>
      <c r="EJ21" s="12">
        <f t="shared" si="23"/>
        <v>86</v>
      </c>
      <c r="EK21" s="12">
        <f t="shared" si="23"/>
        <v>87</v>
      </c>
      <c r="EL21" s="12">
        <f t="shared" si="23"/>
        <v>88</v>
      </c>
      <c r="EM21" s="12">
        <f t="shared" si="23"/>
        <v>89</v>
      </c>
      <c r="EN21" s="12">
        <f t="shared" si="23"/>
        <v>90</v>
      </c>
      <c r="EO21" s="12">
        <f t="shared" si="23"/>
        <v>91</v>
      </c>
      <c r="EP21" s="12">
        <f t="shared" si="23"/>
        <v>92</v>
      </c>
      <c r="EQ21" s="12">
        <f t="shared" si="23"/>
        <v>93</v>
      </c>
      <c r="ER21" s="12">
        <f t="shared" si="23"/>
        <v>94</v>
      </c>
      <c r="ES21" s="12">
        <f t="shared" si="23"/>
        <v>95</v>
      </c>
      <c r="ET21" s="12">
        <f t="shared" si="23"/>
        <v>96</v>
      </c>
      <c r="EU21" s="12">
        <f t="shared" si="23"/>
        <v>97</v>
      </c>
      <c r="EV21" s="12">
        <f t="shared" si="23"/>
        <v>98</v>
      </c>
      <c r="EW21" s="12">
        <f t="shared" si="23"/>
        <v>99</v>
      </c>
      <c r="EX21" s="12">
        <f t="shared" si="23"/>
        <v>100</v>
      </c>
      <c r="EY21" s="12">
        <f t="shared" si="23"/>
        <v>101</v>
      </c>
      <c r="EZ21" s="12">
        <f t="shared" si="23"/>
        <v>102</v>
      </c>
      <c r="FA21" s="12">
        <f t="shared" si="23"/>
        <v>103</v>
      </c>
      <c r="FB21" s="12">
        <f t="shared" si="23"/>
        <v>104</v>
      </c>
      <c r="FC21" s="12">
        <f t="shared" si="23"/>
        <v>105</v>
      </c>
      <c r="FD21" s="12">
        <f t="shared" si="23"/>
        <v>106</v>
      </c>
      <c r="FE21" s="12">
        <f t="shared" si="23"/>
        <v>107</v>
      </c>
      <c r="FF21" s="12">
        <f t="shared" si="23"/>
        <v>108</v>
      </c>
      <c r="FG21" s="12">
        <f t="shared" si="23"/>
        <v>109</v>
      </c>
      <c r="FH21" s="12">
        <f t="shared" si="23"/>
        <v>110</v>
      </c>
      <c r="FI21" s="12">
        <f t="shared" si="23"/>
        <v>111</v>
      </c>
      <c r="FJ21" s="12">
        <f t="shared" si="23"/>
        <v>112</v>
      </c>
      <c r="FK21" s="12">
        <f t="shared" si="23"/>
        <v>113</v>
      </c>
      <c r="FL21" s="12">
        <f t="shared" si="23"/>
        <v>114</v>
      </c>
      <c r="FM21" s="12">
        <f t="shared" si="23"/>
        <v>115</v>
      </c>
      <c r="FN21" s="12">
        <f t="shared" si="23"/>
        <v>116</v>
      </c>
      <c r="FO21" s="12">
        <f t="shared" si="23"/>
        <v>117</v>
      </c>
      <c r="FP21" s="12">
        <f t="shared" si="23"/>
        <v>118</v>
      </c>
      <c r="FQ21" s="12">
        <f t="shared" si="23"/>
        <v>119</v>
      </c>
      <c r="FR21" s="12">
        <f t="shared" si="23"/>
        <v>120</v>
      </c>
      <c r="FS21" s="12">
        <f t="shared" si="23"/>
        <v>121</v>
      </c>
      <c r="FT21" s="12">
        <f t="shared" si="23"/>
        <v>122</v>
      </c>
      <c r="FU21" s="12">
        <f t="shared" si="23"/>
        <v>123</v>
      </c>
      <c r="FV21" s="12">
        <f t="shared" si="23"/>
        <v>124</v>
      </c>
      <c r="FW21" s="12">
        <f t="shared" si="23"/>
        <v>125</v>
      </c>
      <c r="FX21" s="12">
        <f t="shared" si="23"/>
        <v>126</v>
      </c>
      <c r="FY21" s="12">
        <f t="shared" si="23"/>
        <v>127</v>
      </c>
      <c r="FZ21" s="12">
        <f t="shared" si="23"/>
        <v>128</v>
      </c>
      <c r="GA21" s="12">
        <f t="shared" si="23"/>
        <v>129</v>
      </c>
      <c r="GB21" s="12">
        <f t="shared" si="23"/>
        <v>130</v>
      </c>
      <c r="GC21" s="12">
        <f t="shared" si="23"/>
        <v>131</v>
      </c>
      <c r="GD21" s="12">
        <f t="shared" si="23"/>
        <v>132</v>
      </c>
      <c r="GE21" s="12">
        <f t="shared" si="23"/>
        <v>133</v>
      </c>
      <c r="GF21" s="12">
        <f t="shared" si="23"/>
        <v>134</v>
      </c>
      <c r="GG21" s="12">
        <f t="shared" si="23"/>
        <v>135</v>
      </c>
      <c r="GH21" s="12">
        <f t="shared" ref="GH21:IO21" si="24">GG21+1</f>
        <v>136</v>
      </c>
      <c r="GI21" s="12">
        <f t="shared" si="24"/>
        <v>137</v>
      </c>
      <c r="GJ21" s="12">
        <f t="shared" si="24"/>
        <v>138</v>
      </c>
      <c r="GK21" s="12">
        <f t="shared" si="24"/>
        <v>139</v>
      </c>
      <c r="GL21" s="12">
        <f t="shared" si="24"/>
        <v>140</v>
      </c>
      <c r="GM21" s="12">
        <f t="shared" si="24"/>
        <v>141</v>
      </c>
      <c r="GN21" s="12">
        <f t="shared" si="24"/>
        <v>142</v>
      </c>
      <c r="GO21" s="12">
        <f t="shared" si="24"/>
        <v>143</v>
      </c>
      <c r="GP21" s="12">
        <f t="shared" si="24"/>
        <v>144</v>
      </c>
      <c r="GQ21" s="12">
        <f t="shared" si="24"/>
        <v>145</v>
      </c>
      <c r="GR21" s="12">
        <f t="shared" si="24"/>
        <v>146</v>
      </c>
      <c r="GS21" s="12">
        <f t="shared" si="24"/>
        <v>147</v>
      </c>
      <c r="GT21" s="12">
        <f t="shared" si="24"/>
        <v>148</v>
      </c>
      <c r="GU21" s="12">
        <f t="shared" si="24"/>
        <v>149</v>
      </c>
      <c r="GV21" s="12">
        <f t="shared" si="24"/>
        <v>150</v>
      </c>
      <c r="GW21" s="12">
        <f t="shared" si="24"/>
        <v>151</v>
      </c>
      <c r="GX21" s="12">
        <f t="shared" si="24"/>
        <v>152</v>
      </c>
      <c r="GY21" s="12">
        <f t="shared" si="24"/>
        <v>153</v>
      </c>
      <c r="GZ21" s="12">
        <f t="shared" si="24"/>
        <v>154</v>
      </c>
      <c r="HA21" s="12">
        <f t="shared" si="24"/>
        <v>155</v>
      </c>
      <c r="HB21" s="12">
        <f t="shared" si="24"/>
        <v>156</v>
      </c>
      <c r="HC21" s="12">
        <f t="shared" si="24"/>
        <v>157</v>
      </c>
      <c r="HD21" s="12">
        <f t="shared" si="24"/>
        <v>158</v>
      </c>
      <c r="HE21" s="12">
        <f t="shared" si="24"/>
        <v>159</v>
      </c>
      <c r="HF21" s="12">
        <f t="shared" si="24"/>
        <v>160</v>
      </c>
      <c r="HG21" s="12">
        <f t="shared" si="24"/>
        <v>161</v>
      </c>
      <c r="HH21" s="12">
        <f t="shared" si="24"/>
        <v>162</v>
      </c>
      <c r="HI21" s="12">
        <f t="shared" si="24"/>
        <v>163</v>
      </c>
      <c r="HJ21" s="12">
        <f t="shared" si="24"/>
        <v>164</v>
      </c>
      <c r="HK21" s="12">
        <f t="shared" si="24"/>
        <v>165</v>
      </c>
      <c r="HL21" s="12">
        <f t="shared" si="24"/>
        <v>166</v>
      </c>
      <c r="HM21" s="12">
        <f t="shared" si="24"/>
        <v>167</v>
      </c>
      <c r="HN21" s="12">
        <f t="shared" si="24"/>
        <v>168</v>
      </c>
      <c r="HO21" s="12">
        <f t="shared" si="24"/>
        <v>169</v>
      </c>
      <c r="HP21" s="12">
        <f t="shared" si="24"/>
        <v>170</v>
      </c>
      <c r="HQ21" s="12">
        <f t="shared" si="24"/>
        <v>171</v>
      </c>
      <c r="HR21" s="12">
        <f t="shared" si="24"/>
        <v>172</v>
      </c>
      <c r="HS21" s="12">
        <f t="shared" si="24"/>
        <v>173</v>
      </c>
      <c r="HT21" s="12">
        <f t="shared" si="24"/>
        <v>174</v>
      </c>
      <c r="HU21" s="12">
        <f t="shared" si="24"/>
        <v>175</v>
      </c>
      <c r="HV21" s="12">
        <f t="shared" si="24"/>
        <v>176</v>
      </c>
      <c r="HW21" s="12">
        <f t="shared" si="24"/>
        <v>177</v>
      </c>
      <c r="HX21" s="12">
        <f t="shared" si="24"/>
        <v>178</v>
      </c>
      <c r="HY21" s="12">
        <f t="shared" si="24"/>
        <v>179</v>
      </c>
      <c r="HZ21" s="12">
        <f t="shared" si="24"/>
        <v>180</v>
      </c>
      <c r="IA21" s="12">
        <f t="shared" si="24"/>
        <v>181</v>
      </c>
      <c r="IB21" s="12">
        <f t="shared" si="24"/>
        <v>182</v>
      </c>
      <c r="IC21" s="12">
        <f t="shared" si="24"/>
        <v>183</v>
      </c>
      <c r="ID21" s="12">
        <f t="shared" si="24"/>
        <v>184</v>
      </c>
      <c r="IE21" s="12">
        <f t="shared" si="24"/>
        <v>185</v>
      </c>
      <c r="IF21" s="12">
        <f t="shared" si="24"/>
        <v>186</v>
      </c>
      <c r="IG21" s="12">
        <f t="shared" si="24"/>
        <v>187</v>
      </c>
      <c r="IH21" s="12">
        <f t="shared" si="24"/>
        <v>188</v>
      </c>
      <c r="II21" s="12">
        <f t="shared" si="24"/>
        <v>189</v>
      </c>
      <c r="IJ21" s="12">
        <f t="shared" si="24"/>
        <v>190</v>
      </c>
      <c r="IK21" s="12">
        <f t="shared" si="24"/>
        <v>191</v>
      </c>
      <c r="IL21" s="12">
        <f t="shared" si="24"/>
        <v>192</v>
      </c>
      <c r="IM21" s="12">
        <f t="shared" si="24"/>
        <v>193</v>
      </c>
      <c r="IN21" s="12">
        <f t="shared" si="24"/>
        <v>194</v>
      </c>
      <c r="IO21" s="12">
        <f t="shared" si="24"/>
        <v>195</v>
      </c>
      <c r="IP21" s="15"/>
      <c r="IQ21" s="16"/>
      <c r="IR21" s="16"/>
      <c r="IS21" s="16"/>
      <c r="IT21" s="16"/>
      <c r="IU21" s="16"/>
      <c r="IV21" s="16"/>
      <c r="IW21" s="16"/>
      <c r="IX21" s="8"/>
    </row>
    <row r="22" spans="2:258" ht="15.75" thickBot="1" x14ac:dyDescent="0.3">
      <c r="B22" s="103">
        <f t="shared" ref="B22:B38" si="25">B21+6</f>
        <v>24</v>
      </c>
      <c r="C22" s="226">
        <v>5</v>
      </c>
      <c r="D22" s="98">
        <f t="shared" si="1"/>
        <v>0.32307407407407401</v>
      </c>
      <c r="E22" s="96">
        <f t="shared" si="2"/>
        <v>0.37447222222222215</v>
      </c>
      <c r="F22" s="96">
        <f t="shared" si="3"/>
        <v>0.42587037037037029</v>
      </c>
      <c r="G22" s="96">
        <f t="shared" si="4"/>
        <v>0.45156944444444441</v>
      </c>
      <c r="H22" s="96">
        <f t="shared" si="5"/>
        <v>0.46698888888888879</v>
      </c>
      <c r="I22" s="96">
        <f t="shared" si="6"/>
        <v>0.47726851851851843</v>
      </c>
      <c r="J22" s="96">
        <f t="shared" si="7"/>
        <v>0.48461111111111105</v>
      </c>
      <c r="K22" s="96">
        <f t="shared" si="8"/>
        <v>0.49011805555555554</v>
      </c>
      <c r="L22" s="96">
        <f t="shared" si="9"/>
        <v>0.48461111111111105</v>
      </c>
      <c r="M22" s="96">
        <f t="shared" si="10"/>
        <v>0.48901666666666666</v>
      </c>
      <c r="N22" s="96">
        <f t="shared" si="11"/>
        <v>0.49262121212121207</v>
      </c>
      <c r="O22" s="96">
        <f t="shared" si="12"/>
        <v>0.49470717592592589</v>
      </c>
      <c r="P22" s="96">
        <f t="shared" si="13"/>
        <v>0.49731944444444448</v>
      </c>
      <c r="Q22" s="96">
        <f t="shared" si="14"/>
        <v>0.49955853174603171</v>
      </c>
      <c r="R22" s="96">
        <f t="shared" si="15"/>
        <v>0.50149907407407401</v>
      </c>
      <c r="S22" s="96">
        <f t="shared" si="16"/>
        <v>0.50319704861111114</v>
      </c>
      <c r="T22" s="96">
        <f t="shared" si="17"/>
        <v>0.50469526143790855</v>
      </c>
      <c r="U22" s="96">
        <f t="shared" si="18"/>
        <v>0.49623688271604938</v>
      </c>
      <c r="V22" s="96">
        <f t="shared" si="19"/>
        <v>0.49794371345029237</v>
      </c>
      <c r="W22" s="96">
        <f t="shared" si="20"/>
        <v>0.49947986111111115</v>
      </c>
      <c r="X22" s="96"/>
      <c r="Y22" s="65"/>
      <c r="AA22" s="83"/>
      <c r="AT22" s="4"/>
      <c r="AU22" s="216">
        <f>F12</f>
        <v>9.5</v>
      </c>
      <c r="AV22" s="12" t="str">
        <f>"("&amp;ROUND(AU22*25.4/50,0)*50&amp;")"</f>
        <v>(250)</v>
      </c>
      <c r="AW22" s="217">
        <v>7</v>
      </c>
      <c r="AX22" s="20">
        <f t="shared" ref="AX22:AX41" si="26">($IR22+(($IQ22-1)*$IS22)+$IT22)*BG22/144</f>
        <v>0.11748611111111111</v>
      </c>
      <c r="AY22" s="21" t="str">
        <f t="shared" ref="AY22" si="27">"("&amp;FIXED(AX22*0.092903,2)&amp;")"</f>
        <v>(0.01)</v>
      </c>
      <c r="AZ22" s="22">
        <v>2</v>
      </c>
      <c r="BA22" s="22">
        <f t="shared" ref="BA22:BA41" si="28">$IU$23*AZ22</f>
        <v>3.5</v>
      </c>
      <c r="BB22" s="22">
        <v>0</v>
      </c>
      <c r="BC22" s="22">
        <f t="shared" ref="BC22:BC41" si="29">$IW$23*BB22</f>
        <v>0</v>
      </c>
      <c r="BD22" s="22">
        <v>0</v>
      </c>
      <c r="BE22" s="22">
        <f t="shared" ref="BE22:BE41" si="30">$IV$23*BD22</f>
        <v>0</v>
      </c>
      <c r="BF22" s="22">
        <f t="shared" ref="BF22" si="31">BA22+BC22+BE22</f>
        <v>3.5</v>
      </c>
      <c r="BG22" s="23">
        <f t="shared" ref="BG22:BG41" si="32">AX$20-BA22-BC22-BE22</f>
        <v>5.5</v>
      </c>
      <c r="BH22" s="20">
        <f t="shared" ref="BH22:BH41" si="33">($IR22+(($IQ22-1)*$IS22)+$IT22)*BQ22/144</f>
        <v>0.18156944444444442</v>
      </c>
      <c r="BI22" s="21" t="str">
        <f t="shared" ref="BI22" si="34">"("&amp;FIXED(BH22*0.092903,2)&amp;")"</f>
        <v>(0.02)</v>
      </c>
      <c r="BJ22" s="22">
        <v>2</v>
      </c>
      <c r="BK22" s="22">
        <f t="shared" ref="BK22:BK41" si="35">$IU$23*BJ22</f>
        <v>3.5</v>
      </c>
      <c r="BL22" s="22">
        <v>0</v>
      </c>
      <c r="BM22" s="22">
        <f t="shared" ref="BM22:BM41" si="36">$IW$23*BL22</f>
        <v>0</v>
      </c>
      <c r="BN22" s="22">
        <v>0</v>
      </c>
      <c r="BO22" s="22">
        <f t="shared" ref="BO22:BO41" si="37">$IV$23*BN22</f>
        <v>0</v>
      </c>
      <c r="BP22" s="22">
        <f t="shared" ref="BP22" si="38">BK22+BM22+BO22</f>
        <v>3.5</v>
      </c>
      <c r="BQ22" s="23">
        <f t="shared" ref="BQ22:BQ41" si="39">BH$20-BK22-BM22-BO22</f>
        <v>8.5</v>
      </c>
      <c r="BR22" s="20">
        <f t="shared" ref="BR22:BR41" si="40">($IR22+(($IQ22-1)*$IS22)+$IT22)*CA22/144</f>
        <v>0.3097361111111111</v>
      </c>
      <c r="BS22" s="21" t="str">
        <f t="shared" ref="BS22:BS41" si="41">"("&amp;ROUND(BR22*0.092903,2)&amp;")"</f>
        <v>(0.03)</v>
      </c>
      <c r="BT22" s="22">
        <v>2</v>
      </c>
      <c r="BU22" s="22">
        <f t="shared" ref="BU22:BU41" si="42">$IU$23*BT22</f>
        <v>3.5</v>
      </c>
      <c r="BV22" s="22">
        <v>0</v>
      </c>
      <c r="BW22" s="22">
        <f t="shared" ref="BW22:BW41" si="43">$IW$23*BV22</f>
        <v>0</v>
      </c>
      <c r="BX22" s="22">
        <v>0</v>
      </c>
      <c r="BY22" s="22">
        <f t="shared" ref="BY22:BY41" si="44">$IV$23*BX22</f>
        <v>0</v>
      </c>
      <c r="BZ22" s="22">
        <f t="shared" ref="BZ22" si="45">BU22+BW22+BY22</f>
        <v>3.5</v>
      </c>
      <c r="CA22" s="23">
        <f t="shared" ref="CA22:CA41" si="46">BR$20-BU22-BW22-BY22</f>
        <v>14.5</v>
      </c>
      <c r="CB22" s="20">
        <f t="shared" ref="CB22:CB41" si="47">($IR22+(($IQ22-1)*$IS22)+$IT22)*CK22/144</f>
        <v>0.43790277777777775</v>
      </c>
      <c r="CC22" s="21" t="str">
        <f t="shared" ref="CC22:CC41" si="48">"("&amp;ROUND(CB22*0.092903,2)&amp;")"</f>
        <v>(0.04)</v>
      </c>
      <c r="CD22" s="22">
        <v>2</v>
      </c>
      <c r="CE22" s="22">
        <f t="shared" ref="CE22:CE41" si="49">$IU$23*CD22</f>
        <v>3.5</v>
      </c>
      <c r="CF22" s="22">
        <v>0</v>
      </c>
      <c r="CG22" s="22">
        <f t="shared" ref="CG22:CG41" si="50">$IW$23*CF22</f>
        <v>0</v>
      </c>
      <c r="CH22" s="22">
        <v>0</v>
      </c>
      <c r="CI22" s="22">
        <f t="shared" ref="CI22:CI41" si="51">$IV$23*CH22</f>
        <v>0</v>
      </c>
      <c r="CJ22" s="22">
        <f t="shared" ref="CJ22" si="52">CE22+CG22+CI22</f>
        <v>3.5</v>
      </c>
      <c r="CK22" s="23">
        <f t="shared" ref="CK22:CK41" si="53">CB$20-CE22-CG22-CI22</f>
        <v>20.5</v>
      </c>
      <c r="CL22" s="20">
        <f t="shared" ref="CL22:CL41" si="54">($IR22+(($IQ22-1)*$IS22)+$IT22)*CU22/144</f>
        <v>0.5660694444444444</v>
      </c>
      <c r="CM22" s="21" t="str">
        <f t="shared" ref="CM22:CM41" si="55">"("&amp;ROUND(CL22*0.092903,2)&amp;")"</f>
        <v>(0.05)</v>
      </c>
      <c r="CN22" s="22">
        <v>2</v>
      </c>
      <c r="CO22" s="22">
        <f t="shared" ref="CO22:CO41" si="56">$IU$23*CN22</f>
        <v>3.5</v>
      </c>
      <c r="CP22" s="22">
        <v>0</v>
      </c>
      <c r="CQ22" s="22">
        <f t="shared" ref="CQ22:CQ41" si="57">$IW$23*CP22</f>
        <v>0</v>
      </c>
      <c r="CR22" s="22">
        <v>0</v>
      </c>
      <c r="CS22" s="22">
        <f t="shared" ref="CS22:CS41" si="58">$IV$23*CR22</f>
        <v>0</v>
      </c>
      <c r="CT22" s="22">
        <f t="shared" ref="CT22" si="59">CO22+CQ22+CS22</f>
        <v>3.5</v>
      </c>
      <c r="CU22" s="23">
        <f t="shared" ref="CU22:CU41" si="60">CL$20-CO22-CQ22-CS22</f>
        <v>26.5</v>
      </c>
      <c r="CV22" s="20">
        <f t="shared" ref="CV22:CV41" si="61">($IR22+(($IQ22-1)*$IS22)+$IT22)*DE22/144</f>
        <v>0.69423611111111105</v>
      </c>
      <c r="CW22" s="21" t="str">
        <f t="shared" ref="CW22:CW41" si="62">"("&amp;ROUND(CV22*0.092903,2)&amp;")"</f>
        <v>(0.06)</v>
      </c>
      <c r="CX22" s="22">
        <v>2</v>
      </c>
      <c r="CY22" s="22">
        <f t="shared" ref="CY22:CY41" si="63">$IU$23*CX22</f>
        <v>3.5</v>
      </c>
      <c r="CZ22" s="22">
        <v>0</v>
      </c>
      <c r="DA22" s="22">
        <f t="shared" ref="DA22:DA41" si="64">$IW$23*CZ22</f>
        <v>0</v>
      </c>
      <c r="DB22" s="22">
        <v>0</v>
      </c>
      <c r="DC22" s="22">
        <f t="shared" ref="DC22:DC41" si="65">$IV$23*DB22</f>
        <v>0</v>
      </c>
      <c r="DD22" s="22">
        <f t="shared" ref="DD22" si="66">CY22+DA22+DC22</f>
        <v>3.5</v>
      </c>
      <c r="DE22" s="23">
        <f t="shared" ref="DE22:DE41" si="67">CV$20-CY22-DA22-DC22</f>
        <v>32.5</v>
      </c>
      <c r="DF22" s="20">
        <f t="shared" ref="DF22:DF41" si="68">($IR22+(($IQ22-1)*$IS22)+$IT22)*DO22/144</f>
        <v>0.8224027777777777</v>
      </c>
      <c r="DG22" s="21" t="str">
        <f t="shared" ref="DG22:DG41" si="69">"("&amp;ROUND(DF22*0.092903,2)&amp;")"</f>
        <v>(0.08)</v>
      </c>
      <c r="DH22" s="22">
        <v>2</v>
      </c>
      <c r="DI22" s="22">
        <f t="shared" ref="DI22:DI41" si="70">$IU$23*DH22</f>
        <v>3.5</v>
      </c>
      <c r="DJ22" s="22">
        <v>0</v>
      </c>
      <c r="DK22" s="22">
        <f t="shared" ref="DK22:DK41" si="71">$IW$23*DJ22</f>
        <v>0</v>
      </c>
      <c r="DL22" s="22">
        <v>0</v>
      </c>
      <c r="DM22" s="22">
        <f t="shared" ref="DM22:DM41" si="72">$IV$23*DL22</f>
        <v>0</v>
      </c>
      <c r="DN22" s="22">
        <f t="shared" ref="DN22" si="73">DI22+DK22+DM22</f>
        <v>3.5</v>
      </c>
      <c r="DO22" s="23">
        <f t="shared" ref="DO22:DO41" si="74">DF$20-DI22-DK22-DM22</f>
        <v>38.5</v>
      </c>
      <c r="DP22" s="20">
        <f t="shared" ref="DP22:DP41" si="75">($IR22+(($IQ22-1)*$IS22)+$IT22)*DY22/144</f>
        <v>0.95056944444444424</v>
      </c>
      <c r="DQ22" s="21" t="str">
        <f t="shared" ref="DQ22:DQ41" si="76">"("&amp;ROUND(DP22*0.092903,2)&amp;")"</f>
        <v>(0.09)</v>
      </c>
      <c r="DR22" s="22">
        <v>2</v>
      </c>
      <c r="DS22" s="22">
        <f t="shared" ref="DS22:DS41" si="77">$IU$23*DR22</f>
        <v>3.5</v>
      </c>
      <c r="DT22" s="22">
        <v>0</v>
      </c>
      <c r="DU22" s="22">
        <f t="shared" ref="DU22:DU41" si="78">$IW$23*DT22</f>
        <v>0</v>
      </c>
      <c r="DV22" s="22">
        <v>0</v>
      </c>
      <c r="DW22" s="22">
        <f t="shared" ref="DW22:DW41" si="79">$IV$23*DV22</f>
        <v>0</v>
      </c>
      <c r="DX22" s="22">
        <f t="shared" ref="DX22" si="80">DS22+DU22+DW22</f>
        <v>3.5</v>
      </c>
      <c r="DY22" s="23">
        <f t="shared" ref="DY22:DY41" si="81">DP$20-DS22-DU22-DW22</f>
        <v>44.5</v>
      </c>
      <c r="DZ22" s="20">
        <f t="shared" ref="DZ22:DZ41" si="82">($IR22+(($IQ22-1)*$IS22)+$IT22)*EI22/144</f>
        <v>1.0573749999999997</v>
      </c>
      <c r="EA22" s="21" t="str">
        <f t="shared" ref="EA22" si="83">"("&amp;FIXED(DZ22*0.092903,2)&amp;")"</f>
        <v>(0.10)</v>
      </c>
      <c r="EB22" s="22">
        <v>2</v>
      </c>
      <c r="EC22" s="22">
        <f t="shared" ref="EC22:EC41" si="84">$IU$23*EB22</f>
        <v>3.5</v>
      </c>
      <c r="ED22" s="22">
        <v>0</v>
      </c>
      <c r="EE22" s="22">
        <f t="shared" ref="EE22:EE41" si="85">$IW$23*ED22</f>
        <v>0</v>
      </c>
      <c r="EF22" s="22">
        <v>1</v>
      </c>
      <c r="EG22" s="22">
        <f t="shared" ref="EG22:EG41" si="86">$IV$23*EF22</f>
        <v>1</v>
      </c>
      <c r="EH22" s="22">
        <f t="shared" ref="EH22" si="87">EC22+EE22+EG22</f>
        <v>4.5</v>
      </c>
      <c r="EI22" s="23">
        <f t="shared" ref="EI22:EI41" si="88">DZ$20-EC22-EE22-EG22</f>
        <v>49.5</v>
      </c>
      <c r="EJ22" s="20">
        <f t="shared" ref="EJ22:EJ41" si="89">($IR22+(($IQ22-1)*$IS22)+$IT22)*ES22/144</f>
        <v>1.1855416666666665</v>
      </c>
      <c r="EK22" s="21" t="str">
        <f t="shared" ref="EK22" si="90">"("&amp;FIXED(EJ22*0.092903,2)&amp;")"</f>
        <v>(0.11)</v>
      </c>
      <c r="EL22" s="22">
        <v>2</v>
      </c>
      <c r="EM22" s="22">
        <f t="shared" ref="EM22:EM41" si="91">$IU$23*EL22</f>
        <v>3.5</v>
      </c>
      <c r="EN22" s="22">
        <v>0</v>
      </c>
      <c r="EO22" s="22">
        <f t="shared" ref="EO22:EO41" si="92">$IW$23*EN22</f>
        <v>0</v>
      </c>
      <c r="EP22" s="22">
        <v>1</v>
      </c>
      <c r="EQ22" s="22">
        <f t="shared" ref="EQ22:EQ41" si="93">$IV$23*EP22</f>
        <v>1</v>
      </c>
      <c r="ER22" s="22">
        <f t="shared" ref="ER22" si="94">EM22+EO22+EQ22</f>
        <v>4.5</v>
      </c>
      <c r="ES22" s="23">
        <f t="shared" ref="ES22:ES41" si="95">EJ$20-EM22-EO22-EQ22</f>
        <v>55.5</v>
      </c>
      <c r="ET22" s="20">
        <f t="shared" ref="ET22:ET41" si="96">($IR22+(($IQ22-1)*$IS22)+$IT22)*FC22/144</f>
        <v>1.3137083333333333</v>
      </c>
      <c r="EU22" s="21" t="str">
        <f t="shared" ref="EU22" si="97">"("&amp;FIXED(ET22*0.092903,2)&amp;")"</f>
        <v>(0.12)</v>
      </c>
      <c r="EV22" s="22">
        <v>2</v>
      </c>
      <c r="EW22" s="22">
        <f t="shared" ref="EW22:EW41" si="98">$IU$23*EV22</f>
        <v>3.5</v>
      </c>
      <c r="EX22" s="22">
        <v>0</v>
      </c>
      <c r="EY22" s="22">
        <f t="shared" ref="EY22:EY41" si="99">$IW$23*EX22</f>
        <v>0</v>
      </c>
      <c r="EZ22" s="22">
        <v>1</v>
      </c>
      <c r="FA22" s="22">
        <f t="shared" ref="FA22:FA41" si="100">$IV$23*EZ22</f>
        <v>1</v>
      </c>
      <c r="FB22" s="22">
        <f t="shared" ref="FB22" si="101">EW22+EY22+FA22</f>
        <v>4.5</v>
      </c>
      <c r="FC22" s="23">
        <f t="shared" ref="FC22:FC41" si="102">ET$20-EW22-EY22-FA22</f>
        <v>61.5</v>
      </c>
      <c r="FD22" s="20">
        <f t="shared" ref="FD22:FD41" si="103">($IR22+(($IQ22-1)*$IS22)+$IT22)*FM22/144</f>
        <v>1.4392048611111108</v>
      </c>
      <c r="FE22" s="21" t="str">
        <f t="shared" ref="FE22" si="104">"("&amp;FIXED(FD22*0.092903,2)&amp;")"</f>
        <v>(0.13)</v>
      </c>
      <c r="FF22" s="22">
        <v>2</v>
      </c>
      <c r="FG22" s="22">
        <f t="shared" ref="FG22:FG41" si="105">$IU$23*FF22</f>
        <v>3.5</v>
      </c>
      <c r="FH22" s="22">
        <v>1</v>
      </c>
      <c r="FI22" s="22">
        <f t="shared" ref="FI22:FI41" si="106">$IW$23*FH22</f>
        <v>1.125</v>
      </c>
      <c r="FJ22" s="22">
        <v>0</v>
      </c>
      <c r="FK22" s="22">
        <f t="shared" ref="FK22:FK41" si="107">$IV$23*FJ22</f>
        <v>0</v>
      </c>
      <c r="FL22" s="22">
        <f t="shared" ref="FL22" si="108">FG22+FI22+FK22</f>
        <v>4.625</v>
      </c>
      <c r="FM22" s="23">
        <f t="shared" ref="FM22:FM41" si="109">FD$20-FG22-FI22-FK22</f>
        <v>67.375</v>
      </c>
      <c r="FN22" s="20">
        <f t="shared" ref="FN22:FN33" si="110">($IR22+(($IQ22-1)*$IS22)+$IT22)*FW22/144</f>
        <v>1.5673715277777776</v>
      </c>
      <c r="FO22" s="21" t="str">
        <f t="shared" ref="FO22" si="111">"("&amp;FIXED(FN22*0.092903,2)&amp;")"</f>
        <v>(0.15)</v>
      </c>
      <c r="FP22" s="22">
        <v>2</v>
      </c>
      <c r="FQ22" s="22">
        <f t="shared" ref="FQ22:FQ33" si="112">$IU$23*FP22</f>
        <v>3.5</v>
      </c>
      <c r="FR22" s="22">
        <v>1</v>
      </c>
      <c r="FS22" s="22">
        <f t="shared" ref="FS22:FS33" si="113">$IW$23*FR22</f>
        <v>1.125</v>
      </c>
      <c r="FT22" s="22">
        <v>0</v>
      </c>
      <c r="FU22" s="22">
        <f t="shared" ref="FU22:FU33" si="114">$IV$23*FT22</f>
        <v>0</v>
      </c>
      <c r="FV22" s="22">
        <f t="shared" ref="FV22" si="115">FQ22+FS22+FU22</f>
        <v>4.625</v>
      </c>
      <c r="FW22" s="23">
        <f t="shared" ref="FW22:FW33" si="116">FN$20-FQ22-FS22-FU22</f>
        <v>73.375</v>
      </c>
      <c r="FX22" s="20">
        <f t="shared" ref="FX22:FX33" si="117">($IR22+(($IQ22-1)*$IS22)+$IT22)*GG22/144</f>
        <v>1.6955381944444443</v>
      </c>
      <c r="FY22" s="21" t="str">
        <f t="shared" ref="FY22" si="118">"("&amp;FIXED(FX22*0.092903,2)&amp;")"</f>
        <v>(0.16)</v>
      </c>
      <c r="FZ22" s="22">
        <v>2</v>
      </c>
      <c r="GA22" s="22">
        <f t="shared" ref="GA22:GA33" si="119">$IU$23*FZ22</f>
        <v>3.5</v>
      </c>
      <c r="GB22" s="22">
        <v>1</v>
      </c>
      <c r="GC22" s="22">
        <f t="shared" ref="GC22:GC33" si="120">$IW$23*GB22</f>
        <v>1.125</v>
      </c>
      <c r="GD22" s="22">
        <v>0</v>
      </c>
      <c r="GE22" s="22">
        <f t="shared" ref="GE22:GE33" si="121">$IV$23*GD22</f>
        <v>0</v>
      </c>
      <c r="GF22" s="22">
        <f t="shared" ref="GF22" si="122">GA22+GC22+GE22</f>
        <v>4.625</v>
      </c>
      <c r="GG22" s="23">
        <f t="shared" ref="GG22:GG33" si="123">FX$20-GA22-GC22-GE22</f>
        <v>79.375</v>
      </c>
      <c r="GH22" s="20">
        <f t="shared" ref="GH22:GH33" si="124">($IR22+(($IQ22-1)*$IS22)+$IT22)*GQ22/144</f>
        <v>1.8237048611111111</v>
      </c>
      <c r="GI22" s="21" t="str">
        <f t="shared" ref="GI22" si="125">"("&amp;FIXED(GH22*0.092903,2)&amp;")"</f>
        <v>(0.17)</v>
      </c>
      <c r="GJ22" s="22">
        <v>2</v>
      </c>
      <c r="GK22" s="22">
        <f t="shared" ref="GK22:GK33" si="126">$IU$23*GJ22</f>
        <v>3.5</v>
      </c>
      <c r="GL22" s="22">
        <v>1</v>
      </c>
      <c r="GM22" s="22">
        <f t="shared" ref="GM22:GM33" si="127">$IW$23*GL22</f>
        <v>1.125</v>
      </c>
      <c r="GN22" s="22">
        <v>0</v>
      </c>
      <c r="GO22" s="22">
        <f t="shared" ref="GO22:GO33" si="128">$IV$23*GN22</f>
        <v>0</v>
      </c>
      <c r="GP22" s="22">
        <f t="shared" ref="GP22" si="129">GK22+GM22+GO22</f>
        <v>4.625</v>
      </c>
      <c r="GQ22" s="23">
        <f t="shared" ref="GQ22:GQ33" si="130">GH$20-GK22-GM22-GO22</f>
        <v>85.375</v>
      </c>
      <c r="GR22" s="20">
        <f t="shared" ref="GR22:GR33" si="131">($IR22+(($IQ22-1)*$IS22)+$IT22)*HA22/144</f>
        <v>1.9518715277777774</v>
      </c>
      <c r="GS22" s="21" t="str">
        <f t="shared" ref="GS22" si="132">"("&amp;FIXED(GR22*0.092903,2)&amp;")"</f>
        <v>(0.18)</v>
      </c>
      <c r="GT22" s="22">
        <v>2</v>
      </c>
      <c r="GU22" s="22">
        <f t="shared" ref="GU22:GU33" si="133">$IU$23*GT22</f>
        <v>3.5</v>
      </c>
      <c r="GV22" s="22">
        <v>1</v>
      </c>
      <c r="GW22" s="22">
        <f t="shared" ref="GW22:GW33" si="134">$IW$23*GV22</f>
        <v>1.125</v>
      </c>
      <c r="GX22" s="22">
        <v>0</v>
      </c>
      <c r="GY22" s="22">
        <f t="shared" ref="GY22:GY33" si="135">$IV$23*GX22</f>
        <v>0</v>
      </c>
      <c r="GZ22" s="22">
        <f t="shared" ref="GZ22" si="136">GU22+GW22+GY22</f>
        <v>4.625</v>
      </c>
      <c r="HA22" s="23">
        <f t="shared" ref="HA22:HA33" si="137">GR$20-GU22-GW22-GY22</f>
        <v>91.375</v>
      </c>
      <c r="HB22" s="20">
        <f t="shared" ref="HB22:HB33" si="138">($IR22+(($IQ22-1)*$IS22)+$IT22)*HK22/144</f>
        <v>2.0800381944444442</v>
      </c>
      <c r="HC22" s="21" t="str">
        <f t="shared" ref="HC22" si="139">"("&amp;FIXED(HB22*0.092903,2)&amp;")"</f>
        <v>(0.19)</v>
      </c>
      <c r="HD22" s="22">
        <v>2</v>
      </c>
      <c r="HE22" s="22">
        <f t="shared" ref="HE22:HE33" si="140">$IU$23*HD22</f>
        <v>3.5</v>
      </c>
      <c r="HF22" s="22">
        <v>1</v>
      </c>
      <c r="HG22" s="22">
        <f t="shared" ref="HG22:HG33" si="141">$IW$23*HF22</f>
        <v>1.125</v>
      </c>
      <c r="HH22" s="22">
        <v>0</v>
      </c>
      <c r="HI22" s="22">
        <f t="shared" ref="HI22:HI33" si="142">$IV$23*HH22</f>
        <v>0</v>
      </c>
      <c r="HJ22" s="22">
        <f t="shared" ref="HJ22" si="143">HE22+HG22+HI22</f>
        <v>4.625</v>
      </c>
      <c r="HK22" s="23">
        <f t="shared" ref="HK22:HK33" si="144">HB$20-HE22-HG22-HI22</f>
        <v>97.375</v>
      </c>
      <c r="HL22" s="20">
        <f t="shared" ref="HL22:HL33" si="145">($IR22+(($IQ22-1)*$IS22)+$IT22)*HU22/144</f>
        <v>2.1654826388888884</v>
      </c>
      <c r="HM22" s="21" t="str">
        <f t="shared" ref="HM22" si="146">"("&amp;FIXED(HL22*0.092903,2)&amp;")"</f>
        <v>(0.20)</v>
      </c>
      <c r="HN22" s="22">
        <v>2</v>
      </c>
      <c r="HO22" s="22">
        <f t="shared" ref="HO22:HO33" si="147">$IU$23*HN22</f>
        <v>3.5</v>
      </c>
      <c r="HP22" s="22">
        <v>1</v>
      </c>
      <c r="HQ22" s="22">
        <f t="shared" ref="HQ22:HQ33" si="148">$IW$23*HP22</f>
        <v>1.125</v>
      </c>
      <c r="HR22" s="22">
        <v>2</v>
      </c>
      <c r="HS22" s="22">
        <f t="shared" ref="HS22:HS33" si="149">$IV$23*HR22</f>
        <v>2</v>
      </c>
      <c r="HT22" s="22">
        <f t="shared" ref="HT22" si="150">HO22+HQ22+HS22</f>
        <v>6.625</v>
      </c>
      <c r="HU22" s="23">
        <f t="shared" ref="HU22:HU33" si="151">HL$20-HO22-HQ22-HS22</f>
        <v>101.375</v>
      </c>
      <c r="HV22" s="20">
        <f t="shared" ref="HV22:HV33" si="152">($IR22+(($IQ22-1)*$IS22)+$IT22)*IE22/144</f>
        <v>2.2936493055555554</v>
      </c>
      <c r="HW22" s="21" t="str">
        <f t="shared" ref="HW22" si="153">"("&amp;FIXED(HV22*0.092903,2)&amp;")"</f>
        <v>(0.21)</v>
      </c>
      <c r="HX22" s="22">
        <v>2</v>
      </c>
      <c r="HY22" s="22">
        <f t="shared" ref="HY22:HY33" si="154">$IU$23*HX22</f>
        <v>3.5</v>
      </c>
      <c r="HZ22" s="22">
        <v>1</v>
      </c>
      <c r="IA22" s="22">
        <f t="shared" ref="IA22:IA33" si="155">$IW$23*HZ22</f>
        <v>1.125</v>
      </c>
      <c r="IB22" s="22">
        <v>2</v>
      </c>
      <c r="IC22" s="22">
        <f t="shared" ref="IC22:IC33" si="156">$IV$23*IB22</f>
        <v>2</v>
      </c>
      <c r="ID22" s="22">
        <f t="shared" ref="ID22" si="157">HY22+IA22+IC22</f>
        <v>6.625</v>
      </c>
      <c r="IE22" s="23">
        <f t="shared" ref="IE22:IE33" si="158">HV$20-HY22-IA22-IC22</f>
        <v>107.375</v>
      </c>
      <c r="IF22" s="20">
        <f t="shared" ref="IF22:IF33" si="159">($IR22+(($IQ22-1)*$IS22)+$IT22)*IO22/144</f>
        <v>2.4218159722222219</v>
      </c>
      <c r="IG22" s="21" t="str">
        <f t="shared" ref="IG22" si="160">"("&amp;FIXED(IF22*0.092903,2)&amp;")"</f>
        <v>(0.22)</v>
      </c>
      <c r="IH22" s="22">
        <v>2</v>
      </c>
      <c r="II22" s="22">
        <f t="shared" ref="II22:II33" si="161">$IU$23*IH22</f>
        <v>3.5</v>
      </c>
      <c r="IJ22" s="22">
        <v>1</v>
      </c>
      <c r="IK22" s="22">
        <f t="shared" ref="IK22:IK33" si="162">$IW$23*IJ22</f>
        <v>1.125</v>
      </c>
      <c r="IL22" s="22">
        <v>2</v>
      </c>
      <c r="IM22" s="22">
        <f t="shared" ref="IM22:IM33" si="163">$IV$23*IL22</f>
        <v>2</v>
      </c>
      <c r="IN22" s="22">
        <f t="shared" ref="IN22" si="164">II22+IK22+IM22</f>
        <v>6.625</v>
      </c>
      <c r="IO22" s="23">
        <f t="shared" ref="IO22:IO33" si="165">IF$20-II22-IK22-IM22</f>
        <v>113.375</v>
      </c>
      <c r="IP22" s="15"/>
      <c r="IQ22" s="25">
        <v>1</v>
      </c>
      <c r="IR22" s="26">
        <v>2.6549999999999998</v>
      </c>
      <c r="IS22" s="26">
        <v>2.6469999999999998</v>
      </c>
      <c r="IT22" s="26">
        <v>0.42099999999999999</v>
      </c>
      <c r="IU22" s="26">
        <v>1.75</v>
      </c>
      <c r="IV22" s="26">
        <v>1</v>
      </c>
      <c r="IW22" s="26">
        <v>1.125</v>
      </c>
      <c r="IX22" s="8"/>
    </row>
    <row r="23" spans="2:258" ht="15.75" thickBot="1" x14ac:dyDescent="0.3">
      <c r="B23" s="103">
        <f t="shared" si="25"/>
        <v>30</v>
      </c>
      <c r="C23" s="221">
        <v>6</v>
      </c>
      <c r="D23" s="98">
        <f t="shared" si="1"/>
        <v>0.3416925925925926</v>
      </c>
      <c r="E23" s="96">
        <f t="shared" si="2"/>
        <v>0.3960527777777777</v>
      </c>
      <c r="F23" s="96">
        <f t="shared" si="3"/>
        <v>0.45041296296296285</v>
      </c>
      <c r="G23" s="96">
        <f t="shared" si="4"/>
        <v>0.47759305555555553</v>
      </c>
      <c r="H23" s="96">
        <f t="shared" si="5"/>
        <v>0.49390111111111101</v>
      </c>
      <c r="I23" s="96">
        <f t="shared" si="6"/>
        <v>0.504773148148148</v>
      </c>
      <c r="J23" s="96">
        <f t="shared" si="7"/>
        <v>0.51253888888888888</v>
      </c>
      <c r="K23" s="96">
        <f t="shared" si="8"/>
        <v>0.51836319444444434</v>
      </c>
      <c r="L23" s="96">
        <f t="shared" si="9"/>
        <v>0.51253888888888888</v>
      </c>
      <c r="M23" s="96">
        <f t="shared" si="10"/>
        <v>0.51719833333333332</v>
      </c>
      <c r="N23" s="96">
        <f t="shared" si="11"/>
        <v>0.52101060606060601</v>
      </c>
      <c r="O23" s="96">
        <f t="shared" si="12"/>
        <v>0.52321678240740732</v>
      </c>
      <c r="P23" s="96">
        <f t="shared" si="13"/>
        <v>0.52597959401709393</v>
      </c>
      <c r="Q23" s="96">
        <f t="shared" si="14"/>
        <v>0.52834771825396809</v>
      </c>
      <c r="R23" s="96">
        <f t="shared" si="15"/>
        <v>0.53040009259259246</v>
      </c>
      <c r="S23" s="96">
        <f t="shared" si="16"/>
        <v>0.53219592013888883</v>
      </c>
      <c r="T23" s="96">
        <f t="shared" si="17"/>
        <v>0.53378047385620908</v>
      </c>
      <c r="U23" s="96">
        <f t="shared" si="18"/>
        <v>0.52483464506172828</v>
      </c>
      <c r="V23" s="96">
        <f t="shared" si="19"/>
        <v>0.52663983918128643</v>
      </c>
      <c r="W23" s="96">
        <f t="shared" si="20"/>
        <v>0.52826451388888884</v>
      </c>
      <c r="X23" s="96"/>
      <c r="Y23" s="65"/>
      <c r="AA23" s="83"/>
      <c r="AT23" s="4"/>
      <c r="AU23" s="14">
        <v>12</v>
      </c>
      <c r="AV23" s="12" t="str">
        <f>"("&amp;ROUND(AU23*25.4/50,0)*50&amp;")"</f>
        <v>(300)</v>
      </c>
      <c r="AW23" s="19">
        <v>8</v>
      </c>
      <c r="AX23" s="20">
        <f t="shared" si="26"/>
        <v>0.18130902777777777</v>
      </c>
      <c r="AY23" s="21" t="str">
        <f>"("&amp;FIXED(AX23*0.092903,2)&amp;")"</f>
        <v>(0.02)</v>
      </c>
      <c r="AZ23" s="22">
        <v>2</v>
      </c>
      <c r="BA23" s="22">
        <f t="shared" si="28"/>
        <v>3.5</v>
      </c>
      <c r="BB23" s="22">
        <v>0</v>
      </c>
      <c r="BC23" s="22">
        <f t="shared" si="29"/>
        <v>0</v>
      </c>
      <c r="BD23" s="22">
        <v>0</v>
      </c>
      <c r="BE23" s="22">
        <f t="shared" si="30"/>
        <v>0</v>
      </c>
      <c r="BF23" s="22">
        <f>BA23+BC23+BE23</f>
        <v>3.5</v>
      </c>
      <c r="BG23" s="23">
        <f t="shared" si="32"/>
        <v>5.5</v>
      </c>
      <c r="BH23" s="373">
        <f t="shared" si="33"/>
        <v>0.28020486111111109</v>
      </c>
      <c r="BI23" s="374" t="str">
        <f>"("&amp;FIXED(BH23*0.092903,2)&amp;")"</f>
        <v>(0.03)</v>
      </c>
      <c r="BJ23" s="375">
        <v>2</v>
      </c>
      <c r="BK23" s="375">
        <f t="shared" si="35"/>
        <v>3.5</v>
      </c>
      <c r="BL23" s="375">
        <v>0</v>
      </c>
      <c r="BM23" s="375">
        <f t="shared" si="36"/>
        <v>0</v>
      </c>
      <c r="BN23" s="375">
        <v>0</v>
      </c>
      <c r="BO23" s="375">
        <f t="shared" si="37"/>
        <v>0</v>
      </c>
      <c r="BP23" s="375">
        <f>BK23+BM23+BO23</f>
        <v>3.5</v>
      </c>
      <c r="BQ23" s="376">
        <f t="shared" si="39"/>
        <v>8.5</v>
      </c>
      <c r="BR23" s="373">
        <f t="shared" si="40"/>
        <v>0.47799652777777779</v>
      </c>
      <c r="BS23" s="374" t="str">
        <f t="shared" si="41"/>
        <v>(0.04)</v>
      </c>
      <c r="BT23" s="375">
        <v>2</v>
      </c>
      <c r="BU23" s="375">
        <f t="shared" si="42"/>
        <v>3.5</v>
      </c>
      <c r="BV23" s="375">
        <v>0</v>
      </c>
      <c r="BW23" s="375">
        <f t="shared" si="43"/>
        <v>0</v>
      </c>
      <c r="BX23" s="375">
        <v>0</v>
      </c>
      <c r="BY23" s="375">
        <f t="shared" si="44"/>
        <v>0</v>
      </c>
      <c r="BZ23" s="375">
        <f>BU23+BW23+BY23</f>
        <v>3.5</v>
      </c>
      <c r="CA23" s="376">
        <f t="shared" si="46"/>
        <v>14.5</v>
      </c>
      <c r="CB23" s="373">
        <f t="shared" si="47"/>
        <v>0.67578819444444449</v>
      </c>
      <c r="CC23" s="374" t="str">
        <f t="shared" si="48"/>
        <v>(0.06)</v>
      </c>
      <c r="CD23" s="375">
        <v>2</v>
      </c>
      <c r="CE23" s="375">
        <f t="shared" si="49"/>
        <v>3.5</v>
      </c>
      <c r="CF23" s="375">
        <v>0</v>
      </c>
      <c r="CG23" s="375">
        <f t="shared" si="50"/>
        <v>0</v>
      </c>
      <c r="CH23" s="375">
        <v>0</v>
      </c>
      <c r="CI23" s="375">
        <f t="shared" si="51"/>
        <v>0</v>
      </c>
      <c r="CJ23" s="375">
        <f>CE23+CG23+CI23</f>
        <v>3.5</v>
      </c>
      <c r="CK23" s="376">
        <f t="shared" si="53"/>
        <v>20.5</v>
      </c>
      <c r="CL23" s="373">
        <f t="shared" si="54"/>
        <v>0.87357986111111119</v>
      </c>
      <c r="CM23" s="374" t="str">
        <f t="shared" si="55"/>
        <v>(0.08)</v>
      </c>
      <c r="CN23" s="375">
        <v>2</v>
      </c>
      <c r="CO23" s="375">
        <f t="shared" si="56"/>
        <v>3.5</v>
      </c>
      <c r="CP23" s="375">
        <v>0</v>
      </c>
      <c r="CQ23" s="375">
        <f t="shared" si="57"/>
        <v>0</v>
      </c>
      <c r="CR23" s="375">
        <v>0</v>
      </c>
      <c r="CS23" s="375">
        <f t="shared" si="58"/>
        <v>0</v>
      </c>
      <c r="CT23" s="375">
        <f>CO23+CQ23+CS23</f>
        <v>3.5</v>
      </c>
      <c r="CU23" s="376">
        <f t="shared" si="60"/>
        <v>26.5</v>
      </c>
      <c r="CV23" s="373">
        <f t="shared" si="61"/>
        <v>1.0713715277777778</v>
      </c>
      <c r="CW23" s="374" t="str">
        <f t="shared" si="62"/>
        <v>(0.1)</v>
      </c>
      <c r="CX23" s="375">
        <v>2</v>
      </c>
      <c r="CY23" s="375">
        <f t="shared" si="63"/>
        <v>3.5</v>
      </c>
      <c r="CZ23" s="375">
        <v>0</v>
      </c>
      <c r="DA23" s="375">
        <f t="shared" si="64"/>
        <v>0</v>
      </c>
      <c r="DB23" s="375">
        <v>0</v>
      </c>
      <c r="DC23" s="375">
        <f t="shared" si="65"/>
        <v>0</v>
      </c>
      <c r="DD23" s="375">
        <f>CY23+DA23+DC23</f>
        <v>3.5</v>
      </c>
      <c r="DE23" s="376">
        <f t="shared" si="67"/>
        <v>32.5</v>
      </c>
      <c r="DF23" s="373">
        <f t="shared" si="68"/>
        <v>1.2691631944444444</v>
      </c>
      <c r="DG23" s="374" t="str">
        <f t="shared" si="69"/>
        <v>(0.12)</v>
      </c>
      <c r="DH23" s="375">
        <v>2</v>
      </c>
      <c r="DI23" s="375">
        <f t="shared" si="70"/>
        <v>3.5</v>
      </c>
      <c r="DJ23" s="375">
        <v>0</v>
      </c>
      <c r="DK23" s="375">
        <f t="shared" si="71"/>
        <v>0</v>
      </c>
      <c r="DL23" s="375">
        <v>0</v>
      </c>
      <c r="DM23" s="375">
        <f t="shared" si="72"/>
        <v>0</v>
      </c>
      <c r="DN23" s="375">
        <f>DI23+DK23+DM23</f>
        <v>3.5</v>
      </c>
      <c r="DO23" s="376">
        <f t="shared" si="74"/>
        <v>38.5</v>
      </c>
      <c r="DP23" s="373">
        <f t="shared" si="75"/>
        <v>1.4669548611111112</v>
      </c>
      <c r="DQ23" s="374" t="str">
        <f t="shared" si="76"/>
        <v>(0.14)</v>
      </c>
      <c r="DR23" s="375">
        <v>2</v>
      </c>
      <c r="DS23" s="375">
        <f t="shared" si="77"/>
        <v>3.5</v>
      </c>
      <c r="DT23" s="375">
        <v>0</v>
      </c>
      <c r="DU23" s="375">
        <f t="shared" si="78"/>
        <v>0</v>
      </c>
      <c r="DV23" s="375">
        <v>0</v>
      </c>
      <c r="DW23" s="375">
        <f t="shared" si="79"/>
        <v>0</v>
      </c>
      <c r="DX23" s="375">
        <f>DS23+DU23+DW23</f>
        <v>3.5</v>
      </c>
      <c r="DY23" s="376">
        <f t="shared" si="81"/>
        <v>44.5</v>
      </c>
      <c r="DZ23" s="373">
        <f t="shared" si="82"/>
        <v>1.63178125</v>
      </c>
      <c r="EA23" s="374" t="str">
        <f>"("&amp;FIXED(DZ23*0.092903,2)&amp;")"</f>
        <v>(0.15)</v>
      </c>
      <c r="EB23" s="375">
        <v>2</v>
      </c>
      <c r="EC23" s="375">
        <f t="shared" si="84"/>
        <v>3.5</v>
      </c>
      <c r="ED23" s="375">
        <v>0</v>
      </c>
      <c r="EE23" s="375">
        <f t="shared" si="85"/>
        <v>0</v>
      </c>
      <c r="EF23" s="375">
        <v>1</v>
      </c>
      <c r="EG23" s="375">
        <f t="shared" si="86"/>
        <v>1</v>
      </c>
      <c r="EH23" s="375">
        <f>EC23+EE23+EG23</f>
        <v>4.5</v>
      </c>
      <c r="EI23" s="376">
        <f t="shared" si="88"/>
        <v>49.5</v>
      </c>
      <c r="EJ23" s="373">
        <f t="shared" si="89"/>
        <v>1.8295729166666668</v>
      </c>
      <c r="EK23" s="374" t="str">
        <f>"("&amp;FIXED(EJ23*0.092903,2)&amp;")"</f>
        <v>(0.17)</v>
      </c>
      <c r="EL23" s="375">
        <v>2</v>
      </c>
      <c r="EM23" s="375">
        <f t="shared" si="91"/>
        <v>3.5</v>
      </c>
      <c r="EN23" s="375">
        <v>0</v>
      </c>
      <c r="EO23" s="375">
        <f t="shared" si="92"/>
        <v>0</v>
      </c>
      <c r="EP23" s="375">
        <v>1</v>
      </c>
      <c r="EQ23" s="375">
        <f t="shared" si="93"/>
        <v>1</v>
      </c>
      <c r="ER23" s="375">
        <f>EM23+EO23+EQ23</f>
        <v>4.5</v>
      </c>
      <c r="ES23" s="376">
        <f t="shared" si="95"/>
        <v>55.5</v>
      </c>
      <c r="ET23" s="373">
        <f t="shared" si="96"/>
        <v>2.0273645833333331</v>
      </c>
      <c r="EU23" s="374" t="str">
        <f>"("&amp;FIXED(ET23*0.092903,2)&amp;")"</f>
        <v>(0.19)</v>
      </c>
      <c r="EV23" s="375">
        <v>2</v>
      </c>
      <c r="EW23" s="375">
        <f t="shared" si="98"/>
        <v>3.5</v>
      </c>
      <c r="EX23" s="375">
        <v>0</v>
      </c>
      <c r="EY23" s="375">
        <f t="shared" si="99"/>
        <v>0</v>
      </c>
      <c r="EZ23" s="375">
        <v>1</v>
      </c>
      <c r="FA23" s="375">
        <f t="shared" si="100"/>
        <v>1</v>
      </c>
      <c r="FB23" s="375">
        <f>EW23+EY23+FA23</f>
        <v>4.5</v>
      </c>
      <c r="FC23" s="376">
        <f t="shared" si="102"/>
        <v>61.5</v>
      </c>
      <c r="FD23" s="373">
        <f t="shared" si="103"/>
        <v>2.2210355902777774</v>
      </c>
      <c r="FE23" s="374" t="str">
        <f>"("&amp;FIXED(FD23*0.092903,2)&amp;")"</f>
        <v>(0.21)</v>
      </c>
      <c r="FF23" s="375">
        <v>2</v>
      </c>
      <c r="FG23" s="375">
        <f t="shared" si="105"/>
        <v>3.5</v>
      </c>
      <c r="FH23" s="375">
        <v>1</v>
      </c>
      <c r="FI23" s="375">
        <f t="shared" si="106"/>
        <v>1.125</v>
      </c>
      <c r="FJ23" s="375">
        <v>0</v>
      </c>
      <c r="FK23" s="375">
        <f t="shared" si="107"/>
        <v>0</v>
      </c>
      <c r="FL23" s="375">
        <f>FG23+FI23+FK23</f>
        <v>4.625</v>
      </c>
      <c r="FM23" s="376">
        <f t="shared" si="109"/>
        <v>67.375</v>
      </c>
      <c r="FN23" s="373">
        <f t="shared" si="110"/>
        <v>2.4188272569444447</v>
      </c>
      <c r="FO23" s="374" t="str">
        <f>"("&amp;FIXED(FN23*0.092903,2)&amp;")"</f>
        <v>(0.22)</v>
      </c>
      <c r="FP23" s="375">
        <v>2</v>
      </c>
      <c r="FQ23" s="375">
        <f t="shared" si="112"/>
        <v>3.5</v>
      </c>
      <c r="FR23" s="375">
        <v>1</v>
      </c>
      <c r="FS23" s="375">
        <f t="shared" si="113"/>
        <v>1.125</v>
      </c>
      <c r="FT23" s="375">
        <v>0</v>
      </c>
      <c r="FU23" s="375">
        <f t="shared" si="114"/>
        <v>0</v>
      </c>
      <c r="FV23" s="375">
        <f>FQ23+FS23+FU23</f>
        <v>4.625</v>
      </c>
      <c r="FW23" s="376">
        <f t="shared" si="116"/>
        <v>73.375</v>
      </c>
      <c r="FX23" s="373">
        <f t="shared" si="117"/>
        <v>2.616618923611111</v>
      </c>
      <c r="FY23" s="374" t="str">
        <f>"("&amp;FIXED(FX23*0.092903,2)&amp;")"</f>
        <v>(0.24)</v>
      </c>
      <c r="FZ23" s="375">
        <v>2</v>
      </c>
      <c r="GA23" s="375">
        <f t="shared" si="119"/>
        <v>3.5</v>
      </c>
      <c r="GB23" s="375">
        <v>1</v>
      </c>
      <c r="GC23" s="375">
        <f t="shared" si="120"/>
        <v>1.125</v>
      </c>
      <c r="GD23" s="375">
        <v>0</v>
      </c>
      <c r="GE23" s="375">
        <f t="shared" si="121"/>
        <v>0</v>
      </c>
      <c r="GF23" s="375">
        <f>GA23+GC23+GE23</f>
        <v>4.625</v>
      </c>
      <c r="GG23" s="376">
        <f t="shared" si="123"/>
        <v>79.375</v>
      </c>
      <c r="GH23" s="373">
        <f t="shared" si="124"/>
        <v>2.8144105902777778</v>
      </c>
      <c r="GI23" s="374" t="str">
        <f>"("&amp;FIXED(GH23*0.092903,2)&amp;")"</f>
        <v>(0.26)</v>
      </c>
      <c r="GJ23" s="375">
        <v>2</v>
      </c>
      <c r="GK23" s="375">
        <f t="shared" si="126"/>
        <v>3.5</v>
      </c>
      <c r="GL23" s="375">
        <v>1</v>
      </c>
      <c r="GM23" s="375">
        <f t="shared" si="127"/>
        <v>1.125</v>
      </c>
      <c r="GN23" s="375">
        <v>0</v>
      </c>
      <c r="GO23" s="375">
        <f t="shared" si="128"/>
        <v>0</v>
      </c>
      <c r="GP23" s="375">
        <f>GK23+GM23+GO23</f>
        <v>4.625</v>
      </c>
      <c r="GQ23" s="376">
        <f t="shared" si="130"/>
        <v>85.375</v>
      </c>
      <c r="GR23" s="373">
        <f t="shared" si="131"/>
        <v>3.0122022569444442</v>
      </c>
      <c r="GS23" s="374" t="str">
        <f>"("&amp;FIXED(GR23*0.092903,2)&amp;")"</f>
        <v>(0.28)</v>
      </c>
      <c r="GT23" s="375">
        <v>2</v>
      </c>
      <c r="GU23" s="375">
        <f t="shared" si="133"/>
        <v>3.5</v>
      </c>
      <c r="GV23" s="375">
        <v>1</v>
      </c>
      <c r="GW23" s="375">
        <f t="shared" si="134"/>
        <v>1.125</v>
      </c>
      <c r="GX23" s="375">
        <v>0</v>
      </c>
      <c r="GY23" s="375">
        <f t="shared" si="135"/>
        <v>0</v>
      </c>
      <c r="GZ23" s="375">
        <f>GU23+GW23+GY23</f>
        <v>4.625</v>
      </c>
      <c r="HA23" s="376">
        <f t="shared" si="137"/>
        <v>91.375</v>
      </c>
      <c r="HB23" s="373">
        <f t="shared" si="138"/>
        <v>3.209993923611111</v>
      </c>
      <c r="HC23" s="374" t="str">
        <f>"("&amp;FIXED(HB23*0.092903,2)&amp;")"</f>
        <v>(0.30)</v>
      </c>
      <c r="HD23" s="375">
        <v>2</v>
      </c>
      <c r="HE23" s="375">
        <f t="shared" si="140"/>
        <v>3.5</v>
      </c>
      <c r="HF23" s="375">
        <v>1</v>
      </c>
      <c r="HG23" s="375">
        <f t="shared" si="141"/>
        <v>1.125</v>
      </c>
      <c r="HH23" s="375">
        <v>0</v>
      </c>
      <c r="HI23" s="375">
        <f t="shared" si="142"/>
        <v>0</v>
      </c>
      <c r="HJ23" s="375">
        <f>HE23+HG23+HI23</f>
        <v>4.625</v>
      </c>
      <c r="HK23" s="376">
        <f t="shared" si="144"/>
        <v>97.375</v>
      </c>
      <c r="HL23" s="373">
        <f t="shared" si="145"/>
        <v>3.3418550347222222</v>
      </c>
      <c r="HM23" s="374" t="str">
        <f>"("&amp;FIXED(HL23*0.092903,2)&amp;")"</f>
        <v>(0.31)</v>
      </c>
      <c r="HN23" s="375">
        <v>2</v>
      </c>
      <c r="HO23" s="375">
        <f t="shared" si="147"/>
        <v>3.5</v>
      </c>
      <c r="HP23" s="375">
        <v>1</v>
      </c>
      <c r="HQ23" s="375">
        <f t="shared" si="148"/>
        <v>1.125</v>
      </c>
      <c r="HR23" s="375">
        <v>2</v>
      </c>
      <c r="HS23" s="375">
        <f t="shared" si="149"/>
        <v>2</v>
      </c>
      <c r="HT23" s="375">
        <f>HO23+HQ23+HS23</f>
        <v>6.625</v>
      </c>
      <c r="HU23" s="376">
        <f t="shared" si="151"/>
        <v>101.375</v>
      </c>
      <c r="HV23" s="373">
        <f t="shared" si="152"/>
        <v>3.5396467013888886</v>
      </c>
      <c r="HW23" s="374" t="str">
        <f>"("&amp;FIXED(HV23*0.092903,2)&amp;")"</f>
        <v>(0.33)</v>
      </c>
      <c r="HX23" s="375">
        <v>2</v>
      </c>
      <c r="HY23" s="375">
        <f t="shared" si="154"/>
        <v>3.5</v>
      </c>
      <c r="HZ23" s="375">
        <v>1</v>
      </c>
      <c r="IA23" s="375">
        <f t="shared" si="155"/>
        <v>1.125</v>
      </c>
      <c r="IB23" s="375">
        <v>2</v>
      </c>
      <c r="IC23" s="375">
        <f t="shared" si="156"/>
        <v>2</v>
      </c>
      <c r="ID23" s="375">
        <f>HY23+IA23+IC23</f>
        <v>6.625</v>
      </c>
      <c r="IE23" s="376">
        <f t="shared" si="158"/>
        <v>107.375</v>
      </c>
      <c r="IF23" s="373">
        <f t="shared" si="159"/>
        <v>3.737438368055555</v>
      </c>
      <c r="IG23" s="374" t="str">
        <f>"("&amp;FIXED(IF23*0.092903,2)&amp;")"</f>
        <v>(0.35)</v>
      </c>
      <c r="IH23" s="22">
        <v>2</v>
      </c>
      <c r="II23" s="22">
        <f t="shared" si="161"/>
        <v>3.5</v>
      </c>
      <c r="IJ23" s="22">
        <v>1</v>
      </c>
      <c r="IK23" s="22">
        <f t="shared" si="162"/>
        <v>1.125</v>
      </c>
      <c r="IL23" s="22">
        <v>2</v>
      </c>
      <c r="IM23" s="22">
        <f t="shared" si="163"/>
        <v>2</v>
      </c>
      <c r="IN23" s="22">
        <f>II23+IK23+IM23</f>
        <v>6.625</v>
      </c>
      <c r="IO23" s="23">
        <f t="shared" si="165"/>
        <v>113.375</v>
      </c>
      <c r="IP23" s="24"/>
      <c r="IQ23" s="25">
        <v>1</v>
      </c>
      <c r="IR23" s="26">
        <v>2.6549999999999998</v>
      </c>
      <c r="IS23" s="26">
        <v>2.6469999999999998</v>
      </c>
      <c r="IT23" s="26">
        <v>2.0920000000000001</v>
      </c>
      <c r="IU23" s="26">
        <v>1.75</v>
      </c>
      <c r="IV23" s="26">
        <v>1</v>
      </c>
      <c r="IW23" s="26">
        <v>1.125</v>
      </c>
      <c r="IX23" s="8"/>
    </row>
    <row r="24" spans="2:258" ht="15.75" thickBot="1" x14ac:dyDescent="0.3">
      <c r="B24" s="103">
        <f t="shared" si="25"/>
        <v>36</v>
      </c>
      <c r="C24" s="226">
        <v>7</v>
      </c>
      <c r="D24" s="98">
        <f t="shared" si="1"/>
        <v>0.3501836419753086</v>
      </c>
      <c r="E24" s="96">
        <f t="shared" si="2"/>
        <v>0.40589467592592587</v>
      </c>
      <c r="F24" s="96">
        <f t="shared" si="3"/>
        <v>0.4616057098765432</v>
      </c>
      <c r="G24" s="96">
        <f t="shared" si="4"/>
        <v>0.48946122685185173</v>
      </c>
      <c r="H24" s="96">
        <f t="shared" si="5"/>
        <v>0.50617453703703708</v>
      </c>
      <c r="I24" s="96">
        <f t="shared" si="6"/>
        <v>0.51731674382716042</v>
      </c>
      <c r="J24" s="96">
        <f t="shared" si="7"/>
        <v>0.5252754629629629</v>
      </c>
      <c r="K24" s="96">
        <f t="shared" si="8"/>
        <v>0.53124450231481479</v>
      </c>
      <c r="L24" s="96">
        <f t="shared" si="9"/>
        <v>0.5252754629629629</v>
      </c>
      <c r="M24" s="96">
        <f t="shared" si="10"/>
        <v>0.53005069444444441</v>
      </c>
      <c r="N24" s="96">
        <f t="shared" si="11"/>
        <v>0.53395770202020199</v>
      </c>
      <c r="O24" s="96">
        <f t="shared" si="12"/>
        <v>0.53621870177469133</v>
      </c>
      <c r="P24" s="96">
        <f t="shared" si="13"/>
        <v>0.53905016915954407</v>
      </c>
      <c r="Q24" s="96">
        <f t="shared" si="14"/>
        <v>0.5414771412037036</v>
      </c>
      <c r="R24" s="96">
        <f t="shared" si="15"/>
        <v>0.54358051697530863</v>
      </c>
      <c r="S24" s="96">
        <f t="shared" si="16"/>
        <v>0.54542097077546292</v>
      </c>
      <c r="T24" s="96">
        <f t="shared" si="17"/>
        <v>0.54704490059912847</v>
      </c>
      <c r="U24" s="96">
        <f t="shared" si="18"/>
        <v>0.53787676826131681</v>
      </c>
      <c r="V24" s="96">
        <f t="shared" si="19"/>
        <v>0.53972682139376216</v>
      </c>
      <c r="W24" s="96">
        <f t="shared" si="20"/>
        <v>0.54139186921296278</v>
      </c>
      <c r="X24" s="96"/>
      <c r="Y24" s="65"/>
      <c r="AA24" s="83"/>
      <c r="AT24" s="4"/>
      <c r="AU24" s="14">
        <f>AU23+6</f>
        <v>18</v>
      </c>
      <c r="AV24" s="12" t="str">
        <f t="shared" ref="AV24:AV41" si="166">"("&amp;ROUND(AU24*25.4/50,0)*50&amp;")"</f>
        <v>(450)</v>
      </c>
      <c r="AW24" s="19">
        <f>AW23+1</f>
        <v>9</v>
      </c>
      <c r="AX24" s="20">
        <f t="shared" si="26"/>
        <v>0.33737152777777779</v>
      </c>
      <c r="AY24" s="21" t="str">
        <f t="shared" ref="AY24:AY30" si="167">"("&amp;FIXED(AX24*0.092903,2)&amp;")"</f>
        <v>(0.03)</v>
      </c>
      <c r="AZ24" s="22">
        <v>2</v>
      </c>
      <c r="BA24" s="22">
        <f t="shared" si="28"/>
        <v>3.5</v>
      </c>
      <c r="BB24" s="22">
        <v>0</v>
      </c>
      <c r="BC24" s="22">
        <f t="shared" si="29"/>
        <v>0</v>
      </c>
      <c r="BD24" s="22">
        <v>0</v>
      </c>
      <c r="BE24" s="22">
        <f t="shared" si="30"/>
        <v>0</v>
      </c>
      <c r="BF24" s="22">
        <f t="shared" ref="BF24:BF41" si="168">BA24+BC24+BE24</f>
        <v>3.5</v>
      </c>
      <c r="BG24" s="23">
        <f t="shared" si="32"/>
        <v>5.5</v>
      </c>
      <c r="BH24" s="373">
        <f t="shared" si="33"/>
        <v>0.52139236111111109</v>
      </c>
      <c r="BI24" s="374" t="str">
        <f t="shared" ref="BI24:BI40" si="169">"("&amp;FIXED(BH24*0.092903,2)&amp;")"</f>
        <v>(0.05)</v>
      </c>
      <c r="BJ24" s="375">
        <v>2</v>
      </c>
      <c r="BK24" s="375">
        <f t="shared" si="35"/>
        <v>3.5</v>
      </c>
      <c r="BL24" s="375">
        <v>0</v>
      </c>
      <c r="BM24" s="375">
        <f t="shared" si="36"/>
        <v>0</v>
      </c>
      <c r="BN24" s="375">
        <v>0</v>
      </c>
      <c r="BO24" s="375">
        <f t="shared" si="37"/>
        <v>0</v>
      </c>
      <c r="BP24" s="375">
        <f t="shared" ref="BP24:BP41" si="170">BK24+BM24+BO24</f>
        <v>3.5</v>
      </c>
      <c r="BQ24" s="376">
        <f t="shared" si="39"/>
        <v>8.5</v>
      </c>
      <c r="BR24" s="373">
        <f t="shared" si="40"/>
        <v>0.88943402777777769</v>
      </c>
      <c r="BS24" s="374" t="str">
        <f t="shared" si="41"/>
        <v>(0.08)</v>
      </c>
      <c r="BT24" s="375">
        <v>2</v>
      </c>
      <c r="BU24" s="375">
        <f t="shared" si="42"/>
        <v>3.5</v>
      </c>
      <c r="BV24" s="375">
        <v>0</v>
      </c>
      <c r="BW24" s="375">
        <f t="shared" si="43"/>
        <v>0</v>
      </c>
      <c r="BX24" s="375">
        <v>0</v>
      </c>
      <c r="BY24" s="375">
        <f t="shared" si="44"/>
        <v>0</v>
      </c>
      <c r="BZ24" s="375">
        <f t="shared" ref="BZ24:BZ41" si="171">BU24+BW24+BY24</f>
        <v>3.5</v>
      </c>
      <c r="CA24" s="376">
        <f t="shared" si="46"/>
        <v>14.5</v>
      </c>
      <c r="CB24" s="373">
        <f t="shared" si="47"/>
        <v>1.2574756944444445</v>
      </c>
      <c r="CC24" s="374" t="str">
        <f t="shared" si="48"/>
        <v>(0.12)</v>
      </c>
      <c r="CD24" s="375">
        <v>2</v>
      </c>
      <c r="CE24" s="375">
        <f t="shared" si="49"/>
        <v>3.5</v>
      </c>
      <c r="CF24" s="375">
        <v>0</v>
      </c>
      <c r="CG24" s="375">
        <f t="shared" si="50"/>
        <v>0</v>
      </c>
      <c r="CH24" s="375">
        <v>0</v>
      </c>
      <c r="CI24" s="375">
        <f t="shared" si="51"/>
        <v>0</v>
      </c>
      <c r="CJ24" s="375">
        <f t="shared" ref="CJ24:CJ41" si="172">CE24+CG24+CI24</f>
        <v>3.5</v>
      </c>
      <c r="CK24" s="376">
        <f t="shared" si="53"/>
        <v>20.5</v>
      </c>
      <c r="CL24" s="373">
        <f t="shared" si="54"/>
        <v>1.6255173611111111</v>
      </c>
      <c r="CM24" s="374" t="str">
        <f t="shared" si="55"/>
        <v>(0.15)</v>
      </c>
      <c r="CN24" s="375">
        <v>2</v>
      </c>
      <c r="CO24" s="375">
        <f t="shared" si="56"/>
        <v>3.5</v>
      </c>
      <c r="CP24" s="375">
        <v>0</v>
      </c>
      <c r="CQ24" s="375">
        <f t="shared" si="57"/>
        <v>0</v>
      </c>
      <c r="CR24" s="375">
        <v>0</v>
      </c>
      <c r="CS24" s="375">
        <f t="shared" si="58"/>
        <v>0</v>
      </c>
      <c r="CT24" s="375">
        <f t="shared" ref="CT24:CT41" si="173">CO24+CQ24+CS24</f>
        <v>3.5</v>
      </c>
      <c r="CU24" s="376">
        <f t="shared" si="60"/>
        <v>26.5</v>
      </c>
      <c r="CV24" s="373">
        <f t="shared" si="61"/>
        <v>1.9935590277777777</v>
      </c>
      <c r="CW24" s="374" t="str">
        <f t="shared" si="62"/>
        <v>(0.19)</v>
      </c>
      <c r="CX24" s="375">
        <v>2</v>
      </c>
      <c r="CY24" s="375">
        <f t="shared" si="63"/>
        <v>3.5</v>
      </c>
      <c r="CZ24" s="375">
        <v>0</v>
      </c>
      <c r="DA24" s="375">
        <f t="shared" si="64"/>
        <v>0</v>
      </c>
      <c r="DB24" s="375">
        <v>0</v>
      </c>
      <c r="DC24" s="375">
        <f t="shared" si="65"/>
        <v>0</v>
      </c>
      <c r="DD24" s="375">
        <f t="shared" ref="DD24:DD41" si="174">CY24+DA24+DC24</f>
        <v>3.5</v>
      </c>
      <c r="DE24" s="376">
        <f t="shared" si="67"/>
        <v>32.5</v>
      </c>
      <c r="DF24" s="373">
        <f t="shared" si="68"/>
        <v>2.3616006944444443</v>
      </c>
      <c r="DG24" s="374" t="str">
        <f t="shared" si="69"/>
        <v>(0.22)</v>
      </c>
      <c r="DH24" s="375">
        <v>2</v>
      </c>
      <c r="DI24" s="375">
        <f t="shared" si="70"/>
        <v>3.5</v>
      </c>
      <c r="DJ24" s="375">
        <v>0</v>
      </c>
      <c r="DK24" s="375">
        <f t="shared" si="71"/>
        <v>0</v>
      </c>
      <c r="DL24" s="375">
        <v>0</v>
      </c>
      <c r="DM24" s="375">
        <f t="shared" si="72"/>
        <v>0</v>
      </c>
      <c r="DN24" s="375">
        <f t="shared" ref="DN24:DN41" si="175">DI24+DK24+DM24</f>
        <v>3.5</v>
      </c>
      <c r="DO24" s="376">
        <f t="shared" si="74"/>
        <v>38.5</v>
      </c>
      <c r="DP24" s="373">
        <f t="shared" si="75"/>
        <v>2.7296423611111114</v>
      </c>
      <c r="DQ24" s="374" t="str">
        <f t="shared" si="76"/>
        <v>(0.25)</v>
      </c>
      <c r="DR24" s="375">
        <v>2</v>
      </c>
      <c r="DS24" s="375">
        <f t="shared" si="77"/>
        <v>3.5</v>
      </c>
      <c r="DT24" s="375">
        <v>0</v>
      </c>
      <c r="DU24" s="375">
        <f t="shared" si="78"/>
        <v>0</v>
      </c>
      <c r="DV24" s="375">
        <v>0</v>
      </c>
      <c r="DW24" s="375">
        <f t="shared" si="79"/>
        <v>0</v>
      </c>
      <c r="DX24" s="375">
        <f t="shared" ref="DX24:DX41" si="176">DS24+DU24+DW24</f>
        <v>3.5</v>
      </c>
      <c r="DY24" s="376">
        <f t="shared" si="81"/>
        <v>44.5</v>
      </c>
      <c r="DZ24" s="373">
        <f t="shared" si="82"/>
        <v>3.0363437499999999</v>
      </c>
      <c r="EA24" s="374" t="str">
        <f t="shared" ref="EA24:EA40" si="177">"("&amp;FIXED(DZ24*0.092903,2)&amp;")"</f>
        <v>(0.28)</v>
      </c>
      <c r="EB24" s="375">
        <v>2</v>
      </c>
      <c r="EC24" s="375">
        <f t="shared" si="84"/>
        <v>3.5</v>
      </c>
      <c r="ED24" s="375">
        <v>0</v>
      </c>
      <c r="EE24" s="375">
        <f t="shared" si="85"/>
        <v>0</v>
      </c>
      <c r="EF24" s="375">
        <v>1</v>
      </c>
      <c r="EG24" s="375">
        <f t="shared" si="86"/>
        <v>1</v>
      </c>
      <c r="EH24" s="375">
        <f t="shared" ref="EH24:EH41" si="178">EC24+EE24+EG24</f>
        <v>4.5</v>
      </c>
      <c r="EI24" s="376">
        <f t="shared" si="88"/>
        <v>49.5</v>
      </c>
      <c r="EJ24" s="373">
        <f t="shared" si="89"/>
        <v>3.4043854166666665</v>
      </c>
      <c r="EK24" s="374" t="str">
        <f t="shared" ref="EK24:EK30" si="179">"("&amp;FIXED(EJ24*0.092903,2)&amp;")"</f>
        <v>(0.32)</v>
      </c>
      <c r="EL24" s="375">
        <v>2</v>
      </c>
      <c r="EM24" s="375">
        <f t="shared" si="91"/>
        <v>3.5</v>
      </c>
      <c r="EN24" s="375">
        <v>0</v>
      </c>
      <c r="EO24" s="375">
        <f t="shared" si="92"/>
        <v>0</v>
      </c>
      <c r="EP24" s="375">
        <v>1</v>
      </c>
      <c r="EQ24" s="375">
        <f t="shared" si="93"/>
        <v>1</v>
      </c>
      <c r="ER24" s="375">
        <f t="shared" ref="ER24:ER41" si="180">EM24+EO24+EQ24</f>
        <v>4.5</v>
      </c>
      <c r="ES24" s="376">
        <f t="shared" si="95"/>
        <v>55.5</v>
      </c>
      <c r="ET24" s="373">
        <f t="shared" si="96"/>
        <v>3.7724270833333335</v>
      </c>
      <c r="EU24" s="374" t="str">
        <f t="shared" ref="EU24:EU30" si="181">"("&amp;FIXED(ET24*0.092903,2)&amp;")"</f>
        <v>(0.35)</v>
      </c>
      <c r="EV24" s="375">
        <v>2</v>
      </c>
      <c r="EW24" s="375">
        <f t="shared" si="98"/>
        <v>3.5</v>
      </c>
      <c r="EX24" s="375">
        <v>0</v>
      </c>
      <c r="EY24" s="375">
        <f t="shared" si="99"/>
        <v>0</v>
      </c>
      <c r="EZ24" s="375">
        <v>1</v>
      </c>
      <c r="FA24" s="375">
        <f t="shared" si="100"/>
        <v>1</v>
      </c>
      <c r="FB24" s="375">
        <f t="shared" ref="FB24:FB41" si="182">EW24+EY24+FA24</f>
        <v>4.5</v>
      </c>
      <c r="FC24" s="376">
        <f t="shared" si="102"/>
        <v>61.5</v>
      </c>
      <c r="FD24" s="373">
        <f t="shared" si="103"/>
        <v>4.1328012152777776</v>
      </c>
      <c r="FE24" s="374" t="str">
        <f t="shared" ref="FE24:FO40" si="183">"("&amp;FIXED(FD24*0.092903,2)&amp;")"</f>
        <v>(0.38)</v>
      </c>
      <c r="FF24" s="375">
        <v>2</v>
      </c>
      <c r="FG24" s="375">
        <f t="shared" si="105"/>
        <v>3.5</v>
      </c>
      <c r="FH24" s="375">
        <v>1</v>
      </c>
      <c r="FI24" s="375">
        <f t="shared" si="106"/>
        <v>1.125</v>
      </c>
      <c r="FJ24" s="375">
        <v>0</v>
      </c>
      <c r="FK24" s="375">
        <f t="shared" si="107"/>
        <v>0</v>
      </c>
      <c r="FL24" s="375">
        <f t="shared" ref="FL24:FL41" si="184">FG24+FI24+FK24</f>
        <v>4.625</v>
      </c>
      <c r="FM24" s="376">
        <f t="shared" si="109"/>
        <v>67.375</v>
      </c>
      <c r="FN24" s="373">
        <f t="shared" si="110"/>
        <v>4.500842881944445</v>
      </c>
      <c r="FO24" s="374" t="str">
        <f t="shared" si="183"/>
        <v>(0.42)</v>
      </c>
      <c r="FP24" s="375">
        <v>2</v>
      </c>
      <c r="FQ24" s="375">
        <f t="shared" si="112"/>
        <v>3.5</v>
      </c>
      <c r="FR24" s="375">
        <v>1</v>
      </c>
      <c r="FS24" s="375">
        <f t="shared" si="113"/>
        <v>1.125</v>
      </c>
      <c r="FT24" s="375">
        <v>0</v>
      </c>
      <c r="FU24" s="375">
        <f t="shared" si="114"/>
        <v>0</v>
      </c>
      <c r="FV24" s="375">
        <f t="shared" ref="FV24:FV33" si="185">FQ24+FS24+FU24</f>
        <v>4.625</v>
      </c>
      <c r="FW24" s="376">
        <f t="shared" si="116"/>
        <v>73.375</v>
      </c>
      <c r="FX24" s="373">
        <f t="shared" si="117"/>
        <v>4.8688845486111108</v>
      </c>
      <c r="FY24" s="374" t="str">
        <f t="shared" ref="FY24:FY30" si="186">"("&amp;FIXED(FX24*0.092903,2)&amp;")"</f>
        <v>(0.45)</v>
      </c>
      <c r="FZ24" s="375">
        <v>2</v>
      </c>
      <c r="GA24" s="375">
        <f t="shared" si="119"/>
        <v>3.5</v>
      </c>
      <c r="GB24" s="375">
        <v>1</v>
      </c>
      <c r="GC24" s="375">
        <f t="shared" si="120"/>
        <v>1.125</v>
      </c>
      <c r="GD24" s="375">
        <v>0</v>
      </c>
      <c r="GE24" s="375">
        <f t="shared" si="121"/>
        <v>0</v>
      </c>
      <c r="GF24" s="375">
        <f t="shared" ref="GF24:GF33" si="187">GA24+GC24+GE24</f>
        <v>4.625</v>
      </c>
      <c r="GG24" s="376">
        <f t="shared" si="123"/>
        <v>79.375</v>
      </c>
      <c r="GH24" s="373">
        <f t="shared" si="124"/>
        <v>5.2369262152777782</v>
      </c>
      <c r="GI24" s="374" t="str">
        <f t="shared" ref="GI24:GI30" si="188">"("&amp;FIXED(GH24*0.092903,2)&amp;")"</f>
        <v>(0.49)</v>
      </c>
      <c r="GJ24" s="375">
        <v>2</v>
      </c>
      <c r="GK24" s="375">
        <f t="shared" si="126"/>
        <v>3.5</v>
      </c>
      <c r="GL24" s="375">
        <v>1</v>
      </c>
      <c r="GM24" s="375">
        <f t="shared" si="127"/>
        <v>1.125</v>
      </c>
      <c r="GN24" s="375">
        <v>0</v>
      </c>
      <c r="GO24" s="375">
        <f t="shared" si="128"/>
        <v>0</v>
      </c>
      <c r="GP24" s="375">
        <f t="shared" ref="GP24:GP33" si="189">GK24+GM24+GO24</f>
        <v>4.625</v>
      </c>
      <c r="GQ24" s="376">
        <f t="shared" si="130"/>
        <v>85.375</v>
      </c>
      <c r="GR24" s="373">
        <f t="shared" si="131"/>
        <v>5.604967881944444</v>
      </c>
      <c r="GS24" s="374" t="str">
        <f t="shared" ref="GS24:GS30" si="190">"("&amp;FIXED(GR24*0.092903,2)&amp;")"</f>
        <v>(0.52)</v>
      </c>
      <c r="GT24" s="375">
        <v>2</v>
      </c>
      <c r="GU24" s="375">
        <f t="shared" si="133"/>
        <v>3.5</v>
      </c>
      <c r="GV24" s="375">
        <v>1</v>
      </c>
      <c r="GW24" s="375">
        <f t="shared" si="134"/>
        <v>1.125</v>
      </c>
      <c r="GX24" s="375">
        <v>0</v>
      </c>
      <c r="GY24" s="375">
        <f t="shared" si="135"/>
        <v>0</v>
      </c>
      <c r="GZ24" s="375">
        <f t="shared" ref="GZ24:GZ33" si="191">GU24+GW24+GY24</f>
        <v>4.625</v>
      </c>
      <c r="HA24" s="376">
        <f t="shared" si="137"/>
        <v>91.375</v>
      </c>
      <c r="HB24" s="373">
        <f t="shared" si="138"/>
        <v>5.9730095486111114</v>
      </c>
      <c r="HC24" s="374" t="str">
        <f t="shared" ref="HC24:HC30" si="192">"("&amp;FIXED(HB24*0.092903,2)&amp;")"</f>
        <v>(0.55)</v>
      </c>
      <c r="HD24" s="375">
        <v>2</v>
      </c>
      <c r="HE24" s="375">
        <f t="shared" si="140"/>
        <v>3.5</v>
      </c>
      <c r="HF24" s="375">
        <v>1</v>
      </c>
      <c r="HG24" s="375">
        <f t="shared" si="141"/>
        <v>1.125</v>
      </c>
      <c r="HH24" s="375">
        <v>0</v>
      </c>
      <c r="HI24" s="375">
        <f t="shared" si="142"/>
        <v>0</v>
      </c>
      <c r="HJ24" s="375">
        <f t="shared" ref="HJ24:HJ33" si="193">HE24+HG24+HI24</f>
        <v>4.625</v>
      </c>
      <c r="HK24" s="376">
        <f t="shared" si="144"/>
        <v>97.375</v>
      </c>
      <c r="HL24" s="373">
        <f t="shared" si="145"/>
        <v>6.2183706597222219</v>
      </c>
      <c r="HM24" s="374" t="str">
        <f t="shared" ref="HM24:HM33" si="194">"("&amp;FIXED(HL24*0.092903,2)&amp;")"</f>
        <v>(0.58)</v>
      </c>
      <c r="HN24" s="375">
        <v>2</v>
      </c>
      <c r="HO24" s="375">
        <f t="shared" si="147"/>
        <v>3.5</v>
      </c>
      <c r="HP24" s="375">
        <v>1</v>
      </c>
      <c r="HQ24" s="375">
        <f t="shared" si="148"/>
        <v>1.125</v>
      </c>
      <c r="HR24" s="375">
        <v>2</v>
      </c>
      <c r="HS24" s="375">
        <f t="shared" si="149"/>
        <v>2</v>
      </c>
      <c r="HT24" s="375">
        <f t="shared" ref="HT24:HT33" si="195">HO24+HQ24+HS24</f>
        <v>6.625</v>
      </c>
      <c r="HU24" s="376">
        <f t="shared" si="151"/>
        <v>101.375</v>
      </c>
      <c r="HV24" s="373">
        <f t="shared" si="152"/>
        <v>6.5864123263888894</v>
      </c>
      <c r="HW24" s="374" t="str">
        <f t="shared" ref="HW24:HW30" si="196">"("&amp;FIXED(HV24*0.092903,2)&amp;")"</f>
        <v>(0.61)</v>
      </c>
      <c r="HX24" s="375">
        <v>2</v>
      </c>
      <c r="HY24" s="375">
        <f t="shared" si="154"/>
        <v>3.5</v>
      </c>
      <c r="HZ24" s="375">
        <v>1</v>
      </c>
      <c r="IA24" s="375">
        <f t="shared" si="155"/>
        <v>1.125</v>
      </c>
      <c r="IB24" s="375">
        <v>2</v>
      </c>
      <c r="IC24" s="375">
        <f t="shared" si="156"/>
        <v>2</v>
      </c>
      <c r="ID24" s="375">
        <f t="shared" ref="ID24:ID33" si="197">HY24+IA24+IC24</f>
        <v>6.625</v>
      </c>
      <c r="IE24" s="376">
        <f t="shared" si="158"/>
        <v>107.375</v>
      </c>
      <c r="IF24" s="373">
        <f t="shared" si="159"/>
        <v>6.9544539930555551</v>
      </c>
      <c r="IG24" s="374" t="str">
        <f t="shared" ref="IG24:IG30" si="198">"("&amp;FIXED(IF24*0.092903,2)&amp;")"</f>
        <v>(0.65)</v>
      </c>
      <c r="IH24" s="22">
        <v>2</v>
      </c>
      <c r="II24" s="22">
        <f t="shared" si="161"/>
        <v>3.5</v>
      </c>
      <c r="IJ24" s="22">
        <v>1</v>
      </c>
      <c r="IK24" s="22">
        <f t="shared" si="162"/>
        <v>1.125</v>
      </c>
      <c r="IL24" s="22">
        <v>2</v>
      </c>
      <c r="IM24" s="22">
        <f t="shared" si="163"/>
        <v>2</v>
      </c>
      <c r="IN24" s="22">
        <f t="shared" ref="IN24:IN33" si="199">II24+IK24+IM24</f>
        <v>6.625</v>
      </c>
      <c r="IO24" s="23">
        <f t="shared" si="165"/>
        <v>113.375</v>
      </c>
      <c r="IP24" s="24"/>
      <c r="IQ24" s="25">
        <v>3</v>
      </c>
      <c r="IR24" s="26">
        <v>2.6549999999999998</v>
      </c>
      <c r="IS24" s="26">
        <v>2.6469999999999998</v>
      </c>
      <c r="IT24" s="26">
        <v>0.88400000000000001</v>
      </c>
      <c r="IU24" s="26">
        <v>1.75</v>
      </c>
      <c r="IV24" s="26">
        <v>1</v>
      </c>
      <c r="IW24" s="26">
        <v>1.125</v>
      </c>
      <c r="IX24" s="8"/>
    </row>
    <row r="25" spans="2:258" ht="15.75" thickBot="1" x14ac:dyDescent="0.3">
      <c r="B25" s="103">
        <f t="shared" si="25"/>
        <v>42</v>
      </c>
      <c r="C25" s="221">
        <v>8</v>
      </c>
      <c r="D25" s="98">
        <f t="shared" si="1"/>
        <v>0.35960978835978841</v>
      </c>
      <c r="E25" s="96">
        <f t="shared" si="2"/>
        <v>0.41682043650793649</v>
      </c>
      <c r="F25" s="96">
        <f t="shared" si="3"/>
        <v>0.47403108465608462</v>
      </c>
      <c r="G25" s="96">
        <f t="shared" si="4"/>
        <v>0.50263640873015869</v>
      </c>
      <c r="H25" s="96">
        <f t="shared" si="5"/>
        <v>0.51979960317460316</v>
      </c>
      <c r="I25" s="96">
        <f t="shared" si="6"/>
        <v>0.5312417328042327</v>
      </c>
      <c r="J25" s="96">
        <f t="shared" si="7"/>
        <v>0.5394146825396825</v>
      </c>
      <c r="K25" s="96">
        <f t="shared" si="8"/>
        <v>0.54554439484126982</v>
      </c>
      <c r="L25" s="96">
        <f t="shared" si="9"/>
        <v>0.53941468253968261</v>
      </c>
      <c r="M25" s="96">
        <f t="shared" si="10"/>
        <v>0.54431845238095233</v>
      </c>
      <c r="N25" s="96">
        <f t="shared" si="11"/>
        <v>0.54833062770562779</v>
      </c>
      <c r="O25" s="96">
        <f t="shared" si="12"/>
        <v>0.55065248842592596</v>
      </c>
      <c r="P25" s="96">
        <f t="shared" si="13"/>
        <v>0.55356017246642253</v>
      </c>
      <c r="Q25" s="96">
        <f t="shared" si="14"/>
        <v>0.55605247307256234</v>
      </c>
      <c r="R25" s="96">
        <f t="shared" si="15"/>
        <v>0.55821246693121696</v>
      </c>
      <c r="S25" s="96">
        <f t="shared" si="16"/>
        <v>0.56010246155753973</v>
      </c>
      <c r="T25" s="96">
        <f t="shared" si="17"/>
        <v>0.56177010387488335</v>
      </c>
      <c r="U25" s="96">
        <f t="shared" si="18"/>
        <v>0.55235518628747804</v>
      </c>
      <c r="V25" s="96">
        <f t="shared" si="19"/>
        <v>0.55425503863826231</v>
      </c>
      <c r="W25" s="96">
        <f t="shared" si="20"/>
        <v>0.55596490575396829</v>
      </c>
      <c r="X25" s="96"/>
      <c r="Y25" s="65"/>
      <c r="AA25" s="83"/>
      <c r="AT25" s="4"/>
      <c r="AU25" s="14">
        <f t="shared" ref="AU25:AU41" si="200">AU24+6</f>
        <v>24</v>
      </c>
      <c r="AV25" s="12" t="str">
        <f t="shared" si="166"/>
        <v>(600)</v>
      </c>
      <c r="AW25" s="19">
        <f t="shared" ref="AW25:AW41" si="201">AW24+1</f>
        <v>10</v>
      </c>
      <c r="AX25" s="20">
        <f t="shared" si="26"/>
        <v>0.48461111111111105</v>
      </c>
      <c r="AY25" s="21" t="str">
        <f t="shared" si="167"/>
        <v>(0.05)</v>
      </c>
      <c r="AZ25" s="22">
        <v>2</v>
      </c>
      <c r="BA25" s="22">
        <f t="shared" si="28"/>
        <v>3.5</v>
      </c>
      <c r="BB25" s="22">
        <v>0</v>
      </c>
      <c r="BC25" s="22">
        <f t="shared" si="29"/>
        <v>0</v>
      </c>
      <c r="BD25" s="22">
        <v>0</v>
      </c>
      <c r="BE25" s="22">
        <f t="shared" si="30"/>
        <v>0</v>
      </c>
      <c r="BF25" s="22">
        <f t="shared" si="168"/>
        <v>3.5</v>
      </c>
      <c r="BG25" s="23">
        <f t="shared" si="32"/>
        <v>5.5</v>
      </c>
      <c r="BH25" s="373">
        <f t="shared" si="33"/>
        <v>0.7489444444444443</v>
      </c>
      <c r="BI25" s="374" t="str">
        <f t="shared" si="169"/>
        <v>(0.07)</v>
      </c>
      <c r="BJ25" s="375">
        <v>2</v>
      </c>
      <c r="BK25" s="375">
        <f t="shared" si="35"/>
        <v>3.5</v>
      </c>
      <c r="BL25" s="375">
        <v>0</v>
      </c>
      <c r="BM25" s="375">
        <f t="shared" si="36"/>
        <v>0</v>
      </c>
      <c r="BN25" s="375">
        <v>0</v>
      </c>
      <c r="BO25" s="375">
        <f t="shared" si="37"/>
        <v>0</v>
      </c>
      <c r="BP25" s="375">
        <f t="shared" si="170"/>
        <v>3.5</v>
      </c>
      <c r="BQ25" s="376">
        <f t="shared" si="39"/>
        <v>8.5</v>
      </c>
      <c r="BR25" s="373">
        <f t="shared" si="40"/>
        <v>1.2776111111111108</v>
      </c>
      <c r="BS25" s="374" t="str">
        <f t="shared" si="41"/>
        <v>(0.12)</v>
      </c>
      <c r="BT25" s="375">
        <v>2</v>
      </c>
      <c r="BU25" s="375">
        <f t="shared" si="42"/>
        <v>3.5</v>
      </c>
      <c r="BV25" s="375">
        <v>0</v>
      </c>
      <c r="BW25" s="375">
        <f t="shared" si="43"/>
        <v>0</v>
      </c>
      <c r="BX25" s="375">
        <v>0</v>
      </c>
      <c r="BY25" s="375">
        <f t="shared" si="44"/>
        <v>0</v>
      </c>
      <c r="BZ25" s="375">
        <f t="shared" si="171"/>
        <v>3.5</v>
      </c>
      <c r="CA25" s="376">
        <f t="shared" si="46"/>
        <v>14.5</v>
      </c>
      <c r="CB25" s="373">
        <f t="shared" si="47"/>
        <v>1.8062777777777776</v>
      </c>
      <c r="CC25" s="374" t="str">
        <f t="shared" si="48"/>
        <v>(0.17)</v>
      </c>
      <c r="CD25" s="375">
        <v>2</v>
      </c>
      <c r="CE25" s="375">
        <f t="shared" si="49"/>
        <v>3.5</v>
      </c>
      <c r="CF25" s="375">
        <v>0</v>
      </c>
      <c r="CG25" s="375">
        <f t="shared" si="50"/>
        <v>0</v>
      </c>
      <c r="CH25" s="375">
        <v>0</v>
      </c>
      <c r="CI25" s="375">
        <f t="shared" si="51"/>
        <v>0</v>
      </c>
      <c r="CJ25" s="375">
        <f t="shared" si="172"/>
        <v>3.5</v>
      </c>
      <c r="CK25" s="376">
        <f t="shared" si="53"/>
        <v>20.5</v>
      </c>
      <c r="CL25" s="373">
        <f t="shared" si="54"/>
        <v>2.334944444444444</v>
      </c>
      <c r="CM25" s="374" t="str">
        <f t="shared" si="55"/>
        <v>(0.22)</v>
      </c>
      <c r="CN25" s="375">
        <v>2</v>
      </c>
      <c r="CO25" s="375">
        <f t="shared" si="56"/>
        <v>3.5</v>
      </c>
      <c r="CP25" s="375">
        <v>0</v>
      </c>
      <c r="CQ25" s="375">
        <f t="shared" si="57"/>
        <v>0</v>
      </c>
      <c r="CR25" s="375">
        <v>0</v>
      </c>
      <c r="CS25" s="375">
        <f t="shared" si="58"/>
        <v>0</v>
      </c>
      <c r="CT25" s="375">
        <f t="shared" si="173"/>
        <v>3.5</v>
      </c>
      <c r="CU25" s="376">
        <f t="shared" si="60"/>
        <v>26.5</v>
      </c>
      <c r="CV25" s="373">
        <f t="shared" si="61"/>
        <v>2.8636111111111107</v>
      </c>
      <c r="CW25" s="374" t="str">
        <f t="shared" si="62"/>
        <v>(0.27)</v>
      </c>
      <c r="CX25" s="375">
        <v>2</v>
      </c>
      <c r="CY25" s="375">
        <f t="shared" si="63"/>
        <v>3.5</v>
      </c>
      <c r="CZ25" s="375">
        <v>0</v>
      </c>
      <c r="DA25" s="375">
        <f t="shared" si="64"/>
        <v>0</v>
      </c>
      <c r="DB25" s="375">
        <v>0</v>
      </c>
      <c r="DC25" s="375">
        <f t="shared" si="65"/>
        <v>0</v>
      </c>
      <c r="DD25" s="375">
        <f t="shared" si="174"/>
        <v>3.5</v>
      </c>
      <c r="DE25" s="376">
        <f t="shared" si="67"/>
        <v>32.5</v>
      </c>
      <c r="DF25" s="373">
        <f t="shared" si="68"/>
        <v>3.3922777777777773</v>
      </c>
      <c r="DG25" s="374" t="str">
        <f t="shared" si="69"/>
        <v>(0.32)</v>
      </c>
      <c r="DH25" s="375">
        <v>2</v>
      </c>
      <c r="DI25" s="375">
        <f t="shared" si="70"/>
        <v>3.5</v>
      </c>
      <c r="DJ25" s="375">
        <v>0</v>
      </c>
      <c r="DK25" s="375">
        <f t="shared" si="71"/>
        <v>0</v>
      </c>
      <c r="DL25" s="375">
        <v>0</v>
      </c>
      <c r="DM25" s="375">
        <f t="shared" si="72"/>
        <v>0</v>
      </c>
      <c r="DN25" s="375">
        <f t="shared" si="175"/>
        <v>3.5</v>
      </c>
      <c r="DO25" s="376">
        <f t="shared" si="74"/>
        <v>38.5</v>
      </c>
      <c r="DP25" s="373">
        <f t="shared" si="75"/>
        <v>3.9209444444444443</v>
      </c>
      <c r="DQ25" s="374" t="str">
        <f t="shared" si="76"/>
        <v>(0.36)</v>
      </c>
      <c r="DR25" s="375">
        <v>2</v>
      </c>
      <c r="DS25" s="375">
        <f t="shared" si="77"/>
        <v>3.5</v>
      </c>
      <c r="DT25" s="375">
        <v>0</v>
      </c>
      <c r="DU25" s="375">
        <f t="shared" si="78"/>
        <v>0</v>
      </c>
      <c r="DV25" s="375">
        <v>0</v>
      </c>
      <c r="DW25" s="375">
        <f t="shared" si="79"/>
        <v>0</v>
      </c>
      <c r="DX25" s="375">
        <f t="shared" si="176"/>
        <v>3.5</v>
      </c>
      <c r="DY25" s="376">
        <f t="shared" si="81"/>
        <v>44.5</v>
      </c>
      <c r="DZ25" s="373">
        <f t="shared" si="82"/>
        <v>4.3614999999999995</v>
      </c>
      <c r="EA25" s="374" t="str">
        <f t="shared" si="177"/>
        <v>(0.41)</v>
      </c>
      <c r="EB25" s="375">
        <v>2</v>
      </c>
      <c r="EC25" s="375">
        <f t="shared" si="84"/>
        <v>3.5</v>
      </c>
      <c r="ED25" s="375">
        <v>0</v>
      </c>
      <c r="EE25" s="375">
        <f t="shared" si="85"/>
        <v>0</v>
      </c>
      <c r="EF25" s="375">
        <v>1</v>
      </c>
      <c r="EG25" s="375">
        <f t="shared" si="86"/>
        <v>1</v>
      </c>
      <c r="EH25" s="375">
        <f t="shared" si="178"/>
        <v>4.5</v>
      </c>
      <c r="EI25" s="376">
        <f t="shared" si="88"/>
        <v>49.5</v>
      </c>
      <c r="EJ25" s="373">
        <f t="shared" si="89"/>
        <v>4.8901666666666666</v>
      </c>
      <c r="EK25" s="374" t="str">
        <f t="shared" si="179"/>
        <v>(0.45)</v>
      </c>
      <c r="EL25" s="375">
        <v>2</v>
      </c>
      <c r="EM25" s="375">
        <f t="shared" si="91"/>
        <v>3.5</v>
      </c>
      <c r="EN25" s="375">
        <v>0</v>
      </c>
      <c r="EO25" s="375">
        <f t="shared" si="92"/>
        <v>0</v>
      </c>
      <c r="EP25" s="375">
        <v>1</v>
      </c>
      <c r="EQ25" s="375">
        <f t="shared" si="93"/>
        <v>1</v>
      </c>
      <c r="ER25" s="375">
        <f t="shared" si="180"/>
        <v>4.5</v>
      </c>
      <c r="ES25" s="376">
        <f t="shared" si="95"/>
        <v>55.5</v>
      </c>
      <c r="ET25" s="373">
        <f t="shared" si="96"/>
        <v>5.4188333333333327</v>
      </c>
      <c r="EU25" s="374" t="str">
        <f t="shared" si="181"/>
        <v>(0.50)</v>
      </c>
      <c r="EV25" s="375">
        <v>2</v>
      </c>
      <c r="EW25" s="375">
        <f t="shared" si="98"/>
        <v>3.5</v>
      </c>
      <c r="EX25" s="375">
        <v>0</v>
      </c>
      <c r="EY25" s="375">
        <f t="shared" si="99"/>
        <v>0</v>
      </c>
      <c r="EZ25" s="375">
        <v>1</v>
      </c>
      <c r="FA25" s="375">
        <f t="shared" si="100"/>
        <v>1</v>
      </c>
      <c r="FB25" s="375">
        <f t="shared" si="182"/>
        <v>4.5</v>
      </c>
      <c r="FC25" s="376">
        <f t="shared" si="102"/>
        <v>61.5</v>
      </c>
      <c r="FD25" s="373">
        <f t="shared" si="103"/>
        <v>5.9364861111111109</v>
      </c>
      <c r="FE25" s="374" t="str">
        <f t="shared" si="183"/>
        <v>(0.55)</v>
      </c>
      <c r="FF25" s="375">
        <v>2</v>
      </c>
      <c r="FG25" s="375">
        <f t="shared" si="105"/>
        <v>3.5</v>
      </c>
      <c r="FH25" s="375">
        <v>1</v>
      </c>
      <c r="FI25" s="375">
        <f t="shared" si="106"/>
        <v>1.125</v>
      </c>
      <c r="FJ25" s="375">
        <v>0</v>
      </c>
      <c r="FK25" s="375">
        <f t="shared" si="107"/>
        <v>0</v>
      </c>
      <c r="FL25" s="375">
        <f t="shared" si="184"/>
        <v>4.625</v>
      </c>
      <c r="FM25" s="376">
        <f t="shared" si="109"/>
        <v>67.375</v>
      </c>
      <c r="FN25" s="373">
        <f t="shared" si="110"/>
        <v>6.465152777777778</v>
      </c>
      <c r="FO25" s="374" t="str">
        <f t="shared" si="183"/>
        <v>(0.60)</v>
      </c>
      <c r="FP25" s="375">
        <v>2</v>
      </c>
      <c r="FQ25" s="375">
        <f t="shared" si="112"/>
        <v>3.5</v>
      </c>
      <c r="FR25" s="375">
        <v>1</v>
      </c>
      <c r="FS25" s="375">
        <f t="shared" si="113"/>
        <v>1.125</v>
      </c>
      <c r="FT25" s="375">
        <v>0</v>
      </c>
      <c r="FU25" s="375">
        <f t="shared" si="114"/>
        <v>0</v>
      </c>
      <c r="FV25" s="375">
        <f t="shared" si="185"/>
        <v>4.625</v>
      </c>
      <c r="FW25" s="376">
        <f t="shared" si="116"/>
        <v>73.375</v>
      </c>
      <c r="FX25" s="373">
        <f t="shared" si="117"/>
        <v>6.9938194444444441</v>
      </c>
      <c r="FY25" s="374" t="str">
        <f t="shared" si="186"/>
        <v>(0.65)</v>
      </c>
      <c r="FZ25" s="375">
        <v>2</v>
      </c>
      <c r="GA25" s="375">
        <f t="shared" si="119"/>
        <v>3.5</v>
      </c>
      <c r="GB25" s="375">
        <v>1</v>
      </c>
      <c r="GC25" s="375">
        <f t="shared" si="120"/>
        <v>1.125</v>
      </c>
      <c r="GD25" s="375">
        <v>0</v>
      </c>
      <c r="GE25" s="375">
        <f t="shared" si="121"/>
        <v>0</v>
      </c>
      <c r="GF25" s="375">
        <f t="shared" si="187"/>
        <v>4.625</v>
      </c>
      <c r="GG25" s="376">
        <f t="shared" si="123"/>
        <v>79.375</v>
      </c>
      <c r="GH25" s="373">
        <f t="shared" si="124"/>
        <v>7.5224861111111103</v>
      </c>
      <c r="GI25" s="374" t="str">
        <f t="shared" si="188"/>
        <v>(0.70)</v>
      </c>
      <c r="GJ25" s="375">
        <v>2</v>
      </c>
      <c r="GK25" s="375">
        <f t="shared" si="126"/>
        <v>3.5</v>
      </c>
      <c r="GL25" s="375">
        <v>1</v>
      </c>
      <c r="GM25" s="375">
        <f t="shared" si="127"/>
        <v>1.125</v>
      </c>
      <c r="GN25" s="375">
        <v>0</v>
      </c>
      <c r="GO25" s="375">
        <f t="shared" si="128"/>
        <v>0</v>
      </c>
      <c r="GP25" s="375">
        <f t="shared" si="189"/>
        <v>4.625</v>
      </c>
      <c r="GQ25" s="376">
        <f t="shared" si="130"/>
        <v>85.375</v>
      </c>
      <c r="GR25" s="373">
        <f t="shared" si="131"/>
        <v>8.0511527777777783</v>
      </c>
      <c r="GS25" s="374" t="str">
        <f t="shared" si="190"/>
        <v>(0.75)</v>
      </c>
      <c r="GT25" s="375">
        <v>2</v>
      </c>
      <c r="GU25" s="375">
        <f t="shared" si="133"/>
        <v>3.5</v>
      </c>
      <c r="GV25" s="375">
        <v>1</v>
      </c>
      <c r="GW25" s="375">
        <f t="shared" si="134"/>
        <v>1.125</v>
      </c>
      <c r="GX25" s="375">
        <v>0</v>
      </c>
      <c r="GY25" s="375">
        <f t="shared" si="135"/>
        <v>0</v>
      </c>
      <c r="GZ25" s="375">
        <f t="shared" si="191"/>
        <v>4.625</v>
      </c>
      <c r="HA25" s="376">
        <f t="shared" si="137"/>
        <v>91.375</v>
      </c>
      <c r="HB25" s="373">
        <f t="shared" si="138"/>
        <v>8.5798194444444444</v>
      </c>
      <c r="HC25" s="374" t="str">
        <f t="shared" si="192"/>
        <v>(0.80)</v>
      </c>
      <c r="HD25" s="375">
        <v>2</v>
      </c>
      <c r="HE25" s="375">
        <f t="shared" si="140"/>
        <v>3.5</v>
      </c>
      <c r="HF25" s="375">
        <v>1</v>
      </c>
      <c r="HG25" s="375">
        <f t="shared" si="141"/>
        <v>1.125</v>
      </c>
      <c r="HH25" s="375">
        <v>0</v>
      </c>
      <c r="HI25" s="375">
        <f t="shared" si="142"/>
        <v>0</v>
      </c>
      <c r="HJ25" s="375">
        <f t="shared" si="193"/>
        <v>4.625</v>
      </c>
      <c r="HK25" s="376">
        <f t="shared" si="144"/>
        <v>97.375</v>
      </c>
      <c r="HL25" s="373">
        <f t="shared" si="145"/>
        <v>8.9322638888888886</v>
      </c>
      <c r="HM25" s="374" t="str">
        <f t="shared" si="194"/>
        <v>(0.83)</v>
      </c>
      <c r="HN25" s="375">
        <v>2</v>
      </c>
      <c r="HO25" s="375">
        <f t="shared" si="147"/>
        <v>3.5</v>
      </c>
      <c r="HP25" s="375">
        <v>1</v>
      </c>
      <c r="HQ25" s="375">
        <f t="shared" si="148"/>
        <v>1.125</v>
      </c>
      <c r="HR25" s="375">
        <v>2</v>
      </c>
      <c r="HS25" s="375">
        <f t="shared" si="149"/>
        <v>2</v>
      </c>
      <c r="HT25" s="375">
        <f t="shared" si="195"/>
        <v>6.625</v>
      </c>
      <c r="HU25" s="376">
        <f t="shared" si="151"/>
        <v>101.375</v>
      </c>
      <c r="HV25" s="373">
        <f t="shared" si="152"/>
        <v>9.4609305555555547</v>
      </c>
      <c r="HW25" s="374" t="str">
        <f t="shared" si="196"/>
        <v>(0.88)</v>
      </c>
      <c r="HX25" s="375">
        <v>2</v>
      </c>
      <c r="HY25" s="375">
        <f t="shared" si="154"/>
        <v>3.5</v>
      </c>
      <c r="HZ25" s="375">
        <v>1</v>
      </c>
      <c r="IA25" s="375">
        <f t="shared" si="155"/>
        <v>1.125</v>
      </c>
      <c r="IB25" s="375">
        <v>2</v>
      </c>
      <c r="IC25" s="375">
        <f t="shared" si="156"/>
        <v>2</v>
      </c>
      <c r="ID25" s="375">
        <f t="shared" si="197"/>
        <v>6.625</v>
      </c>
      <c r="IE25" s="376">
        <f t="shared" si="158"/>
        <v>107.375</v>
      </c>
      <c r="IF25" s="373">
        <f t="shared" si="159"/>
        <v>9.9895972222222227</v>
      </c>
      <c r="IG25" s="374" t="str">
        <f t="shared" si="198"/>
        <v>(0.93)</v>
      </c>
      <c r="IH25" s="22">
        <v>2</v>
      </c>
      <c r="II25" s="22">
        <f t="shared" si="161"/>
        <v>3.5</v>
      </c>
      <c r="IJ25" s="22">
        <v>1</v>
      </c>
      <c r="IK25" s="22">
        <f t="shared" si="162"/>
        <v>1.125</v>
      </c>
      <c r="IL25" s="22">
        <v>2</v>
      </c>
      <c r="IM25" s="22">
        <f t="shared" si="163"/>
        <v>2</v>
      </c>
      <c r="IN25" s="22">
        <f t="shared" si="199"/>
        <v>6.625</v>
      </c>
      <c r="IO25" s="23">
        <f t="shared" si="165"/>
        <v>113.375</v>
      </c>
      <c r="IP25" s="24"/>
      <c r="IQ25" s="25">
        <v>4</v>
      </c>
      <c r="IR25" s="26">
        <v>2.6549999999999998</v>
      </c>
      <c r="IS25" s="26">
        <v>2.6469999999999998</v>
      </c>
      <c r="IT25" s="26">
        <v>2.0920000000000001</v>
      </c>
      <c r="IU25" s="26">
        <v>1.75</v>
      </c>
      <c r="IV25" s="26">
        <v>1</v>
      </c>
      <c r="IW25" s="26">
        <v>1.125</v>
      </c>
      <c r="IX25" s="8"/>
    </row>
    <row r="26" spans="2:258" ht="15.75" thickBot="1" x14ac:dyDescent="0.3">
      <c r="B26" s="103">
        <f t="shared" si="25"/>
        <v>48</v>
      </c>
      <c r="C26" s="226">
        <v>9</v>
      </c>
      <c r="D26" s="98">
        <f t="shared" si="1"/>
        <v>0.36373842592592592</v>
      </c>
      <c r="E26" s="96">
        <f t="shared" si="2"/>
        <v>0.42160590277777771</v>
      </c>
      <c r="F26" s="96">
        <f t="shared" si="3"/>
        <v>0.47947337962962955</v>
      </c>
      <c r="G26" s="96">
        <f t="shared" si="4"/>
        <v>0.5084071180555555</v>
      </c>
      <c r="H26" s="96">
        <f t="shared" si="5"/>
        <v>0.52576736111111111</v>
      </c>
      <c r="I26" s="96">
        <f t="shared" si="6"/>
        <v>0.53734085648148133</v>
      </c>
      <c r="J26" s="96">
        <f t="shared" si="7"/>
        <v>0.54560763888888886</v>
      </c>
      <c r="K26" s="96">
        <f t="shared" si="8"/>
        <v>0.55180772569444436</v>
      </c>
      <c r="L26" s="96">
        <f t="shared" si="9"/>
        <v>0.54560763888888886</v>
      </c>
      <c r="M26" s="96">
        <f t="shared" si="10"/>
        <v>0.55056770833333324</v>
      </c>
      <c r="N26" s="96">
        <f t="shared" si="11"/>
        <v>0.55462594696969691</v>
      </c>
      <c r="O26" s="96">
        <f t="shared" si="12"/>
        <v>0.55697446469907397</v>
      </c>
      <c r="P26" s="96">
        <f t="shared" si="13"/>
        <v>0.55991553151709383</v>
      </c>
      <c r="Q26" s="96">
        <f t="shared" si="14"/>
        <v>0.56243644593253961</v>
      </c>
      <c r="R26" s="96">
        <f t="shared" si="15"/>
        <v>0.56462123842592582</v>
      </c>
      <c r="S26" s="96">
        <f t="shared" si="16"/>
        <v>0.56653293185763887</v>
      </c>
      <c r="T26" s="96">
        <f t="shared" si="17"/>
        <v>0.56821972017973854</v>
      </c>
      <c r="U26" s="96">
        <f t="shared" si="18"/>
        <v>0.55869671103395058</v>
      </c>
      <c r="V26" s="96">
        <f t="shared" si="19"/>
        <v>0.56061837536549708</v>
      </c>
      <c r="W26" s="96">
        <f t="shared" si="20"/>
        <v>0.56234787326388891</v>
      </c>
      <c r="X26" s="96"/>
      <c r="Y26" s="65"/>
      <c r="AA26" s="83"/>
      <c r="AT26" s="4"/>
      <c r="AU26" s="27">
        <f t="shared" si="200"/>
        <v>30</v>
      </c>
      <c r="AV26" s="28" t="str">
        <f t="shared" si="166"/>
        <v>(750)</v>
      </c>
      <c r="AW26" s="19">
        <f t="shared" si="201"/>
        <v>11</v>
      </c>
      <c r="AX26" s="20">
        <f t="shared" si="26"/>
        <v>0.6406736111111111</v>
      </c>
      <c r="AY26" s="29" t="str">
        <f t="shared" si="167"/>
        <v>(0.06)</v>
      </c>
      <c r="AZ26" s="22">
        <v>2</v>
      </c>
      <c r="BA26" s="22">
        <f t="shared" si="28"/>
        <v>3.5</v>
      </c>
      <c r="BB26" s="30">
        <v>0</v>
      </c>
      <c r="BC26" s="22">
        <f t="shared" si="29"/>
        <v>0</v>
      </c>
      <c r="BD26" s="30">
        <v>0</v>
      </c>
      <c r="BE26" s="22">
        <f t="shared" si="30"/>
        <v>0</v>
      </c>
      <c r="BF26" s="22">
        <f t="shared" si="168"/>
        <v>3.5</v>
      </c>
      <c r="BG26" s="23">
        <f t="shared" si="32"/>
        <v>5.5</v>
      </c>
      <c r="BH26" s="373">
        <f t="shared" si="33"/>
        <v>0.9901319444444443</v>
      </c>
      <c r="BI26" s="374" t="str">
        <f t="shared" si="169"/>
        <v>(0.09)</v>
      </c>
      <c r="BJ26" s="375">
        <v>2</v>
      </c>
      <c r="BK26" s="375">
        <f t="shared" si="35"/>
        <v>3.5</v>
      </c>
      <c r="BL26" s="375">
        <v>0</v>
      </c>
      <c r="BM26" s="375">
        <f t="shared" si="36"/>
        <v>0</v>
      </c>
      <c r="BN26" s="375">
        <v>0</v>
      </c>
      <c r="BO26" s="375">
        <f t="shared" si="37"/>
        <v>0</v>
      </c>
      <c r="BP26" s="375">
        <f t="shared" si="170"/>
        <v>3.5</v>
      </c>
      <c r="BQ26" s="376">
        <f t="shared" si="39"/>
        <v>8.5</v>
      </c>
      <c r="BR26" s="373">
        <f t="shared" si="40"/>
        <v>1.6890486111111107</v>
      </c>
      <c r="BS26" s="374" t="str">
        <f t="shared" si="41"/>
        <v>(0.16)</v>
      </c>
      <c r="BT26" s="375">
        <v>2</v>
      </c>
      <c r="BU26" s="375">
        <f t="shared" si="42"/>
        <v>3.5</v>
      </c>
      <c r="BV26" s="375">
        <v>0</v>
      </c>
      <c r="BW26" s="375">
        <f t="shared" si="43"/>
        <v>0</v>
      </c>
      <c r="BX26" s="375">
        <v>0</v>
      </c>
      <c r="BY26" s="375">
        <f t="shared" si="44"/>
        <v>0</v>
      </c>
      <c r="BZ26" s="375">
        <f t="shared" si="171"/>
        <v>3.5</v>
      </c>
      <c r="CA26" s="376">
        <f t="shared" si="46"/>
        <v>14.5</v>
      </c>
      <c r="CB26" s="373">
        <f t="shared" si="47"/>
        <v>2.3879652777777776</v>
      </c>
      <c r="CC26" s="374" t="str">
        <f t="shared" si="48"/>
        <v>(0.22)</v>
      </c>
      <c r="CD26" s="375">
        <v>2</v>
      </c>
      <c r="CE26" s="375">
        <f t="shared" si="49"/>
        <v>3.5</v>
      </c>
      <c r="CF26" s="375">
        <v>0</v>
      </c>
      <c r="CG26" s="375">
        <f t="shared" si="50"/>
        <v>0</v>
      </c>
      <c r="CH26" s="375">
        <v>0</v>
      </c>
      <c r="CI26" s="375">
        <f t="shared" si="51"/>
        <v>0</v>
      </c>
      <c r="CJ26" s="375">
        <f t="shared" si="172"/>
        <v>3.5</v>
      </c>
      <c r="CK26" s="376">
        <f t="shared" si="53"/>
        <v>20.5</v>
      </c>
      <c r="CL26" s="373">
        <f t="shared" si="54"/>
        <v>3.086881944444444</v>
      </c>
      <c r="CM26" s="374" t="str">
        <f t="shared" si="55"/>
        <v>(0.29)</v>
      </c>
      <c r="CN26" s="375">
        <v>2</v>
      </c>
      <c r="CO26" s="375">
        <f t="shared" si="56"/>
        <v>3.5</v>
      </c>
      <c r="CP26" s="375">
        <v>0</v>
      </c>
      <c r="CQ26" s="375">
        <f t="shared" si="57"/>
        <v>0</v>
      </c>
      <c r="CR26" s="375">
        <v>0</v>
      </c>
      <c r="CS26" s="375">
        <f t="shared" si="58"/>
        <v>0</v>
      </c>
      <c r="CT26" s="375">
        <f t="shared" si="173"/>
        <v>3.5</v>
      </c>
      <c r="CU26" s="376">
        <f t="shared" si="60"/>
        <v>26.5</v>
      </c>
      <c r="CV26" s="373">
        <f t="shared" si="61"/>
        <v>3.7857986111111099</v>
      </c>
      <c r="CW26" s="374" t="str">
        <f t="shared" si="62"/>
        <v>(0.35)</v>
      </c>
      <c r="CX26" s="375">
        <v>2</v>
      </c>
      <c r="CY26" s="375">
        <f t="shared" si="63"/>
        <v>3.5</v>
      </c>
      <c r="CZ26" s="375">
        <v>0</v>
      </c>
      <c r="DA26" s="375">
        <f t="shared" si="64"/>
        <v>0</v>
      </c>
      <c r="DB26" s="375">
        <v>0</v>
      </c>
      <c r="DC26" s="375">
        <f t="shared" si="65"/>
        <v>0</v>
      </c>
      <c r="DD26" s="375">
        <f t="shared" si="174"/>
        <v>3.5</v>
      </c>
      <c r="DE26" s="376">
        <f t="shared" si="67"/>
        <v>32.5</v>
      </c>
      <c r="DF26" s="373">
        <f t="shared" si="68"/>
        <v>4.4847152777777772</v>
      </c>
      <c r="DG26" s="374" t="str">
        <f t="shared" si="69"/>
        <v>(0.42)</v>
      </c>
      <c r="DH26" s="375">
        <v>2</v>
      </c>
      <c r="DI26" s="375">
        <f t="shared" si="70"/>
        <v>3.5</v>
      </c>
      <c r="DJ26" s="375">
        <v>0</v>
      </c>
      <c r="DK26" s="375">
        <f t="shared" si="71"/>
        <v>0</v>
      </c>
      <c r="DL26" s="375">
        <v>0</v>
      </c>
      <c r="DM26" s="375">
        <f t="shared" si="72"/>
        <v>0</v>
      </c>
      <c r="DN26" s="375">
        <f t="shared" si="175"/>
        <v>3.5</v>
      </c>
      <c r="DO26" s="376">
        <f t="shared" si="74"/>
        <v>38.5</v>
      </c>
      <c r="DP26" s="373">
        <f t="shared" si="75"/>
        <v>5.1836319444444436</v>
      </c>
      <c r="DQ26" s="374" t="str">
        <f t="shared" si="76"/>
        <v>(0.48)</v>
      </c>
      <c r="DR26" s="375">
        <v>2</v>
      </c>
      <c r="DS26" s="375">
        <f t="shared" si="77"/>
        <v>3.5</v>
      </c>
      <c r="DT26" s="375">
        <v>0</v>
      </c>
      <c r="DU26" s="375">
        <f t="shared" si="78"/>
        <v>0</v>
      </c>
      <c r="DV26" s="375">
        <v>0</v>
      </c>
      <c r="DW26" s="375">
        <f t="shared" si="79"/>
        <v>0</v>
      </c>
      <c r="DX26" s="375">
        <f t="shared" si="176"/>
        <v>3.5</v>
      </c>
      <c r="DY26" s="376">
        <f t="shared" si="81"/>
        <v>44.5</v>
      </c>
      <c r="DZ26" s="373">
        <f t="shared" si="82"/>
        <v>5.7660624999999994</v>
      </c>
      <c r="EA26" s="374" t="str">
        <f t="shared" si="177"/>
        <v>(0.54)</v>
      </c>
      <c r="EB26" s="375">
        <v>2</v>
      </c>
      <c r="EC26" s="375">
        <f t="shared" si="84"/>
        <v>3.5</v>
      </c>
      <c r="ED26" s="375">
        <v>0</v>
      </c>
      <c r="EE26" s="375">
        <f t="shared" si="85"/>
        <v>0</v>
      </c>
      <c r="EF26" s="375">
        <v>1</v>
      </c>
      <c r="EG26" s="375">
        <f t="shared" si="86"/>
        <v>1</v>
      </c>
      <c r="EH26" s="375">
        <f t="shared" si="178"/>
        <v>4.5</v>
      </c>
      <c r="EI26" s="376">
        <f t="shared" si="88"/>
        <v>49.5</v>
      </c>
      <c r="EJ26" s="373">
        <f t="shared" si="89"/>
        <v>6.4649791666666658</v>
      </c>
      <c r="EK26" s="374" t="str">
        <f t="shared" si="179"/>
        <v>(0.60)</v>
      </c>
      <c r="EL26" s="375">
        <v>2</v>
      </c>
      <c r="EM26" s="375">
        <f t="shared" si="91"/>
        <v>3.5</v>
      </c>
      <c r="EN26" s="375">
        <v>0</v>
      </c>
      <c r="EO26" s="375">
        <f t="shared" si="92"/>
        <v>0</v>
      </c>
      <c r="EP26" s="375">
        <v>1</v>
      </c>
      <c r="EQ26" s="375">
        <f t="shared" si="93"/>
        <v>1</v>
      </c>
      <c r="ER26" s="375">
        <f t="shared" si="180"/>
        <v>4.5</v>
      </c>
      <c r="ES26" s="376">
        <f t="shared" si="95"/>
        <v>55.5</v>
      </c>
      <c r="ET26" s="373">
        <f t="shared" si="96"/>
        <v>7.1638958333333322</v>
      </c>
      <c r="EU26" s="374" t="str">
        <f t="shared" si="181"/>
        <v>(0.67)</v>
      </c>
      <c r="EV26" s="375">
        <v>2</v>
      </c>
      <c r="EW26" s="375">
        <f t="shared" si="98"/>
        <v>3.5</v>
      </c>
      <c r="EX26" s="375">
        <v>0</v>
      </c>
      <c r="EY26" s="375">
        <f t="shared" si="99"/>
        <v>0</v>
      </c>
      <c r="EZ26" s="375">
        <v>1</v>
      </c>
      <c r="FA26" s="375">
        <f t="shared" si="100"/>
        <v>1</v>
      </c>
      <c r="FB26" s="375">
        <f t="shared" si="182"/>
        <v>4.5</v>
      </c>
      <c r="FC26" s="376">
        <f t="shared" si="102"/>
        <v>61.5</v>
      </c>
      <c r="FD26" s="373">
        <f t="shared" si="103"/>
        <v>7.8482517361111093</v>
      </c>
      <c r="FE26" s="374" t="str">
        <f t="shared" si="183"/>
        <v>(0.73)</v>
      </c>
      <c r="FF26" s="375">
        <v>2</v>
      </c>
      <c r="FG26" s="375">
        <f t="shared" si="105"/>
        <v>3.5</v>
      </c>
      <c r="FH26" s="375">
        <v>1</v>
      </c>
      <c r="FI26" s="375">
        <f t="shared" si="106"/>
        <v>1.125</v>
      </c>
      <c r="FJ26" s="375">
        <v>0</v>
      </c>
      <c r="FK26" s="375">
        <f t="shared" si="107"/>
        <v>0</v>
      </c>
      <c r="FL26" s="375">
        <f t="shared" si="184"/>
        <v>4.625</v>
      </c>
      <c r="FM26" s="376">
        <f t="shared" si="109"/>
        <v>67.375</v>
      </c>
      <c r="FN26" s="373">
        <f t="shared" si="110"/>
        <v>8.5471684027777766</v>
      </c>
      <c r="FO26" s="374" t="str">
        <f t="shared" si="183"/>
        <v>(0.79)</v>
      </c>
      <c r="FP26" s="375">
        <v>2</v>
      </c>
      <c r="FQ26" s="375">
        <f t="shared" si="112"/>
        <v>3.5</v>
      </c>
      <c r="FR26" s="375">
        <v>1</v>
      </c>
      <c r="FS26" s="375">
        <f t="shared" si="113"/>
        <v>1.125</v>
      </c>
      <c r="FT26" s="375">
        <v>0</v>
      </c>
      <c r="FU26" s="375">
        <f t="shared" si="114"/>
        <v>0</v>
      </c>
      <c r="FV26" s="375">
        <f t="shared" si="185"/>
        <v>4.625</v>
      </c>
      <c r="FW26" s="376">
        <f t="shared" si="116"/>
        <v>73.375</v>
      </c>
      <c r="FX26" s="373">
        <f t="shared" si="117"/>
        <v>9.2460850694444421</v>
      </c>
      <c r="FY26" s="374" t="str">
        <f t="shared" si="186"/>
        <v>(0.86)</v>
      </c>
      <c r="FZ26" s="375">
        <v>2</v>
      </c>
      <c r="GA26" s="375">
        <f t="shared" si="119"/>
        <v>3.5</v>
      </c>
      <c r="GB26" s="375">
        <v>1</v>
      </c>
      <c r="GC26" s="375">
        <f t="shared" si="120"/>
        <v>1.125</v>
      </c>
      <c r="GD26" s="375">
        <v>0</v>
      </c>
      <c r="GE26" s="375">
        <f t="shared" si="121"/>
        <v>0</v>
      </c>
      <c r="GF26" s="375">
        <f t="shared" si="187"/>
        <v>4.625</v>
      </c>
      <c r="GG26" s="376">
        <f t="shared" si="123"/>
        <v>79.375</v>
      </c>
      <c r="GH26" s="373">
        <f t="shared" si="124"/>
        <v>9.9450017361111094</v>
      </c>
      <c r="GI26" s="374" t="str">
        <f t="shared" si="188"/>
        <v>(0.92)</v>
      </c>
      <c r="GJ26" s="375">
        <v>2</v>
      </c>
      <c r="GK26" s="375">
        <f t="shared" si="126"/>
        <v>3.5</v>
      </c>
      <c r="GL26" s="375">
        <v>1</v>
      </c>
      <c r="GM26" s="375">
        <f t="shared" si="127"/>
        <v>1.125</v>
      </c>
      <c r="GN26" s="375">
        <v>0</v>
      </c>
      <c r="GO26" s="375">
        <f t="shared" si="128"/>
        <v>0</v>
      </c>
      <c r="GP26" s="375">
        <f t="shared" si="189"/>
        <v>4.625</v>
      </c>
      <c r="GQ26" s="376">
        <f t="shared" si="130"/>
        <v>85.375</v>
      </c>
      <c r="GR26" s="373">
        <f t="shared" si="131"/>
        <v>10.643918402777777</v>
      </c>
      <c r="GS26" s="374" t="str">
        <f t="shared" si="190"/>
        <v>(0.99)</v>
      </c>
      <c r="GT26" s="375">
        <v>2</v>
      </c>
      <c r="GU26" s="375">
        <f t="shared" si="133"/>
        <v>3.5</v>
      </c>
      <c r="GV26" s="375">
        <v>1</v>
      </c>
      <c r="GW26" s="375">
        <f t="shared" si="134"/>
        <v>1.125</v>
      </c>
      <c r="GX26" s="375">
        <v>0</v>
      </c>
      <c r="GY26" s="375">
        <f t="shared" si="135"/>
        <v>0</v>
      </c>
      <c r="GZ26" s="375">
        <f t="shared" si="191"/>
        <v>4.625</v>
      </c>
      <c r="HA26" s="376">
        <f t="shared" si="137"/>
        <v>91.375</v>
      </c>
      <c r="HB26" s="373">
        <f t="shared" si="138"/>
        <v>11.342835069444442</v>
      </c>
      <c r="HC26" s="374" t="str">
        <f t="shared" si="192"/>
        <v>(1.05)</v>
      </c>
      <c r="HD26" s="375">
        <v>2</v>
      </c>
      <c r="HE26" s="375">
        <f t="shared" si="140"/>
        <v>3.5</v>
      </c>
      <c r="HF26" s="375">
        <v>1</v>
      </c>
      <c r="HG26" s="375">
        <f t="shared" si="141"/>
        <v>1.125</v>
      </c>
      <c r="HH26" s="375">
        <v>0</v>
      </c>
      <c r="HI26" s="375">
        <f t="shared" si="142"/>
        <v>0</v>
      </c>
      <c r="HJ26" s="375">
        <f t="shared" si="193"/>
        <v>4.625</v>
      </c>
      <c r="HK26" s="376">
        <f t="shared" si="144"/>
        <v>97.375</v>
      </c>
      <c r="HL26" s="373">
        <f t="shared" si="145"/>
        <v>11.808779513888886</v>
      </c>
      <c r="HM26" s="374" t="str">
        <f t="shared" si="194"/>
        <v>(1.10)</v>
      </c>
      <c r="HN26" s="375">
        <v>2</v>
      </c>
      <c r="HO26" s="375">
        <f t="shared" si="147"/>
        <v>3.5</v>
      </c>
      <c r="HP26" s="375">
        <v>1</v>
      </c>
      <c r="HQ26" s="375">
        <f t="shared" si="148"/>
        <v>1.125</v>
      </c>
      <c r="HR26" s="375">
        <v>2</v>
      </c>
      <c r="HS26" s="375">
        <f t="shared" si="149"/>
        <v>2</v>
      </c>
      <c r="HT26" s="375">
        <f t="shared" si="195"/>
        <v>6.625</v>
      </c>
      <c r="HU26" s="376">
        <f t="shared" si="151"/>
        <v>101.375</v>
      </c>
      <c r="HV26" s="373">
        <f t="shared" si="152"/>
        <v>12.507696180555554</v>
      </c>
      <c r="HW26" s="374" t="str">
        <f t="shared" si="196"/>
        <v>(1.16)</v>
      </c>
      <c r="HX26" s="375">
        <v>2</v>
      </c>
      <c r="HY26" s="375">
        <f t="shared" si="154"/>
        <v>3.5</v>
      </c>
      <c r="HZ26" s="375">
        <v>1</v>
      </c>
      <c r="IA26" s="375">
        <f t="shared" si="155"/>
        <v>1.125</v>
      </c>
      <c r="IB26" s="375">
        <v>2</v>
      </c>
      <c r="IC26" s="375">
        <f t="shared" si="156"/>
        <v>2</v>
      </c>
      <c r="ID26" s="375">
        <f t="shared" si="197"/>
        <v>6.625</v>
      </c>
      <c r="IE26" s="376">
        <f t="shared" si="158"/>
        <v>107.375</v>
      </c>
      <c r="IF26" s="373">
        <f t="shared" si="159"/>
        <v>13.206612847222221</v>
      </c>
      <c r="IG26" s="374" t="str">
        <f t="shared" si="198"/>
        <v>(1.23)</v>
      </c>
      <c r="IH26" s="22">
        <v>2</v>
      </c>
      <c r="II26" s="22">
        <f t="shared" si="161"/>
        <v>3.5</v>
      </c>
      <c r="IJ26" s="30">
        <v>1</v>
      </c>
      <c r="IK26" s="22">
        <f t="shared" si="162"/>
        <v>1.125</v>
      </c>
      <c r="IL26" s="22">
        <v>2</v>
      </c>
      <c r="IM26" s="22">
        <f t="shared" si="163"/>
        <v>2</v>
      </c>
      <c r="IN26" s="22">
        <f t="shared" si="199"/>
        <v>6.625</v>
      </c>
      <c r="IO26" s="23">
        <f t="shared" si="165"/>
        <v>113.375</v>
      </c>
      <c r="IP26" s="24"/>
      <c r="IQ26" s="25">
        <v>6</v>
      </c>
      <c r="IR26" s="26">
        <v>2.6549999999999998</v>
      </c>
      <c r="IS26" s="26">
        <v>2.6469999999999998</v>
      </c>
      <c r="IT26" s="26">
        <v>0.88400000000000001</v>
      </c>
      <c r="IU26" s="26">
        <v>1.75</v>
      </c>
      <c r="IV26" s="26">
        <v>1</v>
      </c>
      <c r="IW26" s="26">
        <v>1.125</v>
      </c>
      <c r="IX26" s="8"/>
    </row>
    <row r="27" spans="2:258" ht="15.75" thickBot="1" x14ac:dyDescent="0.3">
      <c r="B27" s="103">
        <f t="shared" si="25"/>
        <v>54</v>
      </c>
      <c r="C27" s="221">
        <v>10</v>
      </c>
      <c r="D27" s="98">
        <f t="shared" si="1"/>
        <v>0.36956378600823042</v>
      </c>
      <c r="E27" s="96">
        <f t="shared" si="2"/>
        <v>0.42835802469135797</v>
      </c>
      <c r="F27" s="96">
        <f t="shared" si="3"/>
        <v>0.48715226337448558</v>
      </c>
      <c r="G27" s="96">
        <f t="shared" si="4"/>
        <v>0.51654938271604933</v>
      </c>
      <c r="H27" s="96">
        <f t="shared" si="5"/>
        <v>0.53418765432098769</v>
      </c>
      <c r="I27" s="96">
        <f t="shared" si="6"/>
        <v>0.54594650205761308</v>
      </c>
      <c r="J27" s="96">
        <f t="shared" si="7"/>
        <v>0.55434567901234555</v>
      </c>
      <c r="K27" s="96">
        <f t="shared" si="8"/>
        <v>0.56064506172839512</v>
      </c>
      <c r="L27" s="96">
        <f t="shared" si="9"/>
        <v>0.55434567901234566</v>
      </c>
      <c r="M27" s="96">
        <f t="shared" si="10"/>
        <v>0.5593851851851851</v>
      </c>
      <c r="N27" s="96">
        <f t="shared" si="11"/>
        <v>0.56350841750841751</v>
      </c>
      <c r="O27" s="96">
        <f t="shared" si="12"/>
        <v>0.5658945473251028</v>
      </c>
      <c r="P27" s="96">
        <f t="shared" si="13"/>
        <v>0.56888271604938279</v>
      </c>
      <c r="Q27" s="96">
        <f t="shared" si="14"/>
        <v>0.57144400352733682</v>
      </c>
      <c r="R27" s="96">
        <f t="shared" si="15"/>
        <v>0.57366378600823043</v>
      </c>
      <c r="S27" s="96">
        <f t="shared" si="16"/>
        <v>0.57560609567901233</v>
      </c>
      <c r="T27" s="96">
        <f t="shared" si="17"/>
        <v>0.57731989832970221</v>
      </c>
      <c r="U27" s="96">
        <f t="shared" si="18"/>
        <v>0.56764437585733885</v>
      </c>
      <c r="V27" s="96">
        <f t="shared" si="19"/>
        <v>0.56959681611435986</v>
      </c>
      <c r="W27" s="96">
        <f t="shared" si="20"/>
        <v>0.57135401234567895</v>
      </c>
      <c r="X27" s="96"/>
      <c r="Y27" s="65"/>
      <c r="AA27" s="83"/>
      <c r="AT27" s="4"/>
      <c r="AU27" s="14">
        <f t="shared" si="200"/>
        <v>36</v>
      </c>
      <c r="AV27" s="12" t="str">
        <f t="shared" si="166"/>
        <v>(900)</v>
      </c>
      <c r="AW27" s="19">
        <f t="shared" si="201"/>
        <v>12</v>
      </c>
      <c r="AX27" s="20">
        <f t="shared" si="26"/>
        <v>0.78791319444444441</v>
      </c>
      <c r="AY27" s="21" t="str">
        <f t="shared" si="167"/>
        <v>(0.07)</v>
      </c>
      <c r="AZ27" s="22">
        <v>2</v>
      </c>
      <c r="BA27" s="22">
        <f t="shared" si="28"/>
        <v>3.5</v>
      </c>
      <c r="BB27" s="22">
        <v>0</v>
      </c>
      <c r="BC27" s="22">
        <f t="shared" si="29"/>
        <v>0</v>
      </c>
      <c r="BD27" s="22">
        <v>0</v>
      </c>
      <c r="BE27" s="22">
        <f t="shared" si="30"/>
        <v>0</v>
      </c>
      <c r="BF27" s="22">
        <f t="shared" si="168"/>
        <v>3.5</v>
      </c>
      <c r="BG27" s="23">
        <f t="shared" si="32"/>
        <v>5.5</v>
      </c>
      <c r="BH27" s="373">
        <f t="shared" si="33"/>
        <v>1.2176840277777776</v>
      </c>
      <c r="BI27" s="374" t="str">
        <f t="shared" si="169"/>
        <v>(0.11)</v>
      </c>
      <c r="BJ27" s="375">
        <v>2</v>
      </c>
      <c r="BK27" s="375">
        <f t="shared" si="35"/>
        <v>3.5</v>
      </c>
      <c r="BL27" s="375">
        <v>0</v>
      </c>
      <c r="BM27" s="375">
        <f t="shared" si="36"/>
        <v>0</v>
      </c>
      <c r="BN27" s="375">
        <v>0</v>
      </c>
      <c r="BO27" s="375">
        <f t="shared" si="37"/>
        <v>0</v>
      </c>
      <c r="BP27" s="375">
        <f t="shared" si="170"/>
        <v>3.5</v>
      </c>
      <c r="BQ27" s="376">
        <f t="shared" si="39"/>
        <v>8.5</v>
      </c>
      <c r="BR27" s="373">
        <f t="shared" si="40"/>
        <v>2.0772256944444445</v>
      </c>
      <c r="BS27" s="374" t="str">
        <f t="shared" si="41"/>
        <v>(0.19)</v>
      </c>
      <c r="BT27" s="375">
        <v>2</v>
      </c>
      <c r="BU27" s="375">
        <f t="shared" si="42"/>
        <v>3.5</v>
      </c>
      <c r="BV27" s="375">
        <v>0</v>
      </c>
      <c r="BW27" s="375">
        <f t="shared" si="43"/>
        <v>0</v>
      </c>
      <c r="BX27" s="375">
        <v>0</v>
      </c>
      <c r="BY27" s="375">
        <f t="shared" si="44"/>
        <v>0</v>
      </c>
      <c r="BZ27" s="375">
        <f t="shared" si="171"/>
        <v>3.5</v>
      </c>
      <c r="CA27" s="376">
        <f t="shared" si="46"/>
        <v>14.5</v>
      </c>
      <c r="CB27" s="373">
        <f t="shared" si="47"/>
        <v>2.9367673611111105</v>
      </c>
      <c r="CC27" s="374" t="str">
        <f t="shared" si="48"/>
        <v>(0.27)</v>
      </c>
      <c r="CD27" s="375">
        <v>2</v>
      </c>
      <c r="CE27" s="375">
        <f t="shared" si="49"/>
        <v>3.5</v>
      </c>
      <c r="CF27" s="375">
        <v>0</v>
      </c>
      <c r="CG27" s="375">
        <f t="shared" si="50"/>
        <v>0</v>
      </c>
      <c r="CH27" s="375">
        <v>0</v>
      </c>
      <c r="CI27" s="375">
        <f t="shared" si="51"/>
        <v>0</v>
      </c>
      <c r="CJ27" s="375">
        <f t="shared" si="172"/>
        <v>3.5</v>
      </c>
      <c r="CK27" s="376">
        <f t="shared" si="53"/>
        <v>20.5</v>
      </c>
      <c r="CL27" s="373">
        <f t="shared" si="54"/>
        <v>3.7963090277777778</v>
      </c>
      <c r="CM27" s="374" t="str">
        <f t="shared" si="55"/>
        <v>(0.35)</v>
      </c>
      <c r="CN27" s="375">
        <v>2</v>
      </c>
      <c r="CO27" s="375">
        <f t="shared" si="56"/>
        <v>3.5</v>
      </c>
      <c r="CP27" s="375">
        <v>0</v>
      </c>
      <c r="CQ27" s="375">
        <f t="shared" si="57"/>
        <v>0</v>
      </c>
      <c r="CR27" s="375">
        <v>0</v>
      </c>
      <c r="CS27" s="375">
        <f t="shared" si="58"/>
        <v>0</v>
      </c>
      <c r="CT27" s="375">
        <f t="shared" si="173"/>
        <v>3.5</v>
      </c>
      <c r="CU27" s="376">
        <f t="shared" si="60"/>
        <v>26.5</v>
      </c>
      <c r="CV27" s="373">
        <f t="shared" si="61"/>
        <v>4.6558506944444433</v>
      </c>
      <c r="CW27" s="374" t="str">
        <f t="shared" si="62"/>
        <v>(0.43)</v>
      </c>
      <c r="CX27" s="375">
        <v>2</v>
      </c>
      <c r="CY27" s="375">
        <f t="shared" si="63"/>
        <v>3.5</v>
      </c>
      <c r="CZ27" s="375">
        <v>0</v>
      </c>
      <c r="DA27" s="375">
        <f t="shared" si="64"/>
        <v>0</v>
      </c>
      <c r="DB27" s="375">
        <v>0</v>
      </c>
      <c r="DC27" s="375">
        <f t="shared" si="65"/>
        <v>0</v>
      </c>
      <c r="DD27" s="375">
        <f t="shared" si="174"/>
        <v>3.5</v>
      </c>
      <c r="DE27" s="376">
        <f t="shared" si="67"/>
        <v>32.5</v>
      </c>
      <c r="DF27" s="373">
        <f t="shared" si="68"/>
        <v>5.5153923611111102</v>
      </c>
      <c r="DG27" s="374" t="str">
        <f t="shared" si="69"/>
        <v>(0.51)</v>
      </c>
      <c r="DH27" s="375">
        <v>2</v>
      </c>
      <c r="DI27" s="375">
        <f t="shared" si="70"/>
        <v>3.5</v>
      </c>
      <c r="DJ27" s="375">
        <v>0</v>
      </c>
      <c r="DK27" s="375">
        <f t="shared" si="71"/>
        <v>0</v>
      </c>
      <c r="DL27" s="375">
        <v>0</v>
      </c>
      <c r="DM27" s="375">
        <f t="shared" si="72"/>
        <v>0</v>
      </c>
      <c r="DN27" s="375">
        <f t="shared" si="175"/>
        <v>3.5</v>
      </c>
      <c r="DO27" s="376">
        <f t="shared" si="74"/>
        <v>38.5</v>
      </c>
      <c r="DP27" s="373">
        <f t="shared" si="75"/>
        <v>6.3749340277777771</v>
      </c>
      <c r="DQ27" s="374" t="str">
        <f t="shared" si="76"/>
        <v>(0.59)</v>
      </c>
      <c r="DR27" s="375">
        <v>2</v>
      </c>
      <c r="DS27" s="375">
        <f t="shared" si="77"/>
        <v>3.5</v>
      </c>
      <c r="DT27" s="375">
        <v>0</v>
      </c>
      <c r="DU27" s="375">
        <f t="shared" si="78"/>
        <v>0</v>
      </c>
      <c r="DV27" s="375">
        <v>0</v>
      </c>
      <c r="DW27" s="375">
        <f t="shared" si="79"/>
        <v>0</v>
      </c>
      <c r="DX27" s="375">
        <f t="shared" si="176"/>
        <v>3.5</v>
      </c>
      <c r="DY27" s="376">
        <f t="shared" si="81"/>
        <v>44.5</v>
      </c>
      <c r="DZ27" s="373">
        <f t="shared" si="82"/>
        <v>7.0912187499999995</v>
      </c>
      <c r="EA27" s="374" t="str">
        <f t="shared" si="177"/>
        <v>(0.66)</v>
      </c>
      <c r="EB27" s="375">
        <v>2</v>
      </c>
      <c r="EC27" s="375">
        <f t="shared" si="84"/>
        <v>3.5</v>
      </c>
      <c r="ED27" s="375">
        <v>0</v>
      </c>
      <c r="EE27" s="375">
        <f t="shared" si="85"/>
        <v>0</v>
      </c>
      <c r="EF27" s="375">
        <v>1</v>
      </c>
      <c r="EG27" s="375">
        <f t="shared" si="86"/>
        <v>1</v>
      </c>
      <c r="EH27" s="375">
        <f t="shared" si="178"/>
        <v>4.5</v>
      </c>
      <c r="EI27" s="376">
        <f t="shared" si="88"/>
        <v>49.5</v>
      </c>
      <c r="EJ27" s="373">
        <f t="shared" si="89"/>
        <v>7.9507604166666663</v>
      </c>
      <c r="EK27" s="374" t="str">
        <f t="shared" si="179"/>
        <v>(0.74)</v>
      </c>
      <c r="EL27" s="375">
        <v>2</v>
      </c>
      <c r="EM27" s="375">
        <f t="shared" si="91"/>
        <v>3.5</v>
      </c>
      <c r="EN27" s="375">
        <v>0</v>
      </c>
      <c r="EO27" s="375">
        <f t="shared" si="92"/>
        <v>0</v>
      </c>
      <c r="EP27" s="375">
        <v>1</v>
      </c>
      <c r="EQ27" s="375">
        <f t="shared" si="93"/>
        <v>1</v>
      </c>
      <c r="ER27" s="375">
        <f t="shared" si="180"/>
        <v>4.5</v>
      </c>
      <c r="ES27" s="376">
        <f t="shared" si="95"/>
        <v>55.5</v>
      </c>
      <c r="ET27" s="373">
        <f t="shared" si="96"/>
        <v>8.8103020833333332</v>
      </c>
      <c r="EU27" s="374" t="str">
        <f t="shared" si="181"/>
        <v>(0.82)</v>
      </c>
      <c r="EV27" s="375">
        <v>2</v>
      </c>
      <c r="EW27" s="375">
        <f t="shared" si="98"/>
        <v>3.5</v>
      </c>
      <c r="EX27" s="375">
        <v>0</v>
      </c>
      <c r="EY27" s="375">
        <f t="shared" si="99"/>
        <v>0</v>
      </c>
      <c r="EZ27" s="375">
        <v>1</v>
      </c>
      <c r="FA27" s="375">
        <f t="shared" si="100"/>
        <v>1</v>
      </c>
      <c r="FB27" s="375">
        <f t="shared" si="182"/>
        <v>4.5</v>
      </c>
      <c r="FC27" s="376">
        <f t="shared" si="102"/>
        <v>61.5</v>
      </c>
      <c r="FD27" s="373">
        <f t="shared" si="103"/>
        <v>9.6519366319444444</v>
      </c>
      <c r="FE27" s="374" t="str">
        <f t="shared" si="183"/>
        <v>(0.90)</v>
      </c>
      <c r="FF27" s="375">
        <v>2</v>
      </c>
      <c r="FG27" s="375">
        <f t="shared" si="105"/>
        <v>3.5</v>
      </c>
      <c r="FH27" s="375">
        <v>1</v>
      </c>
      <c r="FI27" s="375">
        <f t="shared" si="106"/>
        <v>1.125</v>
      </c>
      <c r="FJ27" s="375">
        <v>0</v>
      </c>
      <c r="FK27" s="375">
        <f t="shared" si="107"/>
        <v>0</v>
      </c>
      <c r="FL27" s="375">
        <f t="shared" si="184"/>
        <v>4.625</v>
      </c>
      <c r="FM27" s="376">
        <f t="shared" si="109"/>
        <v>67.375</v>
      </c>
      <c r="FN27" s="373">
        <f t="shared" si="110"/>
        <v>10.511478298611109</v>
      </c>
      <c r="FO27" s="374" t="str">
        <f t="shared" si="183"/>
        <v>(0.98)</v>
      </c>
      <c r="FP27" s="375">
        <v>2</v>
      </c>
      <c r="FQ27" s="375">
        <f t="shared" si="112"/>
        <v>3.5</v>
      </c>
      <c r="FR27" s="375">
        <v>1</v>
      </c>
      <c r="FS27" s="375">
        <f t="shared" si="113"/>
        <v>1.125</v>
      </c>
      <c r="FT27" s="375">
        <v>0</v>
      </c>
      <c r="FU27" s="375">
        <f t="shared" si="114"/>
        <v>0</v>
      </c>
      <c r="FV27" s="375">
        <f t="shared" si="185"/>
        <v>4.625</v>
      </c>
      <c r="FW27" s="376">
        <f t="shared" si="116"/>
        <v>73.375</v>
      </c>
      <c r="FX27" s="373">
        <f t="shared" si="117"/>
        <v>11.371019965277776</v>
      </c>
      <c r="FY27" s="374" t="str">
        <f t="shared" si="186"/>
        <v>(1.06)</v>
      </c>
      <c r="FZ27" s="375">
        <v>2</v>
      </c>
      <c r="GA27" s="375">
        <f t="shared" si="119"/>
        <v>3.5</v>
      </c>
      <c r="GB27" s="375">
        <v>1</v>
      </c>
      <c r="GC27" s="375">
        <f t="shared" si="120"/>
        <v>1.125</v>
      </c>
      <c r="GD27" s="375">
        <v>0</v>
      </c>
      <c r="GE27" s="375">
        <f t="shared" si="121"/>
        <v>0</v>
      </c>
      <c r="GF27" s="375">
        <f t="shared" si="187"/>
        <v>4.625</v>
      </c>
      <c r="GG27" s="376">
        <f t="shared" si="123"/>
        <v>79.375</v>
      </c>
      <c r="GH27" s="373">
        <f t="shared" si="124"/>
        <v>12.230561631944443</v>
      </c>
      <c r="GI27" s="374" t="str">
        <f t="shared" si="188"/>
        <v>(1.14)</v>
      </c>
      <c r="GJ27" s="375">
        <v>2</v>
      </c>
      <c r="GK27" s="375">
        <f t="shared" si="126"/>
        <v>3.5</v>
      </c>
      <c r="GL27" s="375">
        <v>1</v>
      </c>
      <c r="GM27" s="375">
        <f t="shared" si="127"/>
        <v>1.125</v>
      </c>
      <c r="GN27" s="375">
        <v>0</v>
      </c>
      <c r="GO27" s="375">
        <f t="shared" si="128"/>
        <v>0</v>
      </c>
      <c r="GP27" s="375">
        <f t="shared" si="189"/>
        <v>4.625</v>
      </c>
      <c r="GQ27" s="376">
        <f t="shared" si="130"/>
        <v>85.375</v>
      </c>
      <c r="GR27" s="373">
        <f t="shared" si="131"/>
        <v>13.09010329861111</v>
      </c>
      <c r="GS27" s="374" t="str">
        <f t="shared" si="190"/>
        <v>(1.22)</v>
      </c>
      <c r="GT27" s="375">
        <v>2</v>
      </c>
      <c r="GU27" s="375">
        <f t="shared" si="133"/>
        <v>3.5</v>
      </c>
      <c r="GV27" s="375">
        <v>1</v>
      </c>
      <c r="GW27" s="375">
        <f t="shared" si="134"/>
        <v>1.125</v>
      </c>
      <c r="GX27" s="375">
        <v>0</v>
      </c>
      <c r="GY27" s="375">
        <f t="shared" si="135"/>
        <v>0</v>
      </c>
      <c r="GZ27" s="375">
        <f t="shared" si="191"/>
        <v>4.625</v>
      </c>
      <c r="HA27" s="376">
        <f t="shared" si="137"/>
        <v>91.375</v>
      </c>
      <c r="HB27" s="373">
        <f t="shared" si="138"/>
        <v>13.949644965277777</v>
      </c>
      <c r="HC27" s="374" t="str">
        <f t="shared" si="192"/>
        <v>(1.30)</v>
      </c>
      <c r="HD27" s="375">
        <v>2</v>
      </c>
      <c r="HE27" s="375">
        <f t="shared" si="140"/>
        <v>3.5</v>
      </c>
      <c r="HF27" s="375">
        <v>1</v>
      </c>
      <c r="HG27" s="375">
        <f t="shared" si="141"/>
        <v>1.125</v>
      </c>
      <c r="HH27" s="375">
        <v>0</v>
      </c>
      <c r="HI27" s="375">
        <f t="shared" si="142"/>
        <v>0</v>
      </c>
      <c r="HJ27" s="375">
        <f t="shared" si="193"/>
        <v>4.625</v>
      </c>
      <c r="HK27" s="376">
        <f t="shared" si="144"/>
        <v>97.375</v>
      </c>
      <c r="HL27" s="373">
        <f t="shared" si="145"/>
        <v>14.522672743055555</v>
      </c>
      <c r="HM27" s="374" t="str">
        <f t="shared" si="194"/>
        <v>(1.35)</v>
      </c>
      <c r="HN27" s="375">
        <v>2</v>
      </c>
      <c r="HO27" s="375">
        <f t="shared" si="147"/>
        <v>3.5</v>
      </c>
      <c r="HP27" s="375">
        <v>1</v>
      </c>
      <c r="HQ27" s="375">
        <f t="shared" si="148"/>
        <v>1.125</v>
      </c>
      <c r="HR27" s="375">
        <v>2</v>
      </c>
      <c r="HS27" s="375">
        <f t="shared" si="149"/>
        <v>2</v>
      </c>
      <c r="HT27" s="375">
        <f t="shared" si="195"/>
        <v>6.625</v>
      </c>
      <c r="HU27" s="376">
        <f t="shared" si="151"/>
        <v>101.375</v>
      </c>
      <c r="HV27" s="373">
        <f t="shared" si="152"/>
        <v>15.38221440972222</v>
      </c>
      <c r="HW27" s="374" t="str">
        <f t="shared" si="196"/>
        <v>(1.43)</v>
      </c>
      <c r="HX27" s="375">
        <v>2</v>
      </c>
      <c r="HY27" s="375">
        <f t="shared" si="154"/>
        <v>3.5</v>
      </c>
      <c r="HZ27" s="375">
        <v>1</v>
      </c>
      <c r="IA27" s="375">
        <f t="shared" si="155"/>
        <v>1.125</v>
      </c>
      <c r="IB27" s="375">
        <v>2</v>
      </c>
      <c r="IC27" s="375">
        <f t="shared" si="156"/>
        <v>2</v>
      </c>
      <c r="ID27" s="375">
        <f t="shared" si="197"/>
        <v>6.625</v>
      </c>
      <c r="IE27" s="376">
        <f t="shared" si="158"/>
        <v>107.375</v>
      </c>
      <c r="IF27" s="373">
        <f t="shared" si="159"/>
        <v>16.241756076388885</v>
      </c>
      <c r="IG27" s="374" t="str">
        <f t="shared" si="198"/>
        <v>(1.51)</v>
      </c>
      <c r="IH27" s="22">
        <v>2</v>
      </c>
      <c r="II27" s="22">
        <f t="shared" si="161"/>
        <v>3.5</v>
      </c>
      <c r="IJ27" s="22">
        <v>1</v>
      </c>
      <c r="IK27" s="22">
        <f t="shared" si="162"/>
        <v>1.125</v>
      </c>
      <c r="IL27" s="22">
        <v>2</v>
      </c>
      <c r="IM27" s="22">
        <f t="shared" si="163"/>
        <v>2</v>
      </c>
      <c r="IN27" s="22">
        <f t="shared" si="199"/>
        <v>6.625</v>
      </c>
      <c r="IO27" s="23">
        <f t="shared" si="165"/>
        <v>113.375</v>
      </c>
      <c r="IP27" s="24"/>
      <c r="IQ27" s="25">
        <v>7</v>
      </c>
      <c r="IR27" s="26">
        <v>2.6549999999999998</v>
      </c>
      <c r="IS27" s="26">
        <v>2.6469999999999998</v>
      </c>
      <c r="IT27" s="26">
        <v>2.0920000000000001</v>
      </c>
      <c r="IU27" s="26">
        <v>1.75</v>
      </c>
      <c r="IV27" s="26">
        <v>1</v>
      </c>
      <c r="IW27" s="26">
        <v>1.125</v>
      </c>
      <c r="IX27" s="8"/>
    </row>
    <row r="28" spans="2:258" ht="15.75" thickBot="1" x14ac:dyDescent="0.3">
      <c r="B28" s="103">
        <f t="shared" si="25"/>
        <v>60</v>
      </c>
      <c r="C28" s="226">
        <v>11</v>
      </c>
      <c r="D28" s="98">
        <f t="shared" si="1"/>
        <v>0.37187129629629628</v>
      </c>
      <c r="E28" s="96">
        <f t="shared" si="2"/>
        <v>0.43103263888888882</v>
      </c>
      <c r="F28" s="96">
        <f t="shared" si="3"/>
        <v>0.49019398148148147</v>
      </c>
      <c r="G28" s="96">
        <f t="shared" si="4"/>
        <v>0.51977465277777779</v>
      </c>
      <c r="H28" s="96">
        <f t="shared" si="5"/>
        <v>0.53752305555555546</v>
      </c>
      <c r="I28" s="96">
        <f t="shared" si="6"/>
        <v>0.54935532407407406</v>
      </c>
      <c r="J28" s="96">
        <f t="shared" si="7"/>
        <v>0.55780694444444434</v>
      </c>
      <c r="K28" s="96">
        <f t="shared" si="8"/>
        <v>0.56414565972222219</v>
      </c>
      <c r="L28" s="96">
        <f t="shared" si="9"/>
        <v>0.55780694444444434</v>
      </c>
      <c r="M28" s="96">
        <f t="shared" si="10"/>
        <v>0.56287791666666664</v>
      </c>
      <c r="N28" s="96">
        <f t="shared" si="11"/>
        <v>0.56702689393939387</v>
      </c>
      <c r="O28" s="96">
        <f t="shared" si="12"/>
        <v>0.56942792245370366</v>
      </c>
      <c r="P28" s="96">
        <f t="shared" si="13"/>
        <v>0.57243474893162383</v>
      </c>
      <c r="Q28" s="96">
        <f t="shared" si="14"/>
        <v>0.57501202876984125</v>
      </c>
      <c r="R28" s="96">
        <f t="shared" si="15"/>
        <v>0.57724567129629611</v>
      </c>
      <c r="S28" s="96">
        <f t="shared" si="16"/>
        <v>0.57920010850694437</v>
      </c>
      <c r="T28" s="96">
        <f t="shared" si="17"/>
        <v>0.58092461192810452</v>
      </c>
      <c r="U28" s="96">
        <f t="shared" si="18"/>
        <v>0.57118867669753071</v>
      </c>
      <c r="V28" s="96">
        <f t="shared" si="19"/>
        <v>0.57315330774853801</v>
      </c>
      <c r="W28" s="96">
        <f t="shared" si="20"/>
        <v>0.57492147569444441</v>
      </c>
      <c r="X28" s="96"/>
      <c r="Y28" s="65"/>
      <c r="AA28" s="83"/>
      <c r="AT28" s="4"/>
      <c r="AU28" s="14">
        <f t="shared" si="200"/>
        <v>42</v>
      </c>
      <c r="AV28" s="12" t="str">
        <f t="shared" si="166"/>
        <v>(1050)</v>
      </c>
      <c r="AW28" s="19">
        <f t="shared" si="201"/>
        <v>13</v>
      </c>
      <c r="AX28" s="20">
        <f t="shared" si="26"/>
        <v>0.94397569444444451</v>
      </c>
      <c r="AY28" s="21" t="str">
        <f t="shared" si="167"/>
        <v>(0.09)</v>
      </c>
      <c r="AZ28" s="22">
        <v>2</v>
      </c>
      <c r="BA28" s="22">
        <f t="shared" si="28"/>
        <v>3.5</v>
      </c>
      <c r="BB28" s="22">
        <v>0</v>
      </c>
      <c r="BC28" s="22">
        <f t="shared" si="29"/>
        <v>0</v>
      </c>
      <c r="BD28" s="22">
        <v>0</v>
      </c>
      <c r="BE28" s="22">
        <f t="shared" si="30"/>
        <v>0</v>
      </c>
      <c r="BF28" s="22">
        <f t="shared" si="168"/>
        <v>3.5</v>
      </c>
      <c r="BG28" s="23">
        <f t="shared" si="32"/>
        <v>5.5</v>
      </c>
      <c r="BH28" s="373">
        <f t="shared" si="33"/>
        <v>1.4588715277777777</v>
      </c>
      <c r="BI28" s="374" t="str">
        <f t="shared" si="169"/>
        <v>(0.14)</v>
      </c>
      <c r="BJ28" s="375">
        <v>2</v>
      </c>
      <c r="BK28" s="375">
        <f t="shared" si="35"/>
        <v>3.5</v>
      </c>
      <c r="BL28" s="375">
        <v>0</v>
      </c>
      <c r="BM28" s="375">
        <f t="shared" si="36"/>
        <v>0</v>
      </c>
      <c r="BN28" s="375">
        <v>0</v>
      </c>
      <c r="BO28" s="375">
        <f t="shared" si="37"/>
        <v>0</v>
      </c>
      <c r="BP28" s="375">
        <f t="shared" si="170"/>
        <v>3.5</v>
      </c>
      <c r="BQ28" s="376">
        <f t="shared" si="39"/>
        <v>8.5</v>
      </c>
      <c r="BR28" s="373">
        <f t="shared" si="40"/>
        <v>2.4886631944444444</v>
      </c>
      <c r="BS28" s="374" t="str">
        <f t="shared" si="41"/>
        <v>(0.23)</v>
      </c>
      <c r="BT28" s="375">
        <v>2</v>
      </c>
      <c r="BU28" s="375">
        <f t="shared" si="42"/>
        <v>3.5</v>
      </c>
      <c r="BV28" s="375">
        <v>0</v>
      </c>
      <c r="BW28" s="375">
        <f t="shared" si="43"/>
        <v>0</v>
      </c>
      <c r="BX28" s="375">
        <v>0</v>
      </c>
      <c r="BY28" s="375">
        <f t="shared" si="44"/>
        <v>0</v>
      </c>
      <c r="BZ28" s="375">
        <f t="shared" si="171"/>
        <v>3.5</v>
      </c>
      <c r="CA28" s="376">
        <f t="shared" si="46"/>
        <v>14.5</v>
      </c>
      <c r="CB28" s="373">
        <f t="shared" si="47"/>
        <v>3.5184548611111111</v>
      </c>
      <c r="CC28" s="374" t="str">
        <f t="shared" si="48"/>
        <v>(0.33)</v>
      </c>
      <c r="CD28" s="375">
        <v>2</v>
      </c>
      <c r="CE28" s="375">
        <f t="shared" si="49"/>
        <v>3.5</v>
      </c>
      <c r="CF28" s="375">
        <v>0</v>
      </c>
      <c r="CG28" s="375">
        <f t="shared" si="50"/>
        <v>0</v>
      </c>
      <c r="CH28" s="375">
        <v>0</v>
      </c>
      <c r="CI28" s="375">
        <f t="shared" si="51"/>
        <v>0</v>
      </c>
      <c r="CJ28" s="375">
        <f t="shared" si="172"/>
        <v>3.5</v>
      </c>
      <c r="CK28" s="376">
        <f t="shared" si="53"/>
        <v>20.5</v>
      </c>
      <c r="CL28" s="373">
        <f t="shared" si="54"/>
        <v>4.5482465277777777</v>
      </c>
      <c r="CM28" s="374" t="str">
        <f t="shared" si="55"/>
        <v>(0.42)</v>
      </c>
      <c r="CN28" s="375">
        <v>2</v>
      </c>
      <c r="CO28" s="375">
        <f t="shared" si="56"/>
        <v>3.5</v>
      </c>
      <c r="CP28" s="375">
        <v>0</v>
      </c>
      <c r="CQ28" s="375">
        <f t="shared" si="57"/>
        <v>0</v>
      </c>
      <c r="CR28" s="375">
        <v>0</v>
      </c>
      <c r="CS28" s="375">
        <f t="shared" si="58"/>
        <v>0</v>
      </c>
      <c r="CT28" s="375">
        <f t="shared" si="173"/>
        <v>3.5</v>
      </c>
      <c r="CU28" s="376">
        <f t="shared" si="60"/>
        <v>26.5</v>
      </c>
      <c r="CV28" s="373">
        <f t="shared" si="61"/>
        <v>5.5780381944444439</v>
      </c>
      <c r="CW28" s="374" t="str">
        <f t="shared" si="62"/>
        <v>(0.52)</v>
      </c>
      <c r="CX28" s="375">
        <v>2</v>
      </c>
      <c r="CY28" s="375">
        <f t="shared" si="63"/>
        <v>3.5</v>
      </c>
      <c r="CZ28" s="375">
        <v>0</v>
      </c>
      <c r="DA28" s="375">
        <f t="shared" si="64"/>
        <v>0</v>
      </c>
      <c r="DB28" s="375">
        <v>0</v>
      </c>
      <c r="DC28" s="375">
        <f t="shared" si="65"/>
        <v>0</v>
      </c>
      <c r="DD28" s="375">
        <f t="shared" si="174"/>
        <v>3.5</v>
      </c>
      <c r="DE28" s="376">
        <f t="shared" si="67"/>
        <v>32.5</v>
      </c>
      <c r="DF28" s="373">
        <f t="shared" si="68"/>
        <v>6.607829861111111</v>
      </c>
      <c r="DG28" s="374" t="str">
        <f t="shared" si="69"/>
        <v>(0.61)</v>
      </c>
      <c r="DH28" s="375">
        <v>2</v>
      </c>
      <c r="DI28" s="375">
        <f t="shared" si="70"/>
        <v>3.5</v>
      </c>
      <c r="DJ28" s="375">
        <v>0</v>
      </c>
      <c r="DK28" s="375">
        <f t="shared" si="71"/>
        <v>0</v>
      </c>
      <c r="DL28" s="375">
        <v>0</v>
      </c>
      <c r="DM28" s="375">
        <f t="shared" si="72"/>
        <v>0</v>
      </c>
      <c r="DN28" s="375">
        <f t="shared" si="175"/>
        <v>3.5</v>
      </c>
      <c r="DO28" s="376">
        <f t="shared" si="74"/>
        <v>38.5</v>
      </c>
      <c r="DP28" s="373">
        <f t="shared" si="75"/>
        <v>7.6376215277777773</v>
      </c>
      <c r="DQ28" s="374" t="str">
        <f t="shared" si="76"/>
        <v>(0.71)</v>
      </c>
      <c r="DR28" s="375">
        <v>2</v>
      </c>
      <c r="DS28" s="375">
        <f t="shared" si="77"/>
        <v>3.5</v>
      </c>
      <c r="DT28" s="375">
        <v>0</v>
      </c>
      <c r="DU28" s="375">
        <f t="shared" si="78"/>
        <v>0</v>
      </c>
      <c r="DV28" s="375">
        <v>0</v>
      </c>
      <c r="DW28" s="375">
        <f t="shared" si="79"/>
        <v>0</v>
      </c>
      <c r="DX28" s="375">
        <f t="shared" si="176"/>
        <v>3.5</v>
      </c>
      <c r="DY28" s="376">
        <f t="shared" si="81"/>
        <v>44.5</v>
      </c>
      <c r="DZ28" s="373">
        <f t="shared" si="82"/>
        <v>8.4957812500000003</v>
      </c>
      <c r="EA28" s="374" t="str">
        <f t="shared" si="177"/>
        <v>(0.79)</v>
      </c>
      <c r="EB28" s="375">
        <v>2</v>
      </c>
      <c r="EC28" s="375">
        <f t="shared" si="84"/>
        <v>3.5</v>
      </c>
      <c r="ED28" s="375">
        <v>0</v>
      </c>
      <c r="EE28" s="375">
        <f t="shared" si="85"/>
        <v>0</v>
      </c>
      <c r="EF28" s="375">
        <v>1</v>
      </c>
      <c r="EG28" s="375">
        <f t="shared" si="86"/>
        <v>1</v>
      </c>
      <c r="EH28" s="375">
        <f t="shared" si="178"/>
        <v>4.5</v>
      </c>
      <c r="EI28" s="376">
        <f t="shared" si="88"/>
        <v>49.5</v>
      </c>
      <c r="EJ28" s="373">
        <f t="shared" si="89"/>
        <v>9.5255729166666665</v>
      </c>
      <c r="EK28" s="374" t="str">
        <f t="shared" si="179"/>
        <v>(0.88)</v>
      </c>
      <c r="EL28" s="375">
        <v>2</v>
      </c>
      <c r="EM28" s="375">
        <f t="shared" si="91"/>
        <v>3.5</v>
      </c>
      <c r="EN28" s="375">
        <v>0</v>
      </c>
      <c r="EO28" s="375">
        <f t="shared" si="92"/>
        <v>0</v>
      </c>
      <c r="EP28" s="375">
        <v>1</v>
      </c>
      <c r="EQ28" s="375">
        <f t="shared" si="93"/>
        <v>1</v>
      </c>
      <c r="ER28" s="375">
        <f t="shared" si="180"/>
        <v>4.5</v>
      </c>
      <c r="ES28" s="376">
        <f t="shared" si="95"/>
        <v>55.5</v>
      </c>
      <c r="ET28" s="373">
        <f t="shared" si="96"/>
        <v>10.555364583333334</v>
      </c>
      <c r="EU28" s="374" t="str">
        <f t="shared" si="181"/>
        <v>(0.98)</v>
      </c>
      <c r="EV28" s="375">
        <v>2</v>
      </c>
      <c r="EW28" s="375">
        <f t="shared" si="98"/>
        <v>3.5</v>
      </c>
      <c r="EX28" s="375">
        <v>0</v>
      </c>
      <c r="EY28" s="375">
        <f t="shared" si="99"/>
        <v>0</v>
      </c>
      <c r="EZ28" s="375">
        <v>1</v>
      </c>
      <c r="FA28" s="375">
        <f t="shared" si="100"/>
        <v>1</v>
      </c>
      <c r="FB28" s="375">
        <f t="shared" si="182"/>
        <v>4.5</v>
      </c>
      <c r="FC28" s="376">
        <f t="shared" si="102"/>
        <v>61.5</v>
      </c>
      <c r="FD28" s="373">
        <f t="shared" si="103"/>
        <v>11.563702256944445</v>
      </c>
      <c r="FE28" s="374" t="str">
        <f t="shared" si="183"/>
        <v>(1.07)</v>
      </c>
      <c r="FF28" s="375">
        <v>2</v>
      </c>
      <c r="FG28" s="375">
        <f t="shared" si="105"/>
        <v>3.5</v>
      </c>
      <c r="FH28" s="375">
        <v>1</v>
      </c>
      <c r="FI28" s="375">
        <f t="shared" si="106"/>
        <v>1.125</v>
      </c>
      <c r="FJ28" s="375">
        <v>0</v>
      </c>
      <c r="FK28" s="375">
        <f t="shared" si="107"/>
        <v>0</v>
      </c>
      <c r="FL28" s="375">
        <f t="shared" si="184"/>
        <v>4.625</v>
      </c>
      <c r="FM28" s="376">
        <f t="shared" si="109"/>
        <v>67.375</v>
      </c>
      <c r="FN28" s="373">
        <f t="shared" si="110"/>
        <v>12.593493923611112</v>
      </c>
      <c r="FO28" s="374" t="str">
        <f t="shared" si="183"/>
        <v>(1.17)</v>
      </c>
      <c r="FP28" s="375">
        <v>2</v>
      </c>
      <c r="FQ28" s="375">
        <f t="shared" si="112"/>
        <v>3.5</v>
      </c>
      <c r="FR28" s="375">
        <v>1</v>
      </c>
      <c r="FS28" s="375">
        <f t="shared" si="113"/>
        <v>1.125</v>
      </c>
      <c r="FT28" s="375">
        <v>0</v>
      </c>
      <c r="FU28" s="375">
        <f t="shared" si="114"/>
        <v>0</v>
      </c>
      <c r="FV28" s="375">
        <f t="shared" si="185"/>
        <v>4.625</v>
      </c>
      <c r="FW28" s="376">
        <f t="shared" si="116"/>
        <v>73.375</v>
      </c>
      <c r="FX28" s="373">
        <f t="shared" si="117"/>
        <v>13.623285590277778</v>
      </c>
      <c r="FY28" s="374" t="str">
        <f t="shared" si="186"/>
        <v>(1.27)</v>
      </c>
      <c r="FZ28" s="375">
        <v>2</v>
      </c>
      <c r="GA28" s="375">
        <f t="shared" si="119"/>
        <v>3.5</v>
      </c>
      <c r="GB28" s="375">
        <v>1</v>
      </c>
      <c r="GC28" s="375">
        <f t="shared" si="120"/>
        <v>1.125</v>
      </c>
      <c r="GD28" s="375">
        <v>0</v>
      </c>
      <c r="GE28" s="375">
        <f t="shared" si="121"/>
        <v>0</v>
      </c>
      <c r="GF28" s="375">
        <f t="shared" si="187"/>
        <v>4.625</v>
      </c>
      <c r="GG28" s="376">
        <f t="shared" si="123"/>
        <v>79.375</v>
      </c>
      <c r="GH28" s="373">
        <f t="shared" si="124"/>
        <v>14.653077256944446</v>
      </c>
      <c r="GI28" s="374" t="str">
        <f t="shared" si="188"/>
        <v>(1.36)</v>
      </c>
      <c r="GJ28" s="375">
        <v>2</v>
      </c>
      <c r="GK28" s="375">
        <f t="shared" si="126"/>
        <v>3.5</v>
      </c>
      <c r="GL28" s="375">
        <v>1</v>
      </c>
      <c r="GM28" s="375">
        <f t="shared" si="127"/>
        <v>1.125</v>
      </c>
      <c r="GN28" s="375">
        <v>0</v>
      </c>
      <c r="GO28" s="375">
        <f t="shared" si="128"/>
        <v>0</v>
      </c>
      <c r="GP28" s="375">
        <f t="shared" si="189"/>
        <v>4.625</v>
      </c>
      <c r="GQ28" s="376">
        <f t="shared" si="130"/>
        <v>85.375</v>
      </c>
      <c r="GR28" s="373">
        <f t="shared" si="131"/>
        <v>15.682868923611112</v>
      </c>
      <c r="GS28" s="374" t="str">
        <f t="shared" si="190"/>
        <v>(1.46)</v>
      </c>
      <c r="GT28" s="375">
        <v>2</v>
      </c>
      <c r="GU28" s="375">
        <f t="shared" si="133"/>
        <v>3.5</v>
      </c>
      <c r="GV28" s="375">
        <v>1</v>
      </c>
      <c r="GW28" s="375">
        <f t="shared" si="134"/>
        <v>1.125</v>
      </c>
      <c r="GX28" s="375">
        <v>0</v>
      </c>
      <c r="GY28" s="375">
        <f t="shared" si="135"/>
        <v>0</v>
      </c>
      <c r="GZ28" s="375">
        <f t="shared" si="191"/>
        <v>4.625</v>
      </c>
      <c r="HA28" s="376">
        <f t="shared" si="137"/>
        <v>91.375</v>
      </c>
      <c r="HB28" s="373">
        <f t="shared" si="138"/>
        <v>16.712660590277778</v>
      </c>
      <c r="HC28" s="374" t="str">
        <f t="shared" si="192"/>
        <v>(1.55)</v>
      </c>
      <c r="HD28" s="375">
        <v>2</v>
      </c>
      <c r="HE28" s="375">
        <f t="shared" si="140"/>
        <v>3.5</v>
      </c>
      <c r="HF28" s="375">
        <v>1</v>
      </c>
      <c r="HG28" s="375">
        <f t="shared" si="141"/>
        <v>1.125</v>
      </c>
      <c r="HH28" s="375">
        <v>0</v>
      </c>
      <c r="HI28" s="375">
        <f t="shared" si="142"/>
        <v>0</v>
      </c>
      <c r="HJ28" s="375">
        <f t="shared" si="193"/>
        <v>4.625</v>
      </c>
      <c r="HK28" s="376">
        <f t="shared" si="144"/>
        <v>97.375</v>
      </c>
      <c r="HL28" s="373">
        <f t="shared" si="145"/>
        <v>17.399188368055558</v>
      </c>
      <c r="HM28" s="374" t="str">
        <f t="shared" si="194"/>
        <v>(1.62)</v>
      </c>
      <c r="HN28" s="375">
        <v>2</v>
      </c>
      <c r="HO28" s="375">
        <f t="shared" si="147"/>
        <v>3.5</v>
      </c>
      <c r="HP28" s="375">
        <v>1</v>
      </c>
      <c r="HQ28" s="375">
        <f t="shared" si="148"/>
        <v>1.125</v>
      </c>
      <c r="HR28" s="375">
        <v>2</v>
      </c>
      <c r="HS28" s="375">
        <f t="shared" si="149"/>
        <v>2</v>
      </c>
      <c r="HT28" s="375">
        <f t="shared" si="195"/>
        <v>6.625</v>
      </c>
      <c r="HU28" s="376">
        <f t="shared" si="151"/>
        <v>101.375</v>
      </c>
      <c r="HV28" s="373">
        <f t="shared" si="152"/>
        <v>18.428980034722223</v>
      </c>
      <c r="HW28" s="374" t="str">
        <f t="shared" si="196"/>
        <v>(1.71)</v>
      </c>
      <c r="HX28" s="375">
        <v>2</v>
      </c>
      <c r="HY28" s="375">
        <f t="shared" si="154"/>
        <v>3.5</v>
      </c>
      <c r="HZ28" s="375">
        <v>1</v>
      </c>
      <c r="IA28" s="375">
        <f t="shared" si="155"/>
        <v>1.125</v>
      </c>
      <c r="IB28" s="375">
        <v>2</v>
      </c>
      <c r="IC28" s="375">
        <f t="shared" si="156"/>
        <v>2</v>
      </c>
      <c r="ID28" s="375">
        <f t="shared" si="197"/>
        <v>6.625</v>
      </c>
      <c r="IE28" s="376">
        <f t="shared" si="158"/>
        <v>107.375</v>
      </c>
      <c r="IF28" s="373">
        <f t="shared" si="159"/>
        <v>19.458771701388891</v>
      </c>
      <c r="IG28" s="374" t="str">
        <f t="shared" si="198"/>
        <v>(1.81)</v>
      </c>
      <c r="IH28" s="22">
        <v>2</v>
      </c>
      <c r="II28" s="22">
        <f t="shared" si="161"/>
        <v>3.5</v>
      </c>
      <c r="IJ28" s="22">
        <v>1</v>
      </c>
      <c r="IK28" s="22">
        <f t="shared" si="162"/>
        <v>1.125</v>
      </c>
      <c r="IL28" s="22">
        <v>2</v>
      </c>
      <c r="IM28" s="22">
        <f t="shared" si="163"/>
        <v>2</v>
      </c>
      <c r="IN28" s="22">
        <f t="shared" si="199"/>
        <v>6.625</v>
      </c>
      <c r="IO28" s="23">
        <f t="shared" si="165"/>
        <v>113.375</v>
      </c>
      <c r="IP28" s="24"/>
      <c r="IQ28" s="25">
        <v>9</v>
      </c>
      <c r="IR28" s="26">
        <v>2.6549999999999998</v>
      </c>
      <c r="IS28" s="26">
        <v>2.6469999999999998</v>
      </c>
      <c r="IT28" s="26">
        <v>0.88400000000000001</v>
      </c>
      <c r="IU28" s="26">
        <v>1.75</v>
      </c>
      <c r="IV28" s="26">
        <v>1</v>
      </c>
      <c r="IW28" s="26">
        <v>1.125</v>
      </c>
      <c r="IX28" s="8"/>
    </row>
    <row r="29" spans="2:258" ht="15.75" thickBot="1" x14ac:dyDescent="0.3">
      <c r="B29" s="103">
        <f t="shared" si="25"/>
        <v>66</v>
      </c>
      <c r="C29" s="221">
        <v>12</v>
      </c>
      <c r="D29" s="98">
        <f t="shared" si="1"/>
        <v>0.3758981481481482</v>
      </c>
      <c r="E29" s="96">
        <f t="shared" si="2"/>
        <v>0.43570012626262627</v>
      </c>
      <c r="F29" s="96">
        <f t="shared" si="3"/>
        <v>0.49550210437710446</v>
      </c>
      <c r="G29" s="96">
        <f t="shared" si="4"/>
        <v>0.52540309343434355</v>
      </c>
      <c r="H29" s="96">
        <f t="shared" si="5"/>
        <v>0.54334368686868684</v>
      </c>
      <c r="I29" s="96">
        <f t="shared" si="6"/>
        <v>0.55530408249158258</v>
      </c>
      <c r="J29" s="96">
        <f t="shared" si="7"/>
        <v>0.56384722222222217</v>
      </c>
      <c r="K29" s="96">
        <f t="shared" si="8"/>
        <v>0.5702545770202021</v>
      </c>
      <c r="L29" s="96">
        <f t="shared" si="9"/>
        <v>0.56384722222222228</v>
      </c>
      <c r="M29" s="96">
        <f t="shared" si="10"/>
        <v>0.56897310606060603</v>
      </c>
      <c r="N29" s="96">
        <f t="shared" si="11"/>
        <v>0.5731670110192838</v>
      </c>
      <c r="O29" s="96">
        <f t="shared" si="12"/>
        <v>0.57559403935185183</v>
      </c>
      <c r="P29" s="96">
        <f t="shared" si="13"/>
        <v>0.57863342560217568</v>
      </c>
      <c r="Q29" s="96">
        <f t="shared" si="14"/>
        <v>0.5812386138167388</v>
      </c>
      <c r="R29" s="96">
        <f t="shared" si="15"/>
        <v>0.58349644360269359</v>
      </c>
      <c r="S29" s="96">
        <f t="shared" si="16"/>
        <v>0.58547204466540403</v>
      </c>
      <c r="T29" s="96">
        <f t="shared" si="17"/>
        <v>0.58721522207367804</v>
      </c>
      <c r="U29" s="96">
        <f t="shared" si="18"/>
        <v>0.57737386012906855</v>
      </c>
      <c r="V29" s="96">
        <f t="shared" si="19"/>
        <v>0.57935976541733125</v>
      </c>
      <c r="W29" s="96">
        <f t="shared" si="20"/>
        <v>0.58114708017676764</v>
      </c>
      <c r="X29" s="96"/>
      <c r="Y29" s="65"/>
      <c r="AA29" s="83"/>
      <c r="AT29" s="4"/>
      <c r="AU29" s="14">
        <f t="shared" si="200"/>
        <v>48</v>
      </c>
      <c r="AV29" s="12" t="str">
        <f t="shared" si="166"/>
        <v>(1200)</v>
      </c>
      <c r="AW29" s="19">
        <f t="shared" si="201"/>
        <v>14</v>
      </c>
      <c r="AX29" s="20">
        <f t="shared" si="26"/>
        <v>1.0912152777777777</v>
      </c>
      <c r="AY29" s="21" t="str">
        <f t="shared" si="167"/>
        <v>(0.10)</v>
      </c>
      <c r="AZ29" s="22">
        <v>2</v>
      </c>
      <c r="BA29" s="22">
        <f t="shared" si="28"/>
        <v>3.5</v>
      </c>
      <c r="BB29" s="22">
        <v>0</v>
      </c>
      <c r="BC29" s="22">
        <f t="shared" si="29"/>
        <v>0</v>
      </c>
      <c r="BD29" s="22">
        <v>0</v>
      </c>
      <c r="BE29" s="22">
        <f t="shared" si="30"/>
        <v>0</v>
      </c>
      <c r="BF29" s="22">
        <f t="shared" si="168"/>
        <v>3.5</v>
      </c>
      <c r="BG29" s="23">
        <f t="shared" si="32"/>
        <v>5.5</v>
      </c>
      <c r="BH29" s="373">
        <f t="shared" si="33"/>
        <v>1.6864236111111108</v>
      </c>
      <c r="BI29" s="374" t="str">
        <f t="shared" si="169"/>
        <v>(0.16)</v>
      </c>
      <c r="BJ29" s="375">
        <v>2</v>
      </c>
      <c r="BK29" s="375">
        <f t="shared" si="35"/>
        <v>3.5</v>
      </c>
      <c r="BL29" s="375">
        <v>0</v>
      </c>
      <c r="BM29" s="375">
        <f t="shared" si="36"/>
        <v>0</v>
      </c>
      <c r="BN29" s="375">
        <v>0</v>
      </c>
      <c r="BO29" s="375">
        <f t="shared" si="37"/>
        <v>0</v>
      </c>
      <c r="BP29" s="375">
        <f t="shared" si="170"/>
        <v>3.5</v>
      </c>
      <c r="BQ29" s="376">
        <f t="shared" si="39"/>
        <v>8.5</v>
      </c>
      <c r="BR29" s="373">
        <f t="shared" si="40"/>
        <v>2.8768402777777773</v>
      </c>
      <c r="BS29" s="374" t="str">
        <f t="shared" si="41"/>
        <v>(0.27)</v>
      </c>
      <c r="BT29" s="375">
        <v>2</v>
      </c>
      <c r="BU29" s="375">
        <f t="shared" si="42"/>
        <v>3.5</v>
      </c>
      <c r="BV29" s="375">
        <v>0</v>
      </c>
      <c r="BW29" s="375">
        <f t="shared" si="43"/>
        <v>0</v>
      </c>
      <c r="BX29" s="375">
        <v>0</v>
      </c>
      <c r="BY29" s="375">
        <f t="shared" si="44"/>
        <v>0</v>
      </c>
      <c r="BZ29" s="375">
        <f t="shared" si="171"/>
        <v>3.5</v>
      </c>
      <c r="CA29" s="376">
        <f t="shared" si="46"/>
        <v>14.5</v>
      </c>
      <c r="CB29" s="373">
        <f t="shared" si="47"/>
        <v>4.067256944444444</v>
      </c>
      <c r="CC29" s="374" t="str">
        <f t="shared" si="48"/>
        <v>(0.38)</v>
      </c>
      <c r="CD29" s="375">
        <v>2</v>
      </c>
      <c r="CE29" s="375">
        <f t="shared" si="49"/>
        <v>3.5</v>
      </c>
      <c r="CF29" s="375">
        <v>0</v>
      </c>
      <c r="CG29" s="375">
        <f t="shared" si="50"/>
        <v>0</v>
      </c>
      <c r="CH29" s="375">
        <v>0</v>
      </c>
      <c r="CI29" s="375">
        <f t="shared" si="51"/>
        <v>0</v>
      </c>
      <c r="CJ29" s="375">
        <f t="shared" si="172"/>
        <v>3.5</v>
      </c>
      <c r="CK29" s="376">
        <f t="shared" si="53"/>
        <v>20.5</v>
      </c>
      <c r="CL29" s="373">
        <f t="shared" si="54"/>
        <v>5.2576736111111106</v>
      </c>
      <c r="CM29" s="374" t="str">
        <f t="shared" si="55"/>
        <v>(0.49)</v>
      </c>
      <c r="CN29" s="375">
        <v>2</v>
      </c>
      <c r="CO29" s="375">
        <f t="shared" si="56"/>
        <v>3.5</v>
      </c>
      <c r="CP29" s="375">
        <v>0</v>
      </c>
      <c r="CQ29" s="375">
        <f t="shared" si="57"/>
        <v>0</v>
      </c>
      <c r="CR29" s="375">
        <v>0</v>
      </c>
      <c r="CS29" s="375">
        <f t="shared" si="58"/>
        <v>0</v>
      </c>
      <c r="CT29" s="375">
        <f t="shared" si="173"/>
        <v>3.5</v>
      </c>
      <c r="CU29" s="376">
        <f t="shared" si="60"/>
        <v>26.5</v>
      </c>
      <c r="CV29" s="373">
        <f t="shared" si="61"/>
        <v>6.4480902777777764</v>
      </c>
      <c r="CW29" s="374" t="str">
        <f t="shared" si="62"/>
        <v>(0.6)</v>
      </c>
      <c r="CX29" s="375">
        <v>2</v>
      </c>
      <c r="CY29" s="375">
        <f t="shared" si="63"/>
        <v>3.5</v>
      </c>
      <c r="CZ29" s="375">
        <v>0</v>
      </c>
      <c r="DA29" s="375">
        <f t="shared" si="64"/>
        <v>0</v>
      </c>
      <c r="DB29" s="375">
        <v>0</v>
      </c>
      <c r="DC29" s="375">
        <f t="shared" si="65"/>
        <v>0</v>
      </c>
      <c r="DD29" s="375">
        <f t="shared" si="174"/>
        <v>3.5</v>
      </c>
      <c r="DE29" s="376">
        <f t="shared" si="67"/>
        <v>32.5</v>
      </c>
      <c r="DF29" s="373">
        <f t="shared" si="68"/>
        <v>7.638506944444444</v>
      </c>
      <c r="DG29" s="374" t="str">
        <f t="shared" si="69"/>
        <v>(0.71)</v>
      </c>
      <c r="DH29" s="375">
        <v>2</v>
      </c>
      <c r="DI29" s="375">
        <f t="shared" si="70"/>
        <v>3.5</v>
      </c>
      <c r="DJ29" s="375">
        <v>0</v>
      </c>
      <c r="DK29" s="375">
        <f t="shared" si="71"/>
        <v>0</v>
      </c>
      <c r="DL29" s="375">
        <v>0</v>
      </c>
      <c r="DM29" s="375">
        <f t="shared" si="72"/>
        <v>0</v>
      </c>
      <c r="DN29" s="375">
        <f t="shared" si="175"/>
        <v>3.5</v>
      </c>
      <c r="DO29" s="376">
        <f t="shared" si="74"/>
        <v>38.5</v>
      </c>
      <c r="DP29" s="377">
        <f t="shared" si="75"/>
        <v>8.8289236111111098</v>
      </c>
      <c r="DQ29" s="378" t="str">
        <f t="shared" si="76"/>
        <v>(0.82)</v>
      </c>
      <c r="DR29" s="375">
        <v>2</v>
      </c>
      <c r="DS29" s="375">
        <f t="shared" si="77"/>
        <v>3.5</v>
      </c>
      <c r="DT29" s="375">
        <v>0</v>
      </c>
      <c r="DU29" s="375">
        <f t="shared" si="78"/>
        <v>0</v>
      </c>
      <c r="DV29" s="375">
        <v>0</v>
      </c>
      <c r="DW29" s="375">
        <f t="shared" si="79"/>
        <v>0</v>
      </c>
      <c r="DX29" s="375">
        <f t="shared" si="176"/>
        <v>3.5</v>
      </c>
      <c r="DY29" s="376">
        <f t="shared" si="81"/>
        <v>44.5</v>
      </c>
      <c r="DZ29" s="373">
        <f t="shared" si="82"/>
        <v>9.8209374999999994</v>
      </c>
      <c r="EA29" s="374" t="str">
        <f t="shared" si="177"/>
        <v>(0.91)</v>
      </c>
      <c r="EB29" s="375">
        <v>2</v>
      </c>
      <c r="EC29" s="375">
        <f t="shared" si="84"/>
        <v>3.5</v>
      </c>
      <c r="ED29" s="375">
        <v>0</v>
      </c>
      <c r="EE29" s="375">
        <f t="shared" si="85"/>
        <v>0</v>
      </c>
      <c r="EF29" s="375">
        <v>1</v>
      </c>
      <c r="EG29" s="375">
        <f t="shared" si="86"/>
        <v>1</v>
      </c>
      <c r="EH29" s="375">
        <f t="shared" si="178"/>
        <v>4.5</v>
      </c>
      <c r="EI29" s="376">
        <f t="shared" si="88"/>
        <v>49.5</v>
      </c>
      <c r="EJ29" s="373">
        <f t="shared" si="89"/>
        <v>11.011354166666665</v>
      </c>
      <c r="EK29" s="374" t="str">
        <f t="shared" si="179"/>
        <v>(1.02)</v>
      </c>
      <c r="EL29" s="375">
        <v>2</v>
      </c>
      <c r="EM29" s="375">
        <f t="shared" si="91"/>
        <v>3.5</v>
      </c>
      <c r="EN29" s="375">
        <v>0</v>
      </c>
      <c r="EO29" s="375">
        <f t="shared" si="92"/>
        <v>0</v>
      </c>
      <c r="EP29" s="375">
        <v>1</v>
      </c>
      <c r="EQ29" s="375">
        <f t="shared" si="93"/>
        <v>1</v>
      </c>
      <c r="ER29" s="375">
        <f t="shared" si="180"/>
        <v>4.5</v>
      </c>
      <c r="ES29" s="376">
        <f t="shared" si="95"/>
        <v>55.5</v>
      </c>
      <c r="ET29" s="373">
        <f t="shared" si="96"/>
        <v>12.201770833333333</v>
      </c>
      <c r="EU29" s="374" t="str">
        <f t="shared" si="181"/>
        <v>(1.13)</v>
      </c>
      <c r="EV29" s="375">
        <v>2</v>
      </c>
      <c r="EW29" s="375">
        <f t="shared" si="98"/>
        <v>3.5</v>
      </c>
      <c r="EX29" s="375">
        <v>0</v>
      </c>
      <c r="EY29" s="375">
        <f t="shared" si="99"/>
        <v>0</v>
      </c>
      <c r="EZ29" s="375">
        <v>1</v>
      </c>
      <c r="FA29" s="375">
        <f t="shared" si="100"/>
        <v>1</v>
      </c>
      <c r="FB29" s="375">
        <f t="shared" si="182"/>
        <v>4.5</v>
      </c>
      <c r="FC29" s="376">
        <f t="shared" si="102"/>
        <v>61.5</v>
      </c>
      <c r="FD29" s="373">
        <f t="shared" si="103"/>
        <v>13.367387152777775</v>
      </c>
      <c r="FE29" s="374" t="str">
        <f t="shared" si="183"/>
        <v>(1.24)</v>
      </c>
      <c r="FF29" s="375">
        <v>2</v>
      </c>
      <c r="FG29" s="375">
        <f t="shared" si="105"/>
        <v>3.5</v>
      </c>
      <c r="FH29" s="375">
        <v>1</v>
      </c>
      <c r="FI29" s="375">
        <f t="shared" si="106"/>
        <v>1.125</v>
      </c>
      <c r="FJ29" s="375">
        <v>0</v>
      </c>
      <c r="FK29" s="375">
        <f t="shared" si="107"/>
        <v>0</v>
      </c>
      <c r="FL29" s="375">
        <f t="shared" si="184"/>
        <v>4.625</v>
      </c>
      <c r="FM29" s="376">
        <f t="shared" si="109"/>
        <v>67.375</v>
      </c>
      <c r="FN29" s="373">
        <f t="shared" si="110"/>
        <v>14.557803819444441</v>
      </c>
      <c r="FO29" s="374" t="str">
        <f t="shared" si="183"/>
        <v>(1.35)</v>
      </c>
      <c r="FP29" s="375">
        <v>2</v>
      </c>
      <c r="FQ29" s="375">
        <f t="shared" si="112"/>
        <v>3.5</v>
      </c>
      <c r="FR29" s="375">
        <v>1</v>
      </c>
      <c r="FS29" s="375">
        <f t="shared" si="113"/>
        <v>1.125</v>
      </c>
      <c r="FT29" s="375">
        <v>0</v>
      </c>
      <c r="FU29" s="375">
        <f t="shared" si="114"/>
        <v>0</v>
      </c>
      <c r="FV29" s="375">
        <f t="shared" si="185"/>
        <v>4.625</v>
      </c>
      <c r="FW29" s="376">
        <f t="shared" si="116"/>
        <v>73.375</v>
      </c>
      <c r="FX29" s="373">
        <f t="shared" si="117"/>
        <v>15.748220486111109</v>
      </c>
      <c r="FY29" s="374" t="str">
        <f t="shared" si="186"/>
        <v>(1.46)</v>
      </c>
      <c r="FZ29" s="375">
        <v>2</v>
      </c>
      <c r="GA29" s="375">
        <f t="shared" si="119"/>
        <v>3.5</v>
      </c>
      <c r="GB29" s="375">
        <v>1</v>
      </c>
      <c r="GC29" s="375">
        <f t="shared" si="120"/>
        <v>1.125</v>
      </c>
      <c r="GD29" s="375">
        <v>0</v>
      </c>
      <c r="GE29" s="375">
        <f t="shared" si="121"/>
        <v>0</v>
      </c>
      <c r="GF29" s="375">
        <f t="shared" si="187"/>
        <v>4.625</v>
      </c>
      <c r="GG29" s="376">
        <f t="shared" si="123"/>
        <v>79.375</v>
      </c>
      <c r="GH29" s="373">
        <f t="shared" si="124"/>
        <v>16.938637152777776</v>
      </c>
      <c r="GI29" s="374" t="str">
        <f t="shared" si="188"/>
        <v>(1.57)</v>
      </c>
      <c r="GJ29" s="375">
        <v>2</v>
      </c>
      <c r="GK29" s="375">
        <f t="shared" si="126"/>
        <v>3.5</v>
      </c>
      <c r="GL29" s="375">
        <v>1</v>
      </c>
      <c r="GM29" s="375">
        <f t="shared" si="127"/>
        <v>1.125</v>
      </c>
      <c r="GN29" s="375">
        <v>0</v>
      </c>
      <c r="GO29" s="375">
        <f t="shared" si="128"/>
        <v>0</v>
      </c>
      <c r="GP29" s="375">
        <f t="shared" si="189"/>
        <v>4.625</v>
      </c>
      <c r="GQ29" s="376">
        <f t="shared" si="130"/>
        <v>85.375</v>
      </c>
      <c r="GR29" s="373">
        <f t="shared" si="131"/>
        <v>18.129053819444444</v>
      </c>
      <c r="GS29" s="374" t="str">
        <f t="shared" si="190"/>
        <v>(1.68)</v>
      </c>
      <c r="GT29" s="375">
        <v>2</v>
      </c>
      <c r="GU29" s="375">
        <f t="shared" si="133"/>
        <v>3.5</v>
      </c>
      <c r="GV29" s="375">
        <v>1</v>
      </c>
      <c r="GW29" s="375">
        <f t="shared" si="134"/>
        <v>1.125</v>
      </c>
      <c r="GX29" s="375">
        <v>0</v>
      </c>
      <c r="GY29" s="375">
        <f t="shared" si="135"/>
        <v>0</v>
      </c>
      <c r="GZ29" s="375">
        <f t="shared" si="191"/>
        <v>4.625</v>
      </c>
      <c r="HA29" s="376">
        <f t="shared" si="137"/>
        <v>91.375</v>
      </c>
      <c r="HB29" s="373">
        <f t="shared" si="138"/>
        <v>19.319470486111111</v>
      </c>
      <c r="HC29" s="374" t="str">
        <f t="shared" si="192"/>
        <v>(1.79)</v>
      </c>
      <c r="HD29" s="375">
        <v>2</v>
      </c>
      <c r="HE29" s="375">
        <f t="shared" si="140"/>
        <v>3.5</v>
      </c>
      <c r="HF29" s="375">
        <v>1</v>
      </c>
      <c r="HG29" s="375">
        <f t="shared" si="141"/>
        <v>1.125</v>
      </c>
      <c r="HH29" s="375">
        <v>0</v>
      </c>
      <c r="HI29" s="375">
        <f t="shared" si="142"/>
        <v>0</v>
      </c>
      <c r="HJ29" s="375">
        <f t="shared" si="193"/>
        <v>4.625</v>
      </c>
      <c r="HK29" s="376">
        <f t="shared" si="144"/>
        <v>97.375</v>
      </c>
      <c r="HL29" s="373">
        <f t="shared" si="145"/>
        <v>20.113081597222219</v>
      </c>
      <c r="HM29" s="374" t="str">
        <f t="shared" si="194"/>
        <v>(1.87)</v>
      </c>
      <c r="HN29" s="375">
        <v>2</v>
      </c>
      <c r="HO29" s="375">
        <f t="shared" si="147"/>
        <v>3.5</v>
      </c>
      <c r="HP29" s="375">
        <v>1</v>
      </c>
      <c r="HQ29" s="375">
        <f t="shared" si="148"/>
        <v>1.125</v>
      </c>
      <c r="HR29" s="375">
        <v>2</v>
      </c>
      <c r="HS29" s="375">
        <f t="shared" si="149"/>
        <v>2</v>
      </c>
      <c r="HT29" s="375">
        <f t="shared" si="195"/>
        <v>6.625</v>
      </c>
      <c r="HU29" s="376">
        <f t="shared" si="151"/>
        <v>101.375</v>
      </c>
      <c r="HV29" s="373">
        <f t="shared" si="152"/>
        <v>21.303498263888887</v>
      </c>
      <c r="HW29" s="374" t="str">
        <f t="shared" si="196"/>
        <v>(1.98)</v>
      </c>
      <c r="HX29" s="375">
        <v>2</v>
      </c>
      <c r="HY29" s="375">
        <f t="shared" si="154"/>
        <v>3.5</v>
      </c>
      <c r="HZ29" s="375">
        <v>1</v>
      </c>
      <c r="IA29" s="375">
        <f t="shared" si="155"/>
        <v>1.125</v>
      </c>
      <c r="IB29" s="375">
        <v>2</v>
      </c>
      <c r="IC29" s="375">
        <f t="shared" si="156"/>
        <v>2</v>
      </c>
      <c r="ID29" s="375">
        <f t="shared" si="197"/>
        <v>6.625</v>
      </c>
      <c r="IE29" s="376">
        <f t="shared" si="158"/>
        <v>107.375</v>
      </c>
      <c r="IF29" s="373">
        <f t="shared" si="159"/>
        <v>22.493914930555555</v>
      </c>
      <c r="IG29" s="374" t="str">
        <f t="shared" si="198"/>
        <v>(2.09)</v>
      </c>
      <c r="IH29" s="22">
        <v>2</v>
      </c>
      <c r="II29" s="22">
        <f t="shared" si="161"/>
        <v>3.5</v>
      </c>
      <c r="IJ29" s="22">
        <v>1</v>
      </c>
      <c r="IK29" s="22">
        <f t="shared" si="162"/>
        <v>1.125</v>
      </c>
      <c r="IL29" s="22">
        <v>2</v>
      </c>
      <c r="IM29" s="22">
        <f t="shared" si="163"/>
        <v>2</v>
      </c>
      <c r="IN29" s="22">
        <f t="shared" si="199"/>
        <v>6.625</v>
      </c>
      <c r="IO29" s="23">
        <f t="shared" si="165"/>
        <v>113.375</v>
      </c>
      <c r="IP29" s="24"/>
      <c r="IQ29" s="25">
        <v>10</v>
      </c>
      <c r="IR29" s="26">
        <v>2.6549999999999998</v>
      </c>
      <c r="IS29" s="26">
        <v>2.6469999999999998</v>
      </c>
      <c r="IT29" s="26">
        <v>2.0920000000000001</v>
      </c>
      <c r="IU29" s="26">
        <v>1.75</v>
      </c>
      <c r="IV29" s="26">
        <v>1</v>
      </c>
      <c r="IW29" s="26">
        <v>1.125</v>
      </c>
      <c r="IX29" s="8"/>
    </row>
    <row r="30" spans="2:258" ht="15.75" thickBot="1" x14ac:dyDescent="0.3">
      <c r="B30" s="103">
        <f t="shared" si="25"/>
        <v>72</v>
      </c>
      <c r="C30" s="226">
        <v>13</v>
      </c>
      <c r="D30" s="98">
        <f t="shared" si="1"/>
        <v>0.37729320987654319</v>
      </c>
      <c r="E30" s="96">
        <f t="shared" si="2"/>
        <v>0.4373171296296296</v>
      </c>
      <c r="F30" s="96">
        <f t="shared" si="3"/>
        <v>0.49734104938271606</v>
      </c>
      <c r="G30" s="96">
        <f t="shared" si="4"/>
        <v>0.52735300925925921</v>
      </c>
      <c r="H30" s="96">
        <f t="shared" si="5"/>
        <v>0.54536018518518525</v>
      </c>
      <c r="I30" s="96">
        <f t="shared" si="6"/>
        <v>0.55736496913580247</v>
      </c>
      <c r="J30" s="96">
        <f t="shared" si="7"/>
        <v>0.56593981481481481</v>
      </c>
      <c r="K30" s="96">
        <f t="shared" si="8"/>
        <v>0.57237094907407415</v>
      </c>
      <c r="L30" s="96">
        <f t="shared" si="9"/>
        <v>0.56593981481481481</v>
      </c>
      <c r="M30" s="96">
        <f t="shared" si="10"/>
        <v>0.57108472222222217</v>
      </c>
      <c r="N30" s="96">
        <f t="shared" si="11"/>
        <v>0.57529419191919184</v>
      </c>
      <c r="O30" s="96">
        <f t="shared" si="12"/>
        <v>0.57773022762345683</v>
      </c>
      <c r="P30" s="96">
        <f t="shared" si="13"/>
        <v>0.58078089387464382</v>
      </c>
      <c r="Q30" s="96">
        <f t="shared" si="14"/>
        <v>0.58339575066137561</v>
      </c>
      <c r="R30" s="96">
        <f t="shared" si="15"/>
        <v>0.58566195987654324</v>
      </c>
      <c r="S30" s="96">
        <f t="shared" si="16"/>
        <v>0.58764489293981481</v>
      </c>
      <c r="T30" s="96">
        <f t="shared" si="17"/>
        <v>0.5893945397603485</v>
      </c>
      <c r="U30" s="96">
        <f t="shared" si="18"/>
        <v>0.57951665380658435</v>
      </c>
      <c r="V30" s="96">
        <f t="shared" si="19"/>
        <v>0.58150992933723189</v>
      </c>
      <c r="W30" s="96">
        <f t="shared" si="20"/>
        <v>0.58330387731481481</v>
      </c>
      <c r="X30" s="96"/>
      <c r="Y30" s="65"/>
      <c r="AA30" s="83"/>
      <c r="AT30" s="4"/>
      <c r="AU30" s="14">
        <f t="shared" si="200"/>
        <v>54</v>
      </c>
      <c r="AV30" s="12" t="str">
        <f t="shared" si="166"/>
        <v>(1350)</v>
      </c>
      <c r="AW30" s="19">
        <f t="shared" si="201"/>
        <v>15</v>
      </c>
      <c r="AX30" s="20">
        <f t="shared" si="26"/>
        <v>1.2472777777777777</v>
      </c>
      <c r="AY30" s="21" t="str">
        <f t="shared" si="167"/>
        <v>(0.12)</v>
      </c>
      <c r="AZ30" s="22">
        <v>2</v>
      </c>
      <c r="BA30" s="22">
        <f t="shared" si="28"/>
        <v>3.5</v>
      </c>
      <c r="BB30" s="22">
        <v>0</v>
      </c>
      <c r="BC30" s="22">
        <f t="shared" si="29"/>
        <v>0</v>
      </c>
      <c r="BD30" s="22">
        <v>0</v>
      </c>
      <c r="BE30" s="22">
        <f t="shared" si="30"/>
        <v>0</v>
      </c>
      <c r="BF30" s="22">
        <f t="shared" si="168"/>
        <v>3.5</v>
      </c>
      <c r="BG30" s="23">
        <f t="shared" si="32"/>
        <v>5.5</v>
      </c>
      <c r="BH30" s="373">
        <f t="shared" si="33"/>
        <v>1.9276111111111109</v>
      </c>
      <c r="BI30" s="374" t="str">
        <f t="shared" si="169"/>
        <v>(0.18)</v>
      </c>
      <c r="BJ30" s="375">
        <v>2</v>
      </c>
      <c r="BK30" s="375">
        <f t="shared" si="35"/>
        <v>3.5</v>
      </c>
      <c r="BL30" s="375">
        <v>0</v>
      </c>
      <c r="BM30" s="375">
        <f t="shared" si="36"/>
        <v>0</v>
      </c>
      <c r="BN30" s="375">
        <v>0</v>
      </c>
      <c r="BO30" s="375">
        <f t="shared" si="37"/>
        <v>0</v>
      </c>
      <c r="BP30" s="375">
        <f t="shared" si="170"/>
        <v>3.5</v>
      </c>
      <c r="BQ30" s="376">
        <f t="shared" si="39"/>
        <v>8.5</v>
      </c>
      <c r="BR30" s="373">
        <f t="shared" si="40"/>
        <v>3.2882777777777776</v>
      </c>
      <c r="BS30" s="374" t="str">
        <f t="shared" si="41"/>
        <v>(0.31)</v>
      </c>
      <c r="BT30" s="375">
        <v>2</v>
      </c>
      <c r="BU30" s="375">
        <f t="shared" si="42"/>
        <v>3.5</v>
      </c>
      <c r="BV30" s="375">
        <v>0</v>
      </c>
      <c r="BW30" s="375">
        <f t="shared" si="43"/>
        <v>0</v>
      </c>
      <c r="BX30" s="375">
        <v>0</v>
      </c>
      <c r="BY30" s="375">
        <f t="shared" si="44"/>
        <v>0</v>
      </c>
      <c r="BZ30" s="375">
        <f t="shared" si="171"/>
        <v>3.5</v>
      </c>
      <c r="CA30" s="376">
        <f t="shared" si="46"/>
        <v>14.5</v>
      </c>
      <c r="CB30" s="373">
        <f t="shared" si="47"/>
        <v>4.6489444444444441</v>
      </c>
      <c r="CC30" s="374" t="str">
        <f t="shared" si="48"/>
        <v>(0.43)</v>
      </c>
      <c r="CD30" s="375">
        <v>2</v>
      </c>
      <c r="CE30" s="375">
        <f t="shared" si="49"/>
        <v>3.5</v>
      </c>
      <c r="CF30" s="375">
        <v>0</v>
      </c>
      <c r="CG30" s="375">
        <f t="shared" si="50"/>
        <v>0</v>
      </c>
      <c r="CH30" s="375">
        <v>0</v>
      </c>
      <c r="CI30" s="375">
        <f t="shared" si="51"/>
        <v>0</v>
      </c>
      <c r="CJ30" s="375">
        <f t="shared" si="172"/>
        <v>3.5</v>
      </c>
      <c r="CK30" s="376">
        <f t="shared" si="53"/>
        <v>20.5</v>
      </c>
      <c r="CL30" s="373">
        <f t="shared" si="54"/>
        <v>6.009611111111111</v>
      </c>
      <c r="CM30" s="374" t="str">
        <f t="shared" si="55"/>
        <v>(0.56)</v>
      </c>
      <c r="CN30" s="375">
        <v>2</v>
      </c>
      <c r="CO30" s="375">
        <f t="shared" si="56"/>
        <v>3.5</v>
      </c>
      <c r="CP30" s="375">
        <v>0</v>
      </c>
      <c r="CQ30" s="375">
        <f t="shared" si="57"/>
        <v>0</v>
      </c>
      <c r="CR30" s="375">
        <v>0</v>
      </c>
      <c r="CS30" s="375">
        <f t="shared" si="58"/>
        <v>0</v>
      </c>
      <c r="CT30" s="375">
        <f t="shared" si="173"/>
        <v>3.5</v>
      </c>
      <c r="CU30" s="376">
        <f t="shared" si="60"/>
        <v>26.5</v>
      </c>
      <c r="CV30" s="373">
        <f t="shared" si="61"/>
        <v>7.370277777777777</v>
      </c>
      <c r="CW30" s="374" t="str">
        <f t="shared" si="62"/>
        <v>(0.68)</v>
      </c>
      <c r="CX30" s="375">
        <v>2</v>
      </c>
      <c r="CY30" s="375">
        <f t="shared" si="63"/>
        <v>3.5</v>
      </c>
      <c r="CZ30" s="375">
        <v>0</v>
      </c>
      <c r="DA30" s="375">
        <f t="shared" si="64"/>
        <v>0</v>
      </c>
      <c r="DB30" s="375">
        <v>0</v>
      </c>
      <c r="DC30" s="375">
        <f t="shared" si="65"/>
        <v>0</v>
      </c>
      <c r="DD30" s="375">
        <f t="shared" si="174"/>
        <v>3.5</v>
      </c>
      <c r="DE30" s="376">
        <f t="shared" si="67"/>
        <v>32.5</v>
      </c>
      <c r="DF30" s="373">
        <f t="shared" si="68"/>
        <v>8.7309444444444431</v>
      </c>
      <c r="DG30" s="374" t="str">
        <f t="shared" si="69"/>
        <v>(0.81)</v>
      </c>
      <c r="DH30" s="375">
        <v>2</v>
      </c>
      <c r="DI30" s="375">
        <f t="shared" si="70"/>
        <v>3.5</v>
      </c>
      <c r="DJ30" s="375">
        <v>0</v>
      </c>
      <c r="DK30" s="375">
        <f t="shared" si="71"/>
        <v>0</v>
      </c>
      <c r="DL30" s="375">
        <v>0</v>
      </c>
      <c r="DM30" s="375">
        <f t="shared" si="72"/>
        <v>0</v>
      </c>
      <c r="DN30" s="375">
        <f t="shared" si="175"/>
        <v>3.5</v>
      </c>
      <c r="DO30" s="376">
        <f t="shared" si="74"/>
        <v>38.5</v>
      </c>
      <c r="DP30" s="373">
        <f t="shared" si="75"/>
        <v>10.091611111111112</v>
      </c>
      <c r="DQ30" s="374" t="str">
        <f t="shared" si="76"/>
        <v>(0.94)</v>
      </c>
      <c r="DR30" s="375">
        <v>2</v>
      </c>
      <c r="DS30" s="375">
        <f t="shared" si="77"/>
        <v>3.5</v>
      </c>
      <c r="DT30" s="375">
        <v>0</v>
      </c>
      <c r="DU30" s="375">
        <f t="shared" si="78"/>
        <v>0</v>
      </c>
      <c r="DV30" s="375">
        <v>0</v>
      </c>
      <c r="DW30" s="375">
        <f t="shared" si="79"/>
        <v>0</v>
      </c>
      <c r="DX30" s="375">
        <f t="shared" si="176"/>
        <v>3.5</v>
      </c>
      <c r="DY30" s="376">
        <f t="shared" si="81"/>
        <v>44.5</v>
      </c>
      <c r="DZ30" s="373">
        <f t="shared" si="82"/>
        <v>11.2255</v>
      </c>
      <c r="EA30" s="374" t="str">
        <f t="shared" si="177"/>
        <v>(1.04)</v>
      </c>
      <c r="EB30" s="375">
        <v>2</v>
      </c>
      <c r="EC30" s="375">
        <f t="shared" si="84"/>
        <v>3.5</v>
      </c>
      <c r="ED30" s="375">
        <v>0</v>
      </c>
      <c r="EE30" s="375">
        <f t="shared" si="85"/>
        <v>0</v>
      </c>
      <c r="EF30" s="375">
        <v>1</v>
      </c>
      <c r="EG30" s="375">
        <f t="shared" si="86"/>
        <v>1</v>
      </c>
      <c r="EH30" s="375">
        <f t="shared" si="178"/>
        <v>4.5</v>
      </c>
      <c r="EI30" s="376">
        <f t="shared" si="88"/>
        <v>49.5</v>
      </c>
      <c r="EJ30" s="373">
        <f t="shared" si="89"/>
        <v>12.586166666666665</v>
      </c>
      <c r="EK30" s="374" t="str">
        <f t="shared" si="179"/>
        <v>(1.17)</v>
      </c>
      <c r="EL30" s="375">
        <v>2</v>
      </c>
      <c r="EM30" s="375">
        <f t="shared" si="91"/>
        <v>3.5</v>
      </c>
      <c r="EN30" s="375">
        <v>0</v>
      </c>
      <c r="EO30" s="375">
        <f t="shared" si="92"/>
        <v>0</v>
      </c>
      <c r="EP30" s="375">
        <v>1</v>
      </c>
      <c r="EQ30" s="375">
        <f t="shared" si="93"/>
        <v>1</v>
      </c>
      <c r="ER30" s="375">
        <f t="shared" si="180"/>
        <v>4.5</v>
      </c>
      <c r="ES30" s="376">
        <f t="shared" si="95"/>
        <v>55.5</v>
      </c>
      <c r="ET30" s="373">
        <f t="shared" si="96"/>
        <v>13.946833333333332</v>
      </c>
      <c r="EU30" s="374" t="str">
        <f t="shared" si="181"/>
        <v>(1.30)</v>
      </c>
      <c r="EV30" s="375">
        <v>2</v>
      </c>
      <c r="EW30" s="375">
        <f t="shared" si="98"/>
        <v>3.5</v>
      </c>
      <c r="EX30" s="375">
        <v>0</v>
      </c>
      <c r="EY30" s="375">
        <f t="shared" si="99"/>
        <v>0</v>
      </c>
      <c r="EZ30" s="375">
        <v>1</v>
      </c>
      <c r="FA30" s="375">
        <f t="shared" si="100"/>
        <v>1</v>
      </c>
      <c r="FB30" s="375">
        <f t="shared" si="182"/>
        <v>4.5</v>
      </c>
      <c r="FC30" s="376">
        <f t="shared" si="102"/>
        <v>61.5</v>
      </c>
      <c r="FD30" s="373">
        <f t="shared" si="103"/>
        <v>15.279152777777776</v>
      </c>
      <c r="FE30" s="374" t="str">
        <f t="shared" si="183"/>
        <v>(1.42)</v>
      </c>
      <c r="FF30" s="375">
        <v>2</v>
      </c>
      <c r="FG30" s="375">
        <f t="shared" si="105"/>
        <v>3.5</v>
      </c>
      <c r="FH30" s="375">
        <v>1</v>
      </c>
      <c r="FI30" s="375">
        <f t="shared" si="106"/>
        <v>1.125</v>
      </c>
      <c r="FJ30" s="375">
        <v>0</v>
      </c>
      <c r="FK30" s="375">
        <f t="shared" si="107"/>
        <v>0</v>
      </c>
      <c r="FL30" s="375">
        <f t="shared" si="184"/>
        <v>4.625</v>
      </c>
      <c r="FM30" s="376">
        <f t="shared" si="109"/>
        <v>67.375</v>
      </c>
      <c r="FN30" s="373">
        <f t="shared" si="110"/>
        <v>16.639819444444445</v>
      </c>
      <c r="FO30" s="374" t="str">
        <f t="shared" si="183"/>
        <v>(1.55)</v>
      </c>
      <c r="FP30" s="375">
        <v>2</v>
      </c>
      <c r="FQ30" s="375">
        <f t="shared" si="112"/>
        <v>3.5</v>
      </c>
      <c r="FR30" s="375">
        <v>1</v>
      </c>
      <c r="FS30" s="375">
        <f t="shared" si="113"/>
        <v>1.125</v>
      </c>
      <c r="FT30" s="375">
        <v>0</v>
      </c>
      <c r="FU30" s="375">
        <f t="shared" si="114"/>
        <v>0</v>
      </c>
      <c r="FV30" s="375">
        <f t="shared" si="185"/>
        <v>4.625</v>
      </c>
      <c r="FW30" s="376">
        <f t="shared" si="116"/>
        <v>73.375</v>
      </c>
      <c r="FX30" s="373">
        <f t="shared" si="117"/>
        <v>18.000486111111108</v>
      </c>
      <c r="FY30" s="374" t="str">
        <f t="shared" si="186"/>
        <v>(1.67)</v>
      </c>
      <c r="FZ30" s="375">
        <v>2</v>
      </c>
      <c r="GA30" s="375">
        <f t="shared" si="119"/>
        <v>3.5</v>
      </c>
      <c r="GB30" s="375">
        <v>1</v>
      </c>
      <c r="GC30" s="375">
        <f t="shared" si="120"/>
        <v>1.125</v>
      </c>
      <c r="GD30" s="375">
        <v>0</v>
      </c>
      <c r="GE30" s="375">
        <f t="shared" si="121"/>
        <v>0</v>
      </c>
      <c r="GF30" s="375">
        <f t="shared" si="187"/>
        <v>4.625</v>
      </c>
      <c r="GG30" s="376">
        <f t="shared" si="123"/>
        <v>79.375</v>
      </c>
      <c r="GH30" s="373">
        <f t="shared" si="124"/>
        <v>19.361152777777775</v>
      </c>
      <c r="GI30" s="374" t="str">
        <f t="shared" si="188"/>
        <v>(1.80)</v>
      </c>
      <c r="GJ30" s="375">
        <v>2</v>
      </c>
      <c r="GK30" s="375">
        <f t="shared" si="126"/>
        <v>3.5</v>
      </c>
      <c r="GL30" s="375">
        <v>1</v>
      </c>
      <c r="GM30" s="375">
        <f t="shared" si="127"/>
        <v>1.125</v>
      </c>
      <c r="GN30" s="375">
        <v>0</v>
      </c>
      <c r="GO30" s="375">
        <f t="shared" si="128"/>
        <v>0</v>
      </c>
      <c r="GP30" s="375">
        <f t="shared" si="189"/>
        <v>4.625</v>
      </c>
      <c r="GQ30" s="376">
        <f t="shared" si="130"/>
        <v>85.375</v>
      </c>
      <c r="GR30" s="373">
        <f t="shared" si="131"/>
        <v>20.721819444444446</v>
      </c>
      <c r="GS30" s="374" t="str">
        <f t="shared" si="190"/>
        <v>(1.93)</v>
      </c>
      <c r="GT30" s="375">
        <v>2</v>
      </c>
      <c r="GU30" s="375">
        <f t="shared" si="133"/>
        <v>3.5</v>
      </c>
      <c r="GV30" s="375">
        <v>1</v>
      </c>
      <c r="GW30" s="375">
        <f t="shared" si="134"/>
        <v>1.125</v>
      </c>
      <c r="GX30" s="375">
        <v>0</v>
      </c>
      <c r="GY30" s="375">
        <f t="shared" si="135"/>
        <v>0</v>
      </c>
      <c r="GZ30" s="375">
        <f t="shared" si="191"/>
        <v>4.625</v>
      </c>
      <c r="HA30" s="376">
        <f t="shared" si="137"/>
        <v>91.375</v>
      </c>
      <c r="HB30" s="373">
        <f t="shared" si="138"/>
        <v>22.082486111111109</v>
      </c>
      <c r="HC30" s="374" t="str">
        <f t="shared" si="192"/>
        <v>(2.05)</v>
      </c>
      <c r="HD30" s="375">
        <v>2</v>
      </c>
      <c r="HE30" s="375">
        <f t="shared" si="140"/>
        <v>3.5</v>
      </c>
      <c r="HF30" s="375">
        <v>1</v>
      </c>
      <c r="HG30" s="375">
        <f t="shared" si="141"/>
        <v>1.125</v>
      </c>
      <c r="HH30" s="375">
        <v>0</v>
      </c>
      <c r="HI30" s="375">
        <f t="shared" si="142"/>
        <v>0</v>
      </c>
      <c r="HJ30" s="375">
        <f t="shared" si="193"/>
        <v>4.625</v>
      </c>
      <c r="HK30" s="376">
        <f t="shared" si="144"/>
        <v>97.375</v>
      </c>
      <c r="HL30" s="373">
        <f t="shared" si="145"/>
        <v>22.989597222222223</v>
      </c>
      <c r="HM30" s="374" t="str">
        <f t="shared" si="194"/>
        <v>(2.14)</v>
      </c>
      <c r="HN30" s="375">
        <v>2</v>
      </c>
      <c r="HO30" s="375">
        <f t="shared" si="147"/>
        <v>3.5</v>
      </c>
      <c r="HP30" s="375">
        <v>1</v>
      </c>
      <c r="HQ30" s="375">
        <f t="shared" si="148"/>
        <v>1.125</v>
      </c>
      <c r="HR30" s="375">
        <v>2</v>
      </c>
      <c r="HS30" s="375">
        <f t="shared" si="149"/>
        <v>2</v>
      </c>
      <c r="HT30" s="375">
        <f t="shared" si="195"/>
        <v>6.625</v>
      </c>
      <c r="HU30" s="376">
        <f t="shared" si="151"/>
        <v>101.375</v>
      </c>
      <c r="HV30" s="373">
        <f t="shared" si="152"/>
        <v>24.350263888888886</v>
      </c>
      <c r="HW30" s="374" t="str">
        <f t="shared" si="196"/>
        <v>(2.26)</v>
      </c>
      <c r="HX30" s="375">
        <v>2</v>
      </c>
      <c r="HY30" s="375">
        <f t="shared" si="154"/>
        <v>3.5</v>
      </c>
      <c r="HZ30" s="375">
        <v>1</v>
      </c>
      <c r="IA30" s="375">
        <f t="shared" si="155"/>
        <v>1.125</v>
      </c>
      <c r="IB30" s="375">
        <v>2</v>
      </c>
      <c r="IC30" s="375">
        <f t="shared" si="156"/>
        <v>2</v>
      </c>
      <c r="ID30" s="375">
        <f t="shared" si="197"/>
        <v>6.625</v>
      </c>
      <c r="IE30" s="376">
        <f t="shared" si="158"/>
        <v>107.375</v>
      </c>
      <c r="IF30" s="373">
        <f t="shared" si="159"/>
        <v>25.710930555555553</v>
      </c>
      <c r="IG30" s="374" t="str">
        <f t="shared" si="198"/>
        <v>(2.39)</v>
      </c>
      <c r="IH30" s="22">
        <v>2</v>
      </c>
      <c r="II30" s="22">
        <f t="shared" si="161"/>
        <v>3.5</v>
      </c>
      <c r="IJ30" s="22">
        <v>1</v>
      </c>
      <c r="IK30" s="22">
        <f t="shared" si="162"/>
        <v>1.125</v>
      </c>
      <c r="IL30" s="22">
        <v>2</v>
      </c>
      <c r="IM30" s="22">
        <f t="shared" si="163"/>
        <v>2</v>
      </c>
      <c r="IN30" s="22">
        <f t="shared" si="199"/>
        <v>6.625</v>
      </c>
      <c r="IO30" s="23">
        <f t="shared" si="165"/>
        <v>113.375</v>
      </c>
      <c r="IP30" s="24"/>
      <c r="IQ30" s="25">
        <v>12</v>
      </c>
      <c r="IR30" s="26">
        <v>2.6549999999999998</v>
      </c>
      <c r="IS30" s="26">
        <v>2.6469999999999998</v>
      </c>
      <c r="IT30" s="26">
        <v>0.88400000000000001</v>
      </c>
      <c r="IU30" s="26">
        <v>1.75</v>
      </c>
      <c r="IV30" s="26">
        <v>1</v>
      </c>
      <c r="IW30" s="26">
        <v>1.125</v>
      </c>
      <c r="IX30" s="8"/>
    </row>
    <row r="31" spans="2:258" ht="15.75" thickBot="1" x14ac:dyDescent="0.3">
      <c r="B31" s="103">
        <f t="shared" si="25"/>
        <v>78</v>
      </c>
      <c r="C31" s="221">
        <v>14</v>
      </c>
      <c r="D31" s="98">
        <f t="shared" si="1"/>
        <v>0.38028347578347582</v>
      </c>
      <c r="E31" s="96">
        <f t="shared" si="2"/>
        <v>0.44078311965811962</v>
      </c>
      <c r="F31" s="96">
        <f t="shared" si="3"/>
        <v>0.50128276353276346</v>
      </c>
      <c r="G31" s="96">
        <f t="shared" si="4"/>
        <v>0.53153258547008542</v>
      </c>
      <c r="H31" s="96">
        <f t="shared" si="5"/>
        <v>0.54968247863247854</v>
      </c>
      <c r="I31" s="96">
        <f t="shared" si="6"/>
        <v>0.56178240740740737</v>
      </c>
      <c r="J31" s="96">
        <f t="shared" si="7"/>
        <v>0.5704252136752137</v>
      </c>
      <c r="K31" s="96">
        <f t="shared" si="8"/>
        <v>0.57690731837606835</v>
      </c>
      <c r="L31" s="96">
        <f t="shared" si="9"/>
        <v>0.5704252136752137</v>
      </c>
      <c r="M31" s="96">
        <f t="shared" si="10"/>
        <v>0.57561089743589733</v>
      </c>
      <c r="N31" s="96">
        <f t="shared" si="11"/>
        <v>0.57985372960372961</v>
      </c>
      <c r="O31" s="96">
        <f t="shared" si="12"/>
        <v>0.58230907229344731</v>
      </c>
      <c r="P31" s="238"/>
      <c r="Q31" s="238"/>
      <c r="R31" s="238"/>
      <c r="S31" s="238"/>
      <c r="T31" s="238"/>
      <c r="U31" s="238"/>
      <c r="V31" s="238"/>
      <c r="W31" s="238"/>
      <c r="X31" s="96"/>
      <c r="Y31" s="65"/>
      <c r="AT31" s="4"/>
      <c r="AU31" s="27">
        <f t="shared" si="200"/>
        <v>60</v>
      </c>
      <c r="AV31" s="28" t="str">
        <f t="shared" si="166"/>
        <v>(1500)</v>
      </c>
      <c r="AW31" s="19">
        <f t="shared" si="201"/>
        <v>16</v>
      </c>
      <c r="AX31" s="20">
        <f t="shared" si="26"/>
        <v>1.394517361111111</v>
      </c>
      <c r="AY31" s="29" t="str">
        <f>"("&amp;FIXED(AX31*0.092903,2)&amp;")"</f>
        <v>(0.13)</v>
      </c>
      <c r="AZ31" s="22">
        <v>2</v>
      </c>
      <c r="BA31" s="22">
        <f t="shared" si="28"/>
        <v>3.5</v>
      </c>
      <c r="BB31" s="30">
        <v>0</v>
      </c>
      <c r="BC31" s="22">
        <f t="shared" si="29"/>
        <v>0</v>
      </c>
      <c r="BD31" s="30">
        <v>0</v>
      </c>
      <c r="BE31" s="22">
        <f t="shared" si="30"/>
        <v>0</v>
      </c>
      <c r="BF31" s="22">
        <f t="shared" si="168"/>
        <v>3.5</v>
      </c>
      <c r="BG31" s="23">
        <f t="shared" si="32"/>
        <v>5.5</v>
      </c>
      <c r="BH31" s="373">
        <f t="shared" si="33"/>
        <v>2.155163194444444</v>
      </c>
      <c r="BI31" s="374" t="str">
        <f>"("&amp;FIXED(BH31*0.092903,2)&amp;")"</f>
        <v>(0.20)</v>
      </c>
      <c r="BJ31" s="375">
        <v>2</v>
      </c>
      <c r="BK31" s="375">
        <f t="shared" si="35"/>
        <v>3.5</v>
      </c>
      <c r="BL31" s="375">
        <v>0</v>
      </c>
      <c r="BM31" s="375">
        <f t="shared" si="36"/>
        <v>0</v>
      </c>
      <c r="BN31" s="375">
        <v>0</v>
      </c>
      <c r="BO31" s="375">
        <f t="shared" si="37"/>
        <v>0</v>
      </c>
      <c r="BP31" s="375">
        <f t="shared" si="170"/>
        <v>3.5</v>
      </c>
      <c r="BQ31" s="376">
        <f t="shared" si="39"/>
        <v>8.5</v>
      </c>
      <c r="BR31" s="373">
        <f t="shared" si="40"/>
        <v>3.676454861111111</v>
      </c>
      <c r="BS31" s="374" t="str">
        <f t="shared" si="41"/>
        <v>(0.34)</v>
      </c>
      <c r="BT31" s="375">
        <v>2</v>
      </c>
      <c r="BU31" s="375">
        <f t="shared" si="42"/>
        <v>3.5</v>
      </c>
      <c r="BV31" s="375">
        <v>0</v>
      </c>
      <c r="BW31" s="375">
        <f t="shared" si="43"/>
        <v>0</v>
      </c>
      <c r="BX31" s="375">
        <v>0</v>
      </c>
      <c r="BY31" s="375">
        <f t="shared" si="44"/>
        <v>0</v>
      </c>
      <c r="BZ31" s="375">
        <f t="shared" si="171"/>
        <v>3.5</v>
      </c>
      <c r="CA31" s="376">
        <f t="shared" si="46"/>
        <v>14.5</v>
      </c>
      <c r="CB31" s="373">
        <f t="shared" si="47"/>
        <v>5.1977465277777775</v>
      </c>
      <c r="CC31" s="374" t="str">
        <f t="shared" si="48"/>
        <v>(0.48)</v>
      </c>
      <c r="CD31" s="375">
        <v>2</v>
      </c>
      <c r="CE31" s="375">
        <f t="shared" si="49"/>
        <v>3.5</v>
      </c>
      <c r="CF31" s="375">
        <v>0</v>
      </c>
      <c r="CG31" s="375">
        <f t="shared" si="50"/>
        <v>0</v>
      </c>
      <c r="CH31" s="375">
        <v>0</v>
      </c>
      <c r="CI31" s="375">
        <f t="shared" si="51"/>
        <v>0</v>
      </c>
      <c r="CJ31" s="375">
        <f t="shared" si="172"/>
        <v>3.5</v>
      </c>
      <c r="CK31" s="376">
        <f t="shared" si="53"/>
        <v>20.5</v>
      </c>
      <c r="CL31" s="373">
        <f t="shared" si="54"/>
        <v>6.7190381944444439</v>
      </c>
      <c r="CM31" s="374" t="str">
        <f t="shared" si="55"/>
        <v>(0.62)</v>
      </c>
      <c r="CN31" s="375">
        <v>2</v>
      </c>
      <c r="CO31" s="375">
        <f t="shared" si="56"/>
        <v>3.5</v>
      </c>
      <c r="CP31" s="375">
        <v>0</v>
      </c>
      <c r="CQ31" s="375">
        <f t="shared" si="57"/>
        <v>0</v>
      </c>
      <c r="CR31" s="375">
        <v>0</v>
      </c>
      <c r="CS31" s="375">
        <f t="shared" si="58"/>
        <v>0</v>
      </c>
      <c r="CT31" s="375">
        <f t="shared" si="173"/>
        <v>3.5</v>
      </c>
      <c r="CU31" s="376">
        <f t="shared" si="60"/>
        <v>26.5</v>
      </c>
      <c r="CV31" s="373">
        <f t="shared" si="61"/>
        <v>8.2403298611111104</v>
      </c>
      <c r="CW31" s="374" t="str">
        <f t="shared" si="62"/>
        <v>(0.77)</v>
      </c>
      <c r="CX31" s="375">
        <v>2</v>
      </c>
      <c r="CY31" s="375">
        <f t="shared" si="63"/>
        <v>3.5</v>
      </c>
      <c r="CZ31" s="375">
        <v>0</v>
      </c>
      <c r="DA31" s="375">
        <f t="shared" si="64"/>
        <v>0</v>
      </c>
      <c r="DB31" s="375">
        <v>0</v>
      </c>
      <c r="DC31" s="375">
        <f t="shared" si="65"/>
        <v>0</v>
      </c>
      <c r="DD31" s="375">
        <f t="shared" si="174"/>
        <v>3.5</v>
      </c>
      <c r="DE31" s="376">
        <f t="shared" si="67"/>
        <v>32.5</v>
      </c>
      <c r="DF31" s="373">
        <f t="shared" si="68"/>
        <v>9.7616215277777769</v>
      </c>
      <c r="DG31" s="374" t="str">
        <f t="shared" si="69"/>
        <v>(0.91)</v>
      </c>
      <c r="DH31" s="375">
        <v>2</v>
      </c>
      <c r="DI31" s="375">
        <f t="shared" si="70"/>
        <v>3.5</v>
      </c>
      <c r="DJ31" s="375">
        <v>0</v>
      </c>
      <c r="DK31" s="375">
        <f t="shared" si="71"/>
        <v>0</v>
      </c>
      <c r="DL31" s="375">
        <v>0</v>
      </c>
      <c r="DM31" s="375">
        <f t="shared" si="72"/>
        <v>0</v>
      </c>
      <c r="DN31" s="375">
        <f t="shared" si="175"/>
        <v>3.5</v>
      </c>
      <c r="DO31" s="376">
        <f t="shared" si="74"/>
        <v>38.5</v>
      </c>
      <c r="DP31" s="373">
        <f t="shared" si="75"/>
        <v>11.282913194444443</v>
      </c>
      <c r="DQ31" s="374" t="str">
        <f t="shared" si="76"/>
        <v>(1.05)</v>
      </c>
      <c r="DR31" s="375">
        <v>2</v>
      </c>
      <c r="DS31" s="375">
        <f t="shared" si="77"/>
        <v>3.5</v>
      </c>
      <c r="DT31" s="375">
        <v>0</v>
      </c>
      <c r="DU31" s="375">
        <f t="shared" si="78"/>
        <v>0</v>
      </c>
      <c r="DV31" s="375">
        <v>0</v>
      </c>
      <c r="DW31" s="375">
        <f t="shared" si="79"/>
        <v>0</v>
      </c>
      <c r="DX31" s="375">
        <f t="shared" si="176"/>
        <v>3.5</v>
      </c>
      <c r="DY31" s="376">
        <f t="shared" si="81"/>
        <v>44.5</v>
      </c>
      <c r="DZ31" s="373">
        <f t="shared" si="82"/>
        <v>12.550656249999998</v>
      </c>
      <c r="EA31" s="374" t="str">
        <f>"("&amp;FIXED(DZ31*0.092903,2)&amp;")"</f>
        <v>(1.17)</v>
      </c>
      <c r="EB31" s="375">
        <v>2</v>
      </c>
      <c r="EC31" s="375">
        <f t="shared" si="84"/>
        <v>3.5</v>
      </c>
      <c r="ED31" s="375">
        <v>0</v>
      </c>
      <c r="EE31" s="375">
        <f t="shared" si="85"/>
        <v>0</v>
      </c>
      <c r="EF31" s="375">
        <v>1</v>
      </c>
      <c r="EG31" s="375">
        <f t="shared" si="86"/>
        <v>1</v>
      </c>
      <c r="EH31" s="375">
        <f t="shared" si="178"/>
        <v>4.5</v>
      </c>
      <c r="EI31" s="376">
        <f t="shared" si="88"/>
        <v>49.5</v>
      </c>
      <c r="EJ31" s="373">
        <f t="shared" si="89"/>
        <v>14.071947916666666</v>
      </c>
      <c r="EK31" s="374" t="str">
        <f>"("&amp;FIXED(EJ31*0.092903,2)&amp;")"</f>
        <v>(1.31)</v>
      </c>
      <c r="EL31" s="375">
        <v>2</v>
      </c>
      <c r="EM31" s="375">
        <f t="shared" si="91"/>
        <v>3.5</v>
      </c>
      <c r="EN31" s="375">
        <v>0</v>
      </c>
      <c r="EO31" s="375">
        <f t="shared" si="92"/>
        <v>0</v>
      </c>
      <c r="EP31" s="375">
        <v>1</v>
      </c>
      <c r="EQ31" s="375">
        <f t="shared" si="93"/>
        <v>1</v>
      </c>
      <c r="ER31" s="375">
        <f t="shared" si="180"/>
        <v>4.5</v>
      </c>
      <c r="ES31" s="376">
        <f t="shared" si="95"/>
        <v>55.5</v>
      </c>
      <c r="ET31" s="373">
        <f t="shared" si="96"/>
        <v>15.593239583333331</v>
      </c>
      <c r="EU31" s="374" t="str">
        <f>"("&amp;FIXED(ET31*0.092903,2)&amp;")"</f>
        <v>(1.45)</v>
      </c>
      <c r="EV31" s="375">
        <v>2</v>
      </c>
      <c r="EW31" s="375">
        <f t="shared" si="98"/>
        <v>3.5</v>
      </c>
      <c r="EX31" s="375">
        <v>0</v>
      </c>
      <c r="EY31" s="375">
        <f t="shared" si="99"/>
        <v>0</v>
      </c>
      <c r="EZ31" s="375">
        <v>1</v>
      </c>
      <c r="FA31" s="375">
        <f t="shared" si="100"/>
        <v>1</v>
      </c>
      <c r="FB31" s="375">
        <f t="shared" si="182"/>
        <v>4.5</v>
      </c>
      <c r="FC31" s="376">
        <f t="shared" si="102"/>
        <v>61.5</v>
      </c>
      <c r="FD31" s="373">
        <f t="shared" si="103"/>
        <v>17.08283767361111</v>
      </c>
      <c r="FE31" s="374" t="str">
        <f>"("&amp;FIXED(FD31*0.092903,2)&amp;")"</f>
        <v>(1.59)</v>
      </c>
      <c r="FF31" s="375">
        <v>2</v>
      </c>
      <c r="FG31" s="375">
        <f t="shared" si="105"/>
        <v>3.5</v>
      </c>
      <c r="FH31" s="375">
        <v>1</v>
      </c>
      <c r="FI31" s="375">
        <f t="shared" si="106"/>
        <v>1.125</v>
      </c>
      <c r="FJ31" s="375">
        <v>0</v>
      </c>
      <c r="FK31" s="375">
        <f t="shared" si="107"/>
        <v>0</v>
      </c>
      <c r="FL31" s="375">
        <f t="shared" si="184"/>
        <v>4.625</v>
      </c>
      <c r="FM31" s="376">
        <f t="shared" si="109"/>
        <v>67.375</v>
      </c>
      <c r="FN31" s="373">
        <f t="shared" si="110"/>
        <v>18.604129340277776</v>
      </c>
      <c r="FO31" s="374" t="str">
        <f>"("&amp;FIXED(FN31*0.092903,2)&amp;")"</f>
        <v>(1.73)</v>
      </c>
      <c r="FP31" s="375">
        <v>2</v>
      </c>
      <c r="FQ31" s="375">
        <f t="shared" si="112"/>
        <v>3.5</v>
      </c>
      <c r="FR31" s="375">
        <v>1</v>
      </c>
      <c r="FS31" s="375">
        <f t="shared" si="113"/>
        <v>1.125</v>
      </c>
      <c r="FT31" s="375">
        <v>0</v>
      </c>
      <c r="FU31" s="375">
        <f t="shared" si="114"/>
        <v>0</v>
      </c>
      <c r="FV31" s="375">
        <f t="shared" si="185"/>
        <v>4.625</v>
      </c>
      <c r="FW31" s="376">
        <f t="shared" si="116"/>
        <v>73.375</v>
      </c>
      <c r="FX31" s="373">
        <f t="shared" si="117"/>
        <v>20.125421006944443</v>
      </c>
      <c r="FY31" s="374" t="str">
        <f>"("&amp;FIXED(FX31*0.092903,2)&amp;")"</f>
        <v>(1.87)</v>
      </c>
      <c r="FZ31" s="375">
        <v>2</v>
      </c>
      <c r="GA31" s="375">
        <f t="shared" si="119"/>
        <v>3.5</v>
      </c>
      <c r="GB31" s="375">
        <v>1</v>
      </c>
      <c r="GC31" s="375">
        <f t="shared" si="120"/>
        <v>1.125</v>
      </c>
      <c r="GD31" s="375">
        <v>0</v>
      </c>
      <c r="GE31" s="375">
        <f t="shared" si="121"/>
        <v>0</v>
      </c>
      <c r="GF31" s="375">
        <f t="shared" si="187"/>
        <v>4.625</v>
      </c>
      <c r="GG31" s="376">
        <f t="shared" si="123"/>
        <v>79.375</v>
      </c>
      <c r="GH31" s="373">
        <f t="shared" si="124"/>
        <v>21.646712673611106</v>
      </c>
      <c r="GI31" s="374" t="str">
        <f>"("&amp;FIXED(GH31*0.092903,2)&amp;")"</f>
        <v>(2.01)</v>
      </c>
      <c r="GJ31" s="375">
        <v>2</v>
      </c>
      <c r="GK31" s="375">
        <f t="shared" si="126"/>
        <v>3.5</v>
      </c>
      <c r="GL31" s="375">
        <v>1</v>
      </c>
      <c r="GM31" s="375">
        <f t="shared" si="127"/>
        <v>1.125</v>
      </c>
      <c r="GN31" s="375">
        <v>0</v>
      </c>
      <c r="GO31" s="375">
        <f t="shared" si="128"/>
        <v>0</v>
      </c>
      <c r="GP31" s="375">
        <f t="shared" si="189"/>
        <v>4.625</v>
      </c>
      <c r="GQ31" s="376">
        <f t="shared" si="130"/>
        <v>85.375</v>
      </c>
      <c r="GR31" s="373">
        <f t="shared" si="131"/>
        <v>23.168004340277776</v>
      </c>
      <c r="GS31" s="374" t="str">
        <f>"("&amp;FIXED(GR31*0.092903,2)&amp;")"</f>
        <v>(2.15)</v>
      </c>
      <c r="GT31" s="375">
        <v>2</v>
      </c>
      <c r="GU31" s="375">
        <f t="shared" si="133"/>
        <v>3.5</v>
      </c>
      <c r="GV31" s="375">
        <v>1</v>
      </c>
      <c r="GW31" s="375">
        <f t="shared" si="134"/>
        <v>1.125</v>
      </c>
      <c r="GX31" s="375">
        <v>0</v>
      </c>
      <c r="GY31" s="375">
        <f t="shared" si="135"/>
        <v>0</v>
      </c>
      <c r="GZ31" s="375">
        <f t="shared" si="191"/>
        <v>4.625</v>
      </c>
      <c r="HA31" s="376">
        <f t="shared" si="137"/>
        <v>91.375</v>
      </c>
      <c r="HB31" s="373">
        <f t="shared" si="138"/>
        <v>24.689296006944442</v>
      </c>
      <c r="HC31" s="374" t="str">
        <f>"("&amp;FIXED(HB31*0.092903,2)&amp;")"</f>
        <v>(2.29)</v>
      </c>
      <c r="HD31" s="375">
        <v>2</v>
      </c>
      <c r="HE31" s="375">
        <f t="shared" si="140"/>
        <v>3.5</v>
      </c>
      <c r="HF31" s="375">
        <v>1</v>
      </c>
      <c r="HG31" s="375">
        <f t="shared" si="141"/>
        <v>1.125</v>
      </c>
      <c r="HH31" s="375">
        <v>0</v>
      </c>
      <c r="HI31" s="375">
        <f t="shared" si="142"/>
        <v>0</v>
      </c>
      <c r="HJ31" s="375">
        <f t="shared" si="193"/>
        <v>4.625</v>
      </c>
      <c r="HK31" s="376">
        <f t="shared" si="144"/>
        <v>97.375</v>
      </c>
      <c r="HL31" s="373">
        <f t="shared" si="145"/>
        <v>25.703490451388884</v>
      </c>
      <c r="HM31" s="374" t="str">
        <f>"("&amp;FIXED(HL31*0.092903,2)&amp;")"</f>
        <v>(2.39)</v>
      </c>
      <c r="HN31" s="375">
        <v>2</v>
      </c>
      <c r="HO31" s="375">
        <f t="shared" si="147"/>
        <v>3.5</v>
      </c>
      <c r="HP31" s="375">
        <v>1</v>
      </c>
      <c r="HQ31" s="375">
        <f t="shared" si="148"/>
        <v>1.125</v>
      </c>
      <c r="HR31" s="375">
        <v>2</v>
      </c>
      <c r="HS31" s="375">
        <f t="shared" si="149"/>
        <v>2</v>
      </c>
      <c r="HT31" s="375">
        <f t="shared" si="195"/>
        <v>6.625</v>
      </c>
      <c r="HU31" s="376">
        <f t="shared" si="151"/>
        <v>101.375</v>
      </c>
      <c r="HV31" s="373">
        <f t="shared" si="152"/>
        <v>27.224782118055554</v>
      </c>
      <c r="HW31" s="374" t="str">
        <f>"("&amp;FIXED(HV31*0.092903,2)&amp;")"</f>
        <v>(2.53)</v>
      </c>
      <c r="HX31" s="375">
        <v>2</v>
      </c>
      <c r="HY31" s="375">
        <f t="shared" si="154"/>
        <v>3.5</v>
      </c>
      <c r="HZ31" s="375">
        <v>1</v>
      </c>
      <c r="IA31" s="375">
        <f t="shared" si="155"/>
        <v>1.125</v>
      </c>
      <c r="IB31" s="375">
        <v>2</v>
      </c>
      <c r="IC31" s="375">
        <f t="shared" si="156"/>
        <v>2</v>
      </c>
      <c r="ID31" s="375">
        <f t="shared" si="197"/>
        <v>6.625</v>
      </c>
      <c r="IE31" s="376">
        <f t="shared" si="158"/>
        <v>107.375</v>
      </c>
      <c r="IF31" s="373">
        <f t="shared" si="159"/>
        <v>28.746073784722221</v>
      </c>
      <c r="IG31" s="374" t="str">
        <f>"("&amp;FIXED(IF31*0.092903,2)&amp;")"</f>
        <v>(2.67)</v>
      </c>
      <c r="IH31" s="22">
        <v>2</v>
      </c>
      <c r="II31" s="22">
        <f t="shared" si="161"/>
        <v>3.5</v>
      </c>
      <c r="IJ31" s="30">
        <v>1</v>
      </c>
      <c r="IK31" s="22">
        <f t="shared" si="162"/>
        <v>1.125</v>
      </c>
      <c r="IL31" s="22">
        <v>2</v>
      </c>
      <c r="IM31" s="22">
        <f t="shared" si="163"/>
        <v>2</v>
      </c>
      <c r="IN31" s="22">
        <f t="shared" si="199"/>
        <v>6.625</v>
      </c>
      <c r="IO31" s="23">
        <f t="shared" si="165"/>
        <v>113.375</v>
      </c>
      <c r="IP31" s="24"/>
      <c r="IQ31" s="25">
        <v>13</v>
      </c>
      <c r="IR31" s="26">
        <v>2.6549999999999998</v>
      </c>
      <c r="IS31" s="26">
        <v>2.6469999999999998</v>
      </c>
      <c r="IT31" s="26">
        <v>2.0920000000000001</v>
      </c>
      <c r="IU31" s="26">
        <v>1.75</v>
      </c>
      <c r="IV31" s="26">
        <v>1</v>
      </c>
      <c r="IW31" s="26">
        <v>1.125</v>
      </c>
      <c r="IX31" s="8"/>
    </row>
    <row r="32" spans="2:258" ht="15.75" thickBot="1" x14ac:dyDescent="0.3">
      <c r="B32" s="103">
        <f t="shared" si="25"/>
        <v>84</v>
      </c>
      <c r="C32" s="226">
        <v>15</v>
      </c>
      <c r="D32" s="98">
        <f t="shared" si="1"/>
        <v>0.38116600529100531</v>
      </c>
      <c r="E32" s="96">
        <f t="shared" si="2"/>
        <v>0.44180605158730157</v>
      </c>
      <c r="F32" s="96">
        <f t="shared" si="3"/>
        <v>0.50244609788359773</v>
      </c>
      <c r="G32" s="96">
        <f t="shared" si="4"/>
        <v>0.53276612103174592</v>
      </c>
      <c r="H32" s="96">
        <f t="shared" si="5"/>
        <v>0.55095813492063483</v>
      </c>
      <c r="I32" s="96">
        <f t="shared" si="6"/>
        <v>0.56308614417989411</v>
      </c>
      <c r="J32" s="96">
        <f t="shared" si="7"/>
        <v>0.57174900793650785</v>
      </c>
      <c r="K32" s="96">
        <f t="shared" si="8"/>
        <v>0.57824615575396821</v>
      </c>
      <c r="L32" s="96">
        <f t="shared" si="9"/>
        <v>0.57174900793650785</v>
      </c>
      <c r="M32" s="96">
        <f t="shared" si="10"/>
        <v>0.57694672619047616</v>
      </c>
      <c r="N32" s="96">
        <f t="shared" si="11"/>
        <v>0.58119940476190468</v>
      </c>
      <c r="O32" s="96">
        <f t="shared" si="12"/>
        <v>0.58366044560185182</v>
      </c>
      <c r="P32" s="238"/>
      <c r="Q32" s="238"/>
      <c r="R32" s="238"/>
      <c r="S32" s="238"/>
      <c r="T32" s="238"/>
      <c r="U32" s="238"/>
      <c r="V32" s="238"/>
      <c r="W32" s="238"/>
      <c r="X32" s="96"/>
      <c r="Y32" s="65"/>
      <c r="AT32" s="4"/>
      <c r="AU32" s="14">
        <f t="shared" si="200"/>
        <v>66</v>
      </c>
      <c r="AV32" s="12" t="str">
        <f t="shared" si="166"/>
        <v>(1700)</v>
      </c>
      <c r="AW32" s="19">
        <f t="shared" si="201"/>
        <v>17</v>
      </c>
      <c r="AX32" s="20">
        <f t="shared" si="26"/>
        <v>1.5505798611111112</v>
      </c>
      <c r="AY32" s="21" t="str">
        <f t="shared" ref="AY32:AY40" si="202">"("&amp;FIXED(AX32*0.092903,2)&amp;")"</f>
        <v>(0.14)</v>
      </c>
      <c r="AZ32" s="22">
        <v>2</v>
      </c>
      <c r="BA32" s="22">
        <f t="shared" si="28"/>
        <v>3.5</v>
      </c>
      <c r="BB32" s="22">
        <v>0</v>
      </c>
      <c r="BC32" s="22">
        <f t="shared" si="29"/>
        <v>0</v>
      </c>
      <c r="BD32" s="22">
        <v>0</v>
      </c>
      <c r="BE32" s="22">
        <f t="shared" si="30"/>
        <v>0</v>
      </c>
      <c r="BF32" s="22">
        <f t="shared" si="168"/>
        <v>3.5</v>
      </c>
      <c r="BG32" s="23">
        <f t="shared" si="32"/>
        <v>5.5</v>
      </c>
      <c r="BH32" s="373">
        <f t="shared" si="33"/>
        <v>2.3963506944444446</v>
      </c>
      <c r="BI32" s="374" t="str">
        <f t="shared" si="169"/>
        <v>(0.22)</v>
      </c>
      <c r="BJ32" s="375">
        <v>2</v>
      </c>
      <c r="BK32" s="375">
        <f t="shared" si="35"/>
        <v>3.5</v>
      </c>
      <c r="BL32" s="375">
        <v>0</v>
      </c>
      <c r="BM32" s="375">
        <f t="shared" si="36"/>
        <v>0</v>
      </c>
      <c r="BN32" s="375">
        <v>0</v>
      </c>
      <c r="BO32" s="375">
        <f t="shared" si="37"/>
        <v>0</v>
      </c>
      <c r="BP32" s="375">
        <f t="shared" si="170"/>
        <v>3.5</v>
      </c>
      <c r="BQ32" s="376">
        <f t="shared" si="39"/>
        <v>8.5</v>
      </c>
      <c r="BR32" s="373">
        <f t="shared" si="40"/>
        <v>4.0878923611111118</v>
      </c>
      <c r="BS32" s="374" t="str">
        <f t="shared" si="41"/>
        <v>(0.38)</v>
      </c>
      <c r="BT32" s="375">
        <v>2</v>
      </c>
      <c r="BU32" s="375">
        <f t="shared" si="42"/>
        <v>3.5</v>
      </c>
      <c r="BV32" s="375">
        <v>0</v>
      </c>
      <c r="BW32" s="375">
        <f t="shared" si="43"/>
        <v>0</v>
      </c>
      <c r="BX32" s="375">
        <v>0</v>
      </c>
      <c r="BY32" s="375">
        <f t="shared" si="44"/>
        <v>0</v>
      </c>
      <c r="BZ32" s="375">
        <f t="shared" si="171"/>
        <v>3.5</v>
      </c>
      <c r="CA32" s="376">
        <f t="shared" si="46"/>
        <v>14.5</v>
      </c>
      <c r="CB32" s="373">
        <f t="shared" si="47"/>
        <v>5.7794340277777785</v>
      </c>
      <c r="CC32" s="374" t="str">
        <f t="shared" si="48"/>
        <v>(0.54)</v>
      </c>
      <c r="CD32" s="375">
        <v>2</v>
      </c>
      <c r="CE32" s="375">
        <f t="shared" si="49"/>
        <v>3.5</v>
      </c>
      <c r="CF32" s="375">
        <v>0</v>
      </c>
      <c r="CG32" s="375">
        <f t="shared" si="50"/>
        <v>0</v>
      </c>
      <c r="CH32" s="375">
        <v>0</v>
      </c>
      <c r="CI32" s="375">
        <f t="shared" si="51"/>
        <v>0</v>
      </c>
      <c r="CJ32" s="375">
        <f t="shared" si="172"/>
        <v>3.5</v>
      </c>
      <c r="CK32" s="376">
        <f t="shared" si="53"/>
        <v>20.5</v>
      </c>
      <c r="CL32" s="373">
        <f t="shared" si="54"/>
        <v>7.4709756944444443</v>
      </c>
      <c r="CM32" s="374" t="str">
        <f t="shared" si="55"/>
        <v>(0.69)</v>
      </c>
      <c r="CN32" s="375">
        <v>2</v>
      </c>
      <c r="CO32" s="375">
        <f t="shared" si="56"/>
        <v>3.5</v>
      </c>
      <c r="CP32" s="375">
        <v>0</v>
      </c>
      <c r="CQ32" s="375">
        <f t="shared" si="57"/>
        <v>0</v>
      </c>
      <c r="CR32" s="375">
        <v>0</v>
      </c>
      <c r="CS32" s="375">
        <f t="shared" si="58"/>
        <v>0</v>
      </c>
      <c r="CT32" s="375">
        <f t="shared" si="173"/>
        <v>3.5</v>
      </c>
      <c r="CU32" s="376">
        <f t="shared" si="60"/>
        <v>26.5</v>
      </c>
      <c r="CV32" s="373">
        <f t="shared" si="61"/>
        <v>9.1625173611111119</v>
      </c>
      <c r="CW32" s="374" t="str">
        <f t="shared" si="62"/>
        <v>(0.85)</v>
      </c>
      <c r="CX32" s="375">
        <v>2</v>
      </c>
      <c r="CY32" s="375">
        <f t="shared" si="63"/>
        <v>3.5</v>
      </c>
      <c r="CZ32" s="375">
        <v>0</v>
      </c>
      <c r="DA32" s="375">
        <f t="shared" si="64"/>
        <v>0</v>
      </c>
      <c r="DB32" s="375">
        <v>0</v>
      </c>
      <c r="DC32" s="375">
        <f t="shared" si="65"/>
        <v>0</v>
      </c>
      <c r="DD32" s="375">
        <f t="shared" si="174"/>
        <v>3.5</v>
      </c>
      <c r="DE32" s="376">
        <f t="shared" si="67"/>
        <v>32.5</v>
      </c>
      <c r="DF32" s="373">
        <f t="shared" si="68"/>
        <v>10.854059027777778</v>
      </c>
      <c r="DG32" s="374" t="str">
        <f t="shared" si="69"/>
        <v>(1.01)</v>
      </c>
      <c r="DH32" s="375">
        <v>2</v>
      </c>
      <c r="DI32" s="375">
        <f t="shared" si="70"/>
        <v>3.5</v>
      </c>
      <c r="DJ32" s="375">
        <v>0</v>
      </c>
      <c r="DK32" s="375">
        <f t="shared" si="71"/>
        <v>0</v>
      </c>
      <c r="DL32" s="375">
        <v>0</v>
      </c>
      <c r="DM32" s="375">
        <f t="shared" si="72"/>
        <v>0</v>
      </c>
      <c r="DN32" s="375">
        <f t="shared" si="175"/>
        <v>3.5</v>
      </c>
      <c r="DO32" s="376">
        <f t="shared" si="74"/>
        <v>38.5</v>
      </c>
      <c r="DP32" s="373">
        <f t="shared" si="75"/>
        <v>12.545600694444445</v>
      </c>
      <c r="DQ32" s="374" t="str">
        <f t="shared" si="76"/>
        <v>(1.17)</v>
      </c>
      <c r="DR32" s="375">
        <v>2</v>
      </c>
      <c r="DS32" s="375">
        <f t="shared" si="77"/>
        <v>3.5</v>
      </c>
      <c r="DT32" s="375">
        <v>0</v>
      </c>
      <c r="DU32" s="375">
        <f t="shared" si="78"/>
        <v>0</v>
      </c>
      <c r="DV32" s="375">
        <v>0</v>
      </c>
      <c r="DW32" s="375">
        <f t="shared" si="79"/>
        <v>0</v>
      </c>
      <c r="DX32" s="375">
        <f t="shared" si="176"/>
        <v>3.5</v>
      </c>
      <c r="DY32" s="376">
        <f t="shared" si="81"/>
        <v>44.5</v>
      </c>
      <c r="DZ32" s="373">
        <f t="shared" si="82"/>
        <v>13.95521875</v>
      </c>
      <c r="EA32" s="374" t="str">
        <f t="shared" si="177"/>
        <v>(1.30)</v>
      </c>
      <c r="EB32" s="375">
        <v>2</v>
      </c>
      <c r="EC32" s="375">
        <f t="shared" si="84"/>
        <v>3.5</v>
      </c>
      <c r="ED32" s="375">
        <v>0</v>
      </c>
      <c r="EE32" s="375">
        <f t="shared" si="85"/>
        <v>0</v>
      </c>
      <c r="EF32" s="375">
        <v>1</v>
      </c>
      <c r="EG32" s="375">
        <f t="shared" si="86"/>
        <v>1</v>
      </c>
      <c r="EH32" s="375">
        <f t="shared" si="178"/>
        <v>4.5</v>
      </c>
      <c r="EI32" s="376">
        <f t="shared" si="88"/>
        <v>49.5</v>
      </c>
      <c r="EJ32" s="373">
        <f t="shared" si="89"/>
        <v>15.646760416666666</v>
      </c>
      <c r="EK32" s="374" t="str">
        <f t="shared" ref="EK32:EK40" si="203">"("&amp;FIXED(EJ32*0.092903,2)&amp;")"</f>
        <v>(1.45)</v>
      </c>
      <c r="EL32" s="375">
        <v>2</v>
      </c>
      <c r="EM32" s="375">
        <f t="shared" si="91"/>
        <v>3.5</v>
      </c>
      <c r="EN32" s="375">
        <v>0</v>
      </c>
      <c r="EO32" s="375">
        <f t="shared" si="92"/>
        <v>0</v>
      </c>
      <c r="EP32" s="375">
        <v>1</v>
      </c>
      <c r="EQ32" s="375">
        <f t="shared" si="93"/>
        <v>1</v>
      </c>
      <c r="ER32" s="375">
        <f t="shared" si="180"/>
        <v>4.5</v>
      </c>
      <c r="ES32" s="376">
        <f t="shared" si="95"/>
        <v>55.5</v>
      </c>
      <c r="ET32" s="373">
        <f t="shared" si="96"/>
        <v>17.338302083333335</v>
      </c>
      <c r="EU32" s="374" t="str">
        <f t="shared" ref="EU32:EU40" si="204">"("&amp;FIXED(ET32*0.092903,2)&amp;")"</f>
        <v>(1.61)</v>
      </c>
      <c r="EV32" s="375">
        <v>2</v>
      </c>
      <c r="EW32" s="375">
        <f t="shared" si="98"/>
        <v>3.5</v>
      </c>
      <c r="EX32" s="375">
        <v>0</v>
      </c>
      <c r="EY32" s="375">
        <f t="shared" si="99"/>
        <v>0</v>
      </c>
      <c r="EZ32" s="375">
        <v>1</v>
      </c>
      <c r="FA32" s="375">
        <f t="shared" si="100"/>
        <v>1</v>
      </c>
      <c r="FB32" s="375">
        <f t="shared" si="182"/>
        <v>4.5</v>
      </c>
      <c r="FC32" s="376">
        <f t="shared" si="102"/>
        <v>61.5</v>
      </c>
      <c r="FD32" s="373">
        <f t="shared" si="103"/>
        <v>18.994603298611111</v>
      </c>
      <c r="FE32" s="374" t="str">
        <f t="shared" si="183"/>
        <v>(1.76)</v>
      </c>
      <c r="FF32" s="375">
        <v>2</v>
      </c>
      <c r="FG32" s="375">
        <f t="shared" si="105"/>
        <v>3.5</v>
      </c>
      <c r="FH32" s="375">
        <v>1</v>
      </c>
      <c r="FI32" s="375">
        <f t="shared" si="106"/>
        <v>1.125</v>
      </c>
      <c r="FJ32" s="375">
        <v>0</v>
      </c>
      <c r="FK32" s="375">
        <f t="shared" si="107"/>
        <v>0</v>
      </c>
      <c r="FL32" s="375">
        <f t="shared" si="184"/>
        <v>4.625</v>
      </c>
      <c r="FM32" s="376">
        <f t="shared" si="109"/>
        <v>67.375</v>
      </c>
      <c r="FN32" s="373">
        <f t="shared" si="110"/>
        <v>20.68614496527778</v>
      </c>
      <c r="FO32" s="374" t="str">
        <f t="shared" si="183"/>
        <v>(1.92)</v>
      </c>
      <c r="FP32" s="375">
        <v>2</v>
      </c>
      <c r="FQ32" s="375">
        <f t="shared" si="112"/>
        <v>3.5</v>
      </c>
      <c r="FR32" s="375">
        <v>1</v>
      </c>
      <c r="FS32" s="375">
        <f t="shared" si="113"/>
        <v>1.125</v>
      </c>
      <c r="FT32" s="375">
        <v>0</v>
      </c>
      <c r="FU32" s="375">
        <f t="shared" si="114"/>
        <v>0</v>
      </c>
      <c r="FV32" s="375">
        <f t="shared" si="185"/>
        <v>4.625</v>
      </c>
      <c r="FW32" s="376">
        <f t="shared" si="116"/>
        <v>73.375</v>
      </c>
      <c r="FX32" s="373">
        <f t="shared" si="117"/>
        <v>22.377686631944446</v>
      </c>
      <c r="FY32" s="374" t="str">
        <f t="shared" ref="FY32:FY33" si="205">"("&amp;FIXED(FX32*0.092903,2)&amp;")"</f>
        <v>(2.08)</v>
      </c>
      <c r="FZ32" s="375">
        <v>2</v>
      </c>
      <c r="GA32" s="375">
        <f t="shared" si="119"/>
        <v>3.5</v>
      </c>
      <c r="GB32" s="375">
        <v>1</v>
      </c>
      <c r="GC32" s="375">
        <f t="shared" si="120"/>
        <v>1.125</v>
      </c>
      <c r="GD32" s="375">
        <v>0</v>
      </c>
      <c r="GE32" s="375">
        <f t="shared" si="121"/>
        <v>0</v>
      </c>
      <c r="GF32" s="375">
        <f t="shared" si="187"/>
        <v>4.625</v>
      </c>
      <c r="GG32" s="376">
        <f t="shared" si="123"/>
        <v>79.375</v>
      </c>
      <c r="GH32" s="373">
        <f t="shared" si="124"/>
        <v>24.069228298611112</v>
      </c>
      <c r="GI32" s="374" t="str">
        <f t="shared" ref="GI32:GI33" si="206">"("&amp;FIXED(GH32*0.092903,2)&amp;")"</f>
        <v>(2.24)</v>
      </c>
      <c r="GJ32" s="375">
        <v>2</v>
      </c>
      <c r="GK32" s="375">
        <f t="shared" si="126"/>
        <v>3.5</v>
      </c>
      <c r="GL32" s="375">
        <v>1</v>
      </c>
      <c r="GM32" s="375">
        <f t="shared" si="127"/>
        <v>1.125</v>
      </c>
      <c r="GN32" s="375">
        <v>0</v>
      </c>
      <c r="GO32" s="375">
        <f t="shared" si="128"/>
        <v>0</v>
      </c>
      <c r="GP32" s="375">
        <f t="shared" si="189"/>
        <v>4.625</v>
      </c>
      <c r="GQ32" s="376">
        <f t="shared" si="130"/>
        <v>85.375</v>
      </c>
      <c r="GR32" s="373">
        <f t="shared" si="131"/>
        <v>25.760769965277778</v>
      </c>
      <c r="GS32" s="374" t="str">
        <f t="shared" ref="GS32:GS33" si="207">"("&amp;FIXED(GR32*0.092903,2)&amp;")"</f>
        <v>(2.39)</v>
      </c>
      <c r="GT32" s="375">
        <v>2</v>
      </c>
      <c r="GU32" s="375">
        <f t="shared" si="133"/>
        <v>3.5</v>
      </c>
      <c r="GV32" s="375">
        <v>1</v>
      </c>
      <c r="GW32" s="375">
        <f t="shared" si="134"/>
        <v>1.125</v>
      </c>
      <c r="GX32" s="375">
        <v>0</v>
      </c>
      <c r="GY32" s="375">
        <f t="shared" si="135"/>
        <v>0</v>
      </c>
      <c r="GZ32" s="375">
        <f t="shared" si="191"/>
        <v>4.625</v>
      </c>
      <c r="HA32" s="376">
        <f t="shared" si="137"/>
        <v>91.375</v>
      </c>
      <c r="HB32" s="373">
        <f t="shared" si="138"/>
        <v>27.452311631944447</v>
      </c>
      <c r="HC32" s="374" t="str">
        <f t="shared" ref="HC32:HC33" si="208">"("&amp;FIXED(HB32*0.092903,2)&amp;")"</f>
        <v>(2.55)</v>
      </c>
      <c r="HD32" s="375">
        <v>2</v>
      </c>
      <c r="HE32" s="375">
        <f t="shared" si="140"/>
        <v>3.5</v>
      </c>
      <c r="HF32" s="375">
        <v>1</v>
      </c>
      <c r="HG32" s="375">
        <f t="shared" si="141"/>
        <v>1.125</v>
      </c>
      <c r="HH32" s="375">
        <v>0</v>
      </c>
      <c r="HI32" s="375">
        <f t="shared" si="142"/>
        <v>0</v>
      </c>
      <c r="HJ32" s="375">
        <f t="shared" si="193"/>
        <v>4.625</v>
      </c>
      <c r="HK32" s="376">
        <f t="shared" si="144"/>
        <v>97.375</v>
      </c>
      <c r="HL32" s="373">
        <f t="shared" si="145"/>
        <v>28.580006076388891</v>
      </c>
      <c r="HM32" s="374" t="str">
        <f t="shared" si="194"/>
        <v>(2.66)</v>
      </c>
      <c r="HN32" s="375">
        <v>2</v>
      </c>
      <c r="HO32" s="375">
        <f t="shared" si="147"/>
        <v>3.5</v>
      </c>
      <c r="HP32" s="375">
        <v>1</v>
      </c>
      <c r="HQ32" s="375">
        <f t="shared" si="148"/>
        <v>1.125</v>
      </c>
      <c r="HR32" s="375">
        <v>2</v>
      </c>
      <c r="HS32" s="375">
        <f t="shared" si="149"/>
        <v>2</v>
      </c>
      <c r="HT32" s="375">
        <f t="shared" si="195"/>
        <v>6.625</v>
      </c>
      <c r="HU32" s="376">
        <f t="shared" si="151"/>
        <v>101.375</v>
      </c>
      <c r="HV32" s="373">
        <f t="shared" si="152"/>
        <v>30.27154774305556</v>
      </c>
      <c r="HW32" s="374" t="str">
        <f t="shared" ref="HW32:HW33" si="209">"("&amp;FIXED(HV32*0.092903,2)&amp;")"</f>
        <v>(2.81)</v>
      </c>
      <c r="HX32" s="375">
        <v>2</v>
      </c>
      <c r="HY32" s="375">
        <f t="shared" si="154"/>
        <v>3.5</v>
      </c>
      <c r="HZ32" s="375">
        <v>1</v>
      </c>
      <c r="IA32" s="375">
        <f t="shared" si="155"/>
        <v>1.125</v>
      </c>
      <c r="IB32" s="375">
        <v>2</v>
      </c>
      <c r="IC32" s="375">
        <f t="shared" si="156"/>
        <v>2</v>
      </c>
      <c r="ID32" s="375">
        <f t="shared" si="197"/>
        <v>6.625</v>
      </c>
      <c r="IE32" s="376">
        <f t="shared" si="158"/>
        <v>107.375</v>
      </c>
      <c r="IF32" s="373">
        <f t="shared" si="159"/>
        <v>31.963089409722222</v>
      </c>
      <c r="IG32" s="374" t="str">
        <f t="shared" ref="IG32:IG33" si="210">"("&amp;FIXED(IF32*0.092903,2)&amp;")"</f>
        <v>(2.97)</v>
      </c>
      <c r="IH32" s="22">
        <v>2</v>
      </c>
      <c r="II32" s="22">
        <f t="shared" si="161"/>
        <v>3.5</v>
      </c>
      <c r="IJ32" s="22">
        <v>1</v>
      </c>
      <c r="IK32" s="22">
        <f t="shared" si="162"/>
        <v>1.125</v>
      </c>
      <c r="IL32" s="22">
        <v>2</v>
      </c>
      <c r="IM32" s="22">
        <f t="shared" si="163"/>
        <v>2</v>
      </c>
      <c r="IN32" s="22">
        <f t="shared" si="199"/>
        <v>6.625</v>
      </c>
      <c r="IO32" s="23">
        <f t="shared" si="165"/>
        <v>113.375</v>
      </c>
      <c r="IP32" s="24"/>
      <c r="IQ32" s="25">
        <v>15</v>
      </c>
      <c r="IR32" s="26">
        <v>2.6549999999999998</v>
      </c>
      <c r="IS32" s="26">
        <v>2.6469999999999998</v>
      </c>
      <c r="IT32" s="26">
        <v>0.88400000000000001</v>
      </c>
      <c r="IU32" s="26">
        <v>1.75</v>
      </c>
      <c r="IV32" s="26">
        <v>1</v>
      </c>
      <c r="IW32" s="26">
        <v>1.125</v>
      </c>
      <c r="IX32" s="8"/>
    </row>
    <row r="33" spans="2:258" ht="15.75" thickBot="1" x14ac:dyDescent="0.3">
      <c r="B33" s="103">
        <f t="shared" si="25"/>
        <v>90</v>
      </c>
      <c r="C33" s="221">
        <v>16</v>
      </c>
      <c r="D33" s="98">
        <f t="shared" si="1"/>
        <v>0.38349938271604939</v>
      </c>
      <c r="E33" s="96">
        <f t="shared" si="2"/>
        <v>0.44451064814814811</v>
      </c>
      <c r="F33" s="96">
        <f t="shared" si="3"/>
        <v>0.50552191358024701</v>
      </c>
      <c r="G33" s="96">
        <f t="shared" si="4"/>
        <v>0.53602754629629634</v>
      </c>
      <c r="H33" s="96">
        <f t="shared" si="5"/>
        <v>0.55433092592592592</v>
      </c>
      <c r="I33" s="96">
        <f t="shared" si="6"/>
        <v>0.56653317901234557</v>
      </c>
      <c r="J33" s="96">
        <f t="shared" si="7"/>
        <v>0.575249074074074</v>
      </c>
      <c r="K33" s="96">
        <f t="shared" si="8"/>
        <v>0.58178599537037046</v>
      </c>
      <c r="L33" s="96">
        <f t="shared" si="9"/>
        <v>0.57524907407407411</v>
      </c>
      <c r="M33" s="96">
        <f t="shared" si="10"/>
        <v>0.5804786111111111</v>
      </c>
      <c r="N33" s="96">
        <f t="shared" si="11"/>
        <v>0.58475732323232321</v>
      </c>
      <c r="O33" s="96">
        <f t="shared" si="12"/>
        <v>0.58723342978395066</v>
      </c>
      <c r="P33" s="238"/>
      <c r="Q33" s="238"/>
      <c r="R33" s="238"/>
      <c r="S33" s="238"/>
      <c r="T33" s="238"/>
      <c r="U33" s="238"/>
      <c r="V33" s="238"/>
      <c r="W33" s="238"/>
      <c r="X33" s="96"/>
      <c r="Y33" s="65"/>
      <c r="AT33" s="4"/>
      <c r="AU33" s="14">
        <f t="shared" si="200"/>
        <v>72</v>
      </c>
      <c r="AV33" s="12" t="str">
        <f t="shared" si="166"/>
        <v>(1850)</v>
      </c>
      <c r="AW33" s="19">
        <f t="shared" si="201"/>
        <v>18</v>
      </c>
      <c r="AX33" s="20">
        <f t="shared" si="26"/>
        <v>1.6978194444444443</v>
      </c>
      <c r="AY33" s="21" t="str">
        <f t="shared" si="202"/>
        <v>(0.16)</v>
      </c>
      <c r="AZ33" s="22">
        <v>2</v>
      </c>
      <c r="BA33" s="22">
        <f t="shared" si="28"/>
        <v>3.5</v>
      </c>
      <c r="BB33" s="22">
        <v>0</v>
      </c>
      <c r="BC33" s="22">
        <f t="shared" si="29"/>
        <v>0</v>
      </c>
      <c r="BD33" s="22">
        <v>0</v>
      </c>
      <c r="BE33" s="22">
        <f t="shared" si="30"/>
        <v>0</v>
      </c>
      <c r="BF33" s="22">
        <f t="shared" si="168"/>
        <v>3.5</v>
      </c>
      <c r="BG33" s="23">
        <f t="shared" si="32"/>
        <v>5.5</v>
      </c>
      <c r="BH33" s="373">
        <f t="shared" si="33"/>
        <v>2.6239027777777775</v>
      </c>
      <c r="BI33" s="374" t="str">
        <f t="shared" si="169"/>
        <v>(0.24)</v>
      </c>
      <c r="BJ33" s="375">
        <v>2</v>
      </c>
      <c r="BK33" s="375">
        <f t="shared" si="35"/>
        <v>3.5</v>
      </c>
      <c r="BL33" s="375">
        <v>0</v>
      </c>
      <c r="BM33" s="375">
        <f t="shared" si="36"/>
        <v>0</v>
      </c>
      <c r="BN33" s="375">
        <v>0</v>
      </c>
      <c r="BO33" s="375">
        <f t="shared" si="37"/>
        <v>0</v>
      </c>
      <c r="BP33" s="375">
        <f t="shared" si="170"/>
        <v>3.5</v>
      </c>
      <c r="BQ33" s="376">
        <f t="shared" si="39"/>
        <v>8.5</v>
      </c>
      <c r="BR33" s="373">
        <f t="shared" si="40"/>
        <v>4.4760694444444447</v>
      </c>
      <c r="BS33" s="374" t="str">
        <f t="shared" si="41"/>
        <v>(0.42)</v>
      </c>
      <c r="BT33" s="375">
        <v>2</v>
      </c>
      <c r="BU33" s="375">
        <f t="shared" si="42"/>
        <v>3.5</v>
      </c>
      <c r="BV33" s="375">
        <v>0</v>
      </c>
      <c r="BW33" s="375">
        <f t="shared" si="43"/>
        <v>0</v>
      </c>
      <c r="BX33" s="375">
        <v>0</v>
      </c>
      <c r="BY33" s="375">
        <f t="shared" si="44"/>
        <v>0</v>
      </c>
      <c r="BZ33" s="375">
        <f t="shared" si="171"/>
        <v>3.5</v>
      </c>
      <c r="CA33" s="376">
        <f t="shared" si="46"/>
        <v>14.5</v>
      </c>
      <c r="CB33" s="373">
        <f t="shared" si="47"/>
        <v>6.328236111111111</v>
      </c>
      <c r="CC33" s="374" t="str">
        <f t="shared" si="48"/>
        <v>(0.59)</v>
      </c>
      <c r="CD33" s="375">
        <v>2</v>
      </c>
      <c r="CE33" s="375">
        <f t="shared" si="49"/>
        <v>3.5</v>
      </c>
      <c r="CF33" s="375">
        <v>0</v>
      </c>
      <c r="CG33" s="375">
        <f t="shared" si="50"/>
        <v>0</v>
      </c>
      <c r="CH33" s="375">
        <v>0</v>
      </c>
      <c r="CI33" s="375">
        <f t="shared" si="51"/>
        <v>0</v>
      </c>
      <c r="CJ33" s="375">
        <f t="shared" si="172"/>
        <v>3.5</v>
      </c>
      <c r="CK33" s="376">
        <f t="shared" si="53"/>
        <v>20.5</v>
      </c>
      <c r="CL33" s="373">
        <f t="shared" si="54"/>
        <v>8.180402777777779</v>
      </c>
      <c r="CM33" s="374" t="str">
        <f t="shared" si="55"/>
        <v>(0.76)</v>
      </c>
      <c r="CN33" s="375">
        <v>2</v>
      </c>
      <c r="CO33" s="375">
        <f t="shared" si="56"/>
        <v>3.5</v>
      </c>
      <c r="CP33" s="375">
        <v>0</v>
      </c>
      <c r="CQ33" s="375">
        <f t="shared" si="57"/>
        <v>0</v>
      </c>
      <c r="CR33" s="375">
        <v>0</v>
      </c>
      <c r="CS33" s="375">
        <f t="shared" si="58"/>
        <v>0</v>
      </c>
      <c r="CT33" s="375">
        <f t="shared" si="173"/>
        <v>3.5</v>
      </c>
      <c r="CU33" s="376">
        <f t="shared" si="60"/>
        <v>26.5</v>
      </c>
      <c r="CV33" s="373">
        <f t="shared" si="61"/>
        <v>10.032569444444444</v>
      </c>
      <c r="CW33" s="374" t="str">
        <f t="shared" si="62"/>
        <v>(0.93)</v>
      </c>
      <c r="CX33" s="375">
        <v>2</v>
      </c>
      <c r="CY33" s="375">
        <f t="shared" si="63"/>
        <v>3.5</v>
      </c>
      <c r="CZ33" s="375">
        <v>0</v>
      </c>
      <c r="DA33" s="375">
        <f t="shared" si="64"/>
        <v>0</v>
      </c>
      <c r="DB33" s="375">
        <v>0</v>
      </c>
      <c r="DC33" s="375">
        <f t="shared" si="65"/>
        <v>0</v>
      </c>
      <c r="DD33" s="375">
        <f t="shared" si="174"/>
        <v>3.5</v>
      </c>
      <c r="DE33" s="376">
        <f t="shared" si="67"/>
        <v>32.5</v>
      </c>
      <c r="DF33" s="373">
        <f t="shared" si="68"/>
        <v>11.884736111111112</v>
      </c>
      <c r="DG33" s="374" t="str">
        <f t="shared" si="69"/>
        <v>(1.1)</v>
      </c>
      <c r="DH33" s="375">
        <v>2</v>
      </c>
      <c r="DI33" s="375">
        <f t="shared" si="70"/>
        <v>3.5</v>
      </c>
      <c r="DJ33" s="375">
        <v>0</v>
      </c>
      <c r="DK33" s="375">
        <f t="shared" si="71"/>
        <v>0</v>
      </c>
      <c r="DL33" s="375">
        <v>0</v>
      </c>
      <c r="DM33" s="375">
        <f t="shared" si="72"/>
        <v>0</v>
      </c>
      <c r="DN33" s="375">
        <f t="shared" si="175"/>
        <v>3.5</v>
      </c>
      <c r="DO33" s="376">
        <f t="shared" si="74"/>
        <v>38.5</v>
      </c>
      <c r="DP33" s="373">
        <f t="shared" si="75"/>
        <v>13.736902777777779</v>
      </c>
      <c r="DQ33" s="374" t="str">
        <f t="shared" si="76"/>
        <v>(1.28)</v>
      </c>
      <c r="DR33" s="375">
        <v>2</v>
      </c>
      <c r="DS33" s="375">
        <f t="shared" si="77"/>
        <v>3.5</v>
      </c>
      <c r="DT33" s="375">
        <v>0</v>
      </c>
      <c r="DU33" s="375">
        <f t="shared" si="78"/>
        <v>0</v>
      </c>
      <c r="DV33" s="375">
        <v>0</v>
      </c>
      <c r="DW33" s="375">
        <f t="shared" si="79"/>
        <v>0</v>
      </c>
      <c r="DX33" s="375">
        <f t="shared" si="176"/>
        <v>3.5</v>
      </c>
      <c r="DY33" s="376">
        <f t="shared" si="81"/>
        <v>44.5</v>
      </c>
      <c r="DZ33" s="373">
        <f t="shared" si="82"/>
        <v>15.280374999999999</v>
      </c>
      <c r="EA33" s="374" t="str">
        <f t="shared" si="177"/>
        <v>(1.42)</v>
      </c>
      <c r="EB33" s="375">
        <v>2</v>
      </c>
      <c r="EC33" s="375">
        <f t="shared" si="84"/>
        <v>3.5</v>
      </c>
      <c r="ED33" s="375">
        <v>0</v>
      </c>
      <c r="EE33" s="375">
        <f t="shared" si="85"/>
        <v>0</v>
      </c>
      <c r="EF33" s="375">
        <v>1</v>
      </c>
      <c r="EG33" s="375">
        <f t="shared" si="86"/>
        <v>1</v>
      </c>
      <c r="EH33" s="375">
        <f t="shared" si="178"/>
        <v>4.5</v>
      </c>
      <c r="EI33" s="376">
        <f t="shared" si="88"/>
        <v>49.5</v>
      </c>
      <c r="EJ33" s="373">
        <f t="shared" si="89"/>
        <v>17.132541666666665</v>
      </c>
      <c r="EK33" s="374" t="str">
        <f t="shared" si="203"/>
        <v>(1.59)</v>
      </c>
      <c r="EL33" s="375">
        <v>2</v>
      </c>
      <c r="EM33" s="375">
        <f t="shared" si="91"/>
        <v>3.5</v>
      </c>
      <c r="EN33" s="375">
        <v>0</v>
      </c>
      <c r="EO33" s="375">
        <f t="shared" si="92"/>
        <v>0</v>
      </c>
      <c r="EP33" s="375">
        <v>1</v>
      </c>
      <c r="EQ33" s="375">
        <f t="shared" si="93"/>
        <v>1</v>
      </c>
      <c r="ER33" s="375">
        <f t="shared" si="180"/>
        <v>4.5</v>
      </c>
      <c r="ES33" s="376">
        <f t="shared" si="95"/>
        <v>55.5</v>
      </c>
      <c r="ET33" s="373">
        <f t="shared" si="96"/>
        <v>18.98470833333333</v>
      </c>
      <c r="EU33" s="374" t="str">
        <f t="shared" si="204"/>
        <v>(1.76)</v>
      </c>
      <c r="EV33" s="375">
        <v>2</v>
      </c>
      <c r="EW33" s="375">
        <f t="shared" si="98"/>
        <v>3.5</v>
      </c>
      <c r="EX33" s="375">
        <v>0</v>
      </c>
      <c r="EY33" s="375">
        <f t="shared" si="99"/>
        <v>0</v>
      </c>
      <c r="EZ33" s="375">
        <v>1</v>
      </c>
      <c r="FA33" s="375">
        <f t="shared" si="100"/>
        <v>1</v>
      </c>
      <c r="FB33" s="375">
        <f t="shared" si="182"/>
        <v>4.5</v>
      </c>
      <c r="FC33" s="376">
        <f t="shared" si="102"/>
        <v>61.5</v>
      </c>
      <c r="FD33" s="373">
        <f t="shared" si="103"/>
        <v>20.798288194444446</v>
      </c>
      <c r="FE33" s="374" t="str">
        <f t="shared" si="183"/>
        <v>(1.93)</v>
      </c>
      <c r="FF33" s="375">
        <v>2</v>
      </c>
      <c r="FG33" s="375">
        <f t="shared" si="105"/>
        <v>3.5</v>
      </c>
      <c r="FH33" s="375">
        <v>1</v>
      </c>
      <c r="FI33" s="375">
        <f t="shared" si="106"/>
        <v>1.125</v>
      </c>
      <c r="FJ33" s="375">
        <v>0</v>
      </c>
      <c r="FK33" s="375">
        <f t="shared" si="107"/>
        <v>0</v>
      </c>
      <c r="FL33" s="375">
        <f t="shared" si="184"/>
        <v>4.625</v>
      </c>
      <c r="FM33" s="376">
        <f t="shared" si="109"/>
        <v>67.375</v>
      </c>
      <c r="FN33" s="373">
        <f t="shared" si="110"/>
        <v>22.650454861111111</v>
      </c>
      <c r="FO33" s="374" t="str">
        <f t="shared" si="183"/>
        <v>(2.10)</v>
      </c>
      <c r="FP33" s="375">
        <v>2</v>
      </c>
      <c r="FQ33" s="375">
        <f t="shared" si="112"/>
        <v>3.5</v>
      </c>
      <c r="FR33" s="375">
        <v>1</v>
      </c>
      <c r="FS33" s="375">
        <f t="shared" si="113"/>
        <v>1.125</v>
      </c>
      <c r="FT33" s="375">
        <v>0</v>
      </c>
      <c r="FU33" s="375">
        <f t="shared" si="114"/>
        <v>0</v>
      </c>
      <c r="FV33" s="375">
        <f t="shared" si="185"/>
        <v>4.625</v>
      </c>
      <c r="FW33" s="376">
        <f t="shared" si="116"/>
        <v>73.375</v>
      </c>
      <c r="FX33" s="373">
        <f t="shared" si="117"/>
        <v>24.502621527777777</v>
      </c>
      <c r="FY33" s="374" t="str">
        <f t="shared" si="205"/>
        <v>(2.28)</v>
      </c>
      <c r="FZ33" s="375">
        <v>2</v>
      </c>
      <c r="GA33" s="375">
        <f t="shared" si="119"/>
        <v>3.5</v>
      </c>
      <c r="GB33" s="375">
        <v>1</v>
      </c>
      <c r="GC33" s="375">
        <f t="shared" si="120"/>
        <v>1.125</v>
      </c>
      <c r="GD33" s="375">
        <v>0</v>
      </c>
      <c r="GE33" s="375">
        <f t="shared" si="121"/>
        <v>0</v>
      </c>
      <c r="GF33" s="375">
        <f t="shared" si="187"/>
        <v>4.625</v>
      </c>
      <c r="GG33" s="376">
        <f t="shared" si="123"/>
        <v>79.375</v>
      </c>
      <c r="GH33" s="373">
        <f t="shared" si="124"/>
        <v>26.354788194444446</v>
      </c>
      <c r="GI33" s="374" t="str">
        <f t="shared" si="206"/>
        <v>(2.45)</v>
      </c>
      <c r="GJ33" s="375">
        <v>2</v>
      </c>
      <c r="GK33" s="375">
        <f t="shared" si="126"/>
        <v>3.5</v>
      </c>
      <c r="GL33" s="375">
        <v>1</v>
      </c>
      <c r="GM33" s="375">
        <f t="shared" si="127"/>
        <v>1.125</v>
      </c>
      <c r="GN33" s="375">
        <v>0</v>
      </c>
      <c r="GO33" s="375">
        <f t="shared" si="128"/>
        <v>0</v>
      </c>
      <c r="GP33" s="375">
        <f t="shared" si="189"/>
        <v>4.625</v>
      </c>
      <c r="GQ33" s="376">
        <f t="shared" si="130"/>
        <v>85.375</v>
      </c>
      <c r="GR33" s="373">
        <f t="shared" si="131"/>
        <v>28.206954861111111</v>
      </c>
      <c r="GS33" s="374" t="str">
        <f t="shared" si="207"/>
        <v>(2.62)</v>
      </c>
      <c r="GT33" s="375">
        <v>2</v>
      </c>
      <c r="GU33" s="375">
        <f t="shared" si="133"/>
        <v>3.5</v>
      </c>
      <c r="GV33" s="375">
        <v>1</v>
      </c>
      <c r="GW33" s="375">
        <f t="shared" si="134"/>
        <v>1.125</v>
      </c>
      <c r="GX33" s="375">
        <v>0</v>
      </c>
      <c r="GY33" s="375">
        <f t="shared" si="135"/>
        <v>0</v>
      </c>
      <c r="GZ33" s="375">
        <f t="shared" si="191"/>
        <v>4.625</v>
      </c>
      <c r="HA33" s="376">
        <f t="shared" si="137"/>
        <v>91.375</v>
      </c>
      <c r="HB33" s="373">
        <f t="shared" si="138"/>
        <v>30.059121527777776</v>
      </c>
      <c r="HC33" s="374" t="str">
        <f t="shared" si="208"/>
        <v>(2.79)</v>
      </c>
      <c r="HD33" s="375">
        <v>2</v>
      </c>
      <c r="HE33" s="375">
        <f t="shared" si="140"/>
        <v>3.5</v>
      </c>
      <c r="HF33" s="375">
        <v>1</v>
      </c>
      <c r="HG33" s="375">
        <f t="shared" si="141"/>
        <v>1.125</v>
      </c>
      <c r="HH33" s="375">
        <v>0</v>
      </c>
      <c r="HI33" s="375">
        <f t="shared" si="142"/>
        <v>0</v>
      </c>
      <c r="HJ33" s="375">
        <f t="shared" si="193"/>
        <v>4.625</v>
      </c>
      <c r="HK33" s="376">
        <f t="shared" si="144"/>
        <v>97.375</v>
      </c>
      <c r="HL33" s="373">
        <f t="shared" si="145"/>
        <v>31.293899305555556</v>
      </c>
      <c r="HM33" s="374" t="str">
        <f t="shared" si="194"/>
        <v>(2.91)</v>
      </c>
      <c r="HN33" s="375">
        <v>2</v>
      </c>
      <c r="HO33" s="375">
        <f t="shared" si="147"/>
        <v>3.5</v>
      </c>
      <c r="HP33" s="375">
        <v>1</v>
      </c>
      <c r="HQ33" s="375">
        <f t="shared" si="148"/>
        <v>1.125</v>
      </c>
      <c r="HR33" s="375">
        <v>2</v>
      </c>
      <c r="HS33" s="375">
        <f t="shared" si="149"/>
        <v>2</v>
      </c>
      <c r="HT33" s="375">
        <f t="shared" si="195"/>
        <v>6.625</v>
      </c>
      <c r="HU33" s="376">
        <f t="shared" si="151"/>
        <v>101.375</v>
      </c>
      <c r="HV33" s="373">
        <f t="shared" si="152"/>
        <v>33.146065972222218</v>
      </c>
      <c r="HW33" s="374" t="str">
        <f t="shared" si="209"/>
        <v>(3.08)</v>
      </c>
      <c r="HX33" s="375">
        <v>2</v>
      </c>
      <c r="HY33" s="375">
        <f t="shared" si="154"/>
        <v>3.5</v>
      </c>
      <c r="HZ33" s="375">
        <v>1</v>
      </c>
      <c r="IA33" s="375">
        <f t="shared" si="155"/>
        <v>1.125</v>
      </c>
      <c r="IB33" s="375">
        <v>2</v>
      </c>
      <c r="IC33" s="375">
        <f t="shared" si="156"/>
        <v>2</v>
      </c>
      <c r="ID33" s="375">
        <f t="shared" si="197"/>
        <v>6.625</v>
      </c>
      <c r="IE33" s="376">
        <f t="shared" si="158"/>
        <v>107.375</v>
      </c>
      <c r="IF33" s="373">
        <f t="shared" si="159"/>
        <v>34.998232638888886</v>
      </c>
      <c r="IG33" s="374" t="str">
        <f t="shared" si="210"/>
        <v>(3.25)</v>
      </c>
      <c r="IH33" s="22">
        <v>2</v>
      </c>
      <c r="II33" s="22">
        <f t="shared" si="161"/>
        <v>3.5</v>
      </c>
      <c r="IJ33" s="22">
        <v>1</v>
      </c>
      <c r="IK33" s="22">
        <f t="shared" si="162"/>
        <v>1.125</v>
      </c>
      <c r="IL33" s="22">
        <v>2</v>
      </c>
      <c r="IM33" s="22">
        <f t="shared" si="163"/>
        <v>2</v>
      </c>
      <c r="IN33" s="22">
        <f t="shared" si="199"/>
        <v>6.625</v>
      </c>
      <c r="IO33" s="23">
        <f t="shared" si="165"/>
        <v>113.375</v>
      </c>
      <c r="IP33" s="24"/>
      <c r="IQ33" s="25">
        <v>16</v>
      </c>
      <c r="IR33" s="26">
        <v>2.6549999999999998</v>
      </c>
      <c r="IS33" s="26">
        <v>2.6469999999999998</v>
      </c>
      <c r="IT33" s="26">
        <v>2.0920000000000001</v>
      </c>
      <c r="IU33" s="26">
        <v>1.75</v>
      </c>
      <c r="IV33" s="26">
        <v>1</v>
      </c>
      <c r="IW33" s="26">
        <v>1.125</v>
      </c>
      <c r="IX33" s="8"/>
    </row>
    <row r="34" spans="2:258" ht="15.75" thickBot="1" x14ac:dyDescent="0.3">
      <c r="B34" s="103">
        <f t="shared" si="25"/>
        <v>96</v>
      </c>
      <c r="C34" s="226">
        <v>17</v>
      </c>
      <c r="D34" s="98">
        <f t="shared" si="1"/>
        <v>0.38407060185185182</v>
      </c>
      <c r="E34" s="96">
        <f t="shared" si="2"/>
        <v>0.44517274305555549</v>
      </c>
      <c r="F34" s="96">
        <f t="shared" si="3"/>
        <v>0.50627488425925926</v>
      </c>
      <c r="G34" s="96">
        <f t="shared" si="4"/>
        <v>0.53682595486111107</v>
      </c>
      <c r="H34" s="96">
        <f t="shared" si="5"/>
        <v>0.55515659722222221</v>
      </c>
      <c r="I34" s="96">
        <f t="shared" si="6"/>
        <v>0.56737702546296287</v>
      </c>
      <c r="J34" s="96">
        <f t="shared" si="7"/>
        <v>0.57610590277777773</v>
      </c>
      <c r="K34" s="96">
        <f t="shared" si="8"/>
        <v>0.58265256076388883</v>
      </c>
      <c r="L34" s="96">
        <f t="shared" si="9"/>
        <v>0.57610590277777773</v>
      </c>
      <c r="M34" s="96">
        <f t="shared" si="10"/>
        <v>0.5813432291666667</v>
      </c>
      <c r="N34" s="96">
        <f t="shared" si="11"/>
        <v>0.58562831439393936</v>
      </c>
      <c r="O34" s="96">
        <f t="shared" si="12"/>
        <v>0.58810810908564815</v>
      </c>
      <c r="P34" s="238"/>
      <c r="Q34" s="238"/>
      <c r="R34" s="238"/>
      <c r="S34" s="238"/>
      <c r="T34" s="238"/>
      <c r="U34" s="238"/>
      <c r="V34" s="238"/>
      <c r="W34" s="238"/>
      <c r="X34" s="96"/>
      <c r="Y34" s="65"/>
      <c r="AT34" s="4"/>
      <c r="AU34" s="14">
        <f t="shared" si="200"/>
        <v>78</v>
      </c>
      <c r="AV34" s="12" t="str">
        <f t="shared" si="166"/>
        <v>(2000)</v>
      </c>
      <c r="AW34" s="19">
        <f t="shared" si="201"/>
        <v>19</v>
      </c>
      <c r="AX34" s="20">
        <f t="shared" si="26"/>
        <v>1.8538819444444445</v>
      </c>
      <c r="AY34" s="21" t="str">
        <f t="shared" si="202"/>
        <v>(0.17)</v>
      </c>
      <c r="AZ34" s="22">
        <v>2</v>
      </c>
      <c r="BA34" s="22">
        <f t="shared" si="28"/>
        <v>3.5</v>
      </c>
      <c r="BB34" s="22">
        <v>0</v>
      </c>
      <c r="BC34" s="22">
        <f t="shared" si="29"/>
        <v>0</v>
      </c>
      <c r="BD34" s="22">
        <v>0</v>
      </c>
      <c r="BE34" s="22">
        <f t="shared" si="30"/>
        <v>0</v>
      </c>
      <c r="BF34" s="22">
        <f t="shared" si="168"/>
        <v>3.5</v>
      </c>
      <c r="BG34" s="23">
        <f t="shared" si="32"/>
        <v>5.5</v>
      </c>
      <c r="BH34" s="373">
        <f t="shared" si="33"/>
        <v>2.8650902777777776</v>
      </c>
      <c r="BI34" s="374" t="str">
        <f t="shared" si="169"/>
        <v>(0.27)</v>
      </c>
      <c r="BJ34" s="375">
        <v>2</v>
      </c>
      <c r="BK34" s="375">
        <f t="shared" si="35"/>
        <v>3.5</v>
      </c>
      <c r="BL34" s="375">
        <v>0</v>
      </c>
      <c r="BM34" s="375">
        <f t="shared" si="36"/>
        <v>0</v>
      </c>
      <c r="BN34" s="375">
        <v>0</v>
      </c>
      <c r="BO34" s="375">
        <f t="shared" si="37"/>
        <v>0</v>
      </c>
      <c r="BP34" s="375">
        <f t="shared" si="170"/>
        <v>3.5</v>
      </c>
      <c r="BQ34" s="376">
        <f t="shared" si="39"/>
        <v>8.5</v>
      </c>
      <c r="BR34" s="373">
        <f t="shared" si="40"/>
        <v>4.8875069444444437</v>
      </c>
      <c r="BS34" s="374" t="str">
        <f t="shared" si="41"/>
        <v>(0.45)</v>
      </c>
      <c r="BT34" s="375">
        <v>2</v>
      </c>
      <c r="BU34" s="375">
        <f t="shared" si="42"/>
        <v>3.5</v>
      </c>
      <c r="BV34" s="375">
        <v>0</v>
      </c>
      <c r="BW34" s="375">
        <f t="shared" si="43"/>
        <v>0</v>
      </c>
      <c r="BX34" s="375">
        <v>0</v>
      </c>
      <c r="BY34" s="375">
        <f t="shared" si="44"/>
        <v>0</v>
      </c>
      <c r="BZ34" s="375">
        <f t="shared" si="171"/>
        <v>3.5</v>
      </c>
      <c r="CA34" s="376">
        <f t="shared" si="46"/>
        <v>14.5</v>
      </c>
      <c r="CB34" s="373">
        <f t="shared" si="47"/>
        <v>6.9099236111111102</v>
      </c>
      <c r="CC34" s="374" t="str">
        <f t="shared" si="48"/>
        <v>(0.64)</v>
      </c>
      <c r="CD34" s="375">
        <v>2</v>
      </c>
      <c r="CE34" s="375">
        <f t="shared" si="49"/>
        <v>3.5</v>
      </c>
      <c r="CF34" s="375">
        <v>0</v>
      </c>
      <c r="CG34" s="375">
        <f t="shared" si="50"/>
        <v>0</v>
      </c>
      <c r="CH34" s="375">
        <v>0</v>
      </c>
      <c r="CI34" s="375">
        <f t="shared" si="51"/>
        <v>0</v>
      </c>
      <c r="CJ34" s="375">
        <f t="shared" si="172"/>
        <v>3.5</v>
      </c>
      <c r="CK34" s="376">
        <f t="shared" si="53"/>
        <v>20.5</v>
      </c>
      <c r="CL34" s="373">
        <f t="shared" si="54"/>
        <v>8.9323402777777758</v>
      </c>
      <c r="CM34" s="374" t="str">
        <f t="shared" si="55"/>
        <v>(0.83)</v>
      </c>
      <c r="CN34" s="375">
        <v>2</v>
      </c>
      <c r="CO34" s="375">
        <f t="shared" si="56"/>
        <v>3.5</v>
      </c>
      <c r="CP34" s="375">
        <v>0</v>
      </c>
      <c r="CQ34" s="375">
        <f t="shared" si="57"/>
        <v>0</v>
      </c>
      <c r="CR34" s="375">
        <v>0</v>
      </c>
      <c r="CS34" s="375">
        <f t="shared" si="58"/>
        <v>0</v>
      </c>
      <c r="CT34" s="375">
        <f t="shared" si="173"/>
        <v>3.5</v>
      </c>
      <c r="CU34" s="376">
        <f t="shared" si="60"/>
        <v>26.5</v>
      </c>
      <c r="CV34" s="373">
        <f t="shared" si="61"/>
        <v>10.954756944444444</v>
      </c>
      <c r="CW34" s="374" t="str">
        <f t="shared" si="62"/>
        <v>(1.02)</v>
      </c>
      <c r="CX34" s="375">
        <v>2</v>
      </c>
      <c r="CY34" s="375">
        <f t="shared" si="63"/>
        <v>3.5</v>
      </c>
      <c r="CZ34" s="375">
        <v>0</v>
      </c>
      <c r="DA34" s="375">
        <f t="shared" si="64"/>
        <v>0</v>
      </c>
      <c r="DB34" s="375">
        <v>0</v>
      </c>
      <c r="DC34" s="375">
        <f t="shared" si="65"/>
        <v>0</v>
      </c>
      <c r="DD34" s="375">
        <f t="shared" si="174"/>
        <v>3.5</v>
      </c>
      <c r="DE34" s="376">
        <f t="shared" si="67"/>
        <v>32.5</v>
      </c>
      <c r="DF34" s="373">
        <f t="shared" si="68"/>
        <v>12.977173611111111</v>
      </c>
      <c r="DG34" s="374" t="str">
        <f t="shared" si="69"/>
        <v>(1.21)</v>
      </c>
      <c r="DH34" s="375">
        <v>2</v>
      </c>
      <c r="DI34" s="375">
        <f t="shared" si="70"/>
        <v>3.5</v>
      </c>
      <c r="DJ34" s="375">
        <v>0</v>
      </c>
      <c r="DK34" s="375">
        <f t="shared" si="71"/>
        <v>0</v>
      </c>
      <c r="DL34" s="375">
        <v>0</v>
      </c>
      <c r="DM34" s="375">
        <f t="shared" si="72"/>
        <v>0</v>
      </c>
      <c r="DN34" s="375">
        <f t="shared" si="175"/>
        <v>3.5</v>
      </c>
      <c r="DO34" s="376">
        <f t="shared" si="74"/>
        <v>38.5</v>
      </c>
      <c r="DP34" s="373">
        <f t="shared" si="75"/>
        <v>14.999590277777777</v>
      </c>
      <c r="DQ34" s="374" t="str">
        <f t="shared" si="76"/>
        <v>(1.39)</v>
      </c>
      <c r="DR34" s="375">
        <v>2</v>
      </c>
      <c r="DS34" s="375">
        <f t="shared" si="77"/>
        <v>3.5</v>
      </c>
      <c r="DT34" s="375">
        <v>0</v>
      </c>
      <c r="DU34" s="375">
        <f t="shared" si="78"/>
        <v>0</v>
      </c>
      <c r="DV34" s="375">
        <v>0</v>
      </c>
      <c r="DW34" s="375">
        <f t="shared" si="79"/>
        <v>0</v>
      </c>
      <c r="DX34" s="375">
        <f t="shared" si="176"/>
        <v>3.5</v>
      </c>
      <c r="DY34" s="376">
        <f t="shared" si="81"/>
        <v>44.5</v>
      </c>
      <c r="DZ34" s="373">
        <f t="shared" si="82"/>
        <v>16.6849375</v>
      </c>
      <c r="EA34" s="374" t="str">
        <f t="shared" si="177"/>
        <v>(1.55)</v>
      </c>
      <c r="EB34" s="375">
        <v>2</v>
      </c>
      <c r="EC34" s="375">
        <f t="shared" si="84"/>
        <v>3.5</v>
      </c>
      <c r="ED34" s="375">
        <v>0</v>
      </c>
      <c r="EE34" s="375">
        <f t="shared" si="85"/>
        <v>0</v>
      </c>
      <c r="EF34" s="375">
        <v>1</v>
      </c>
      <c r="EG34" s="375">
        <f t="shared" si="86"/>
        <v>1</v>
      </c>
      <c r="EH34" s="375">
        <f t="shared" si="178"/>
        <v>4.5</v>
      </c>
      <c r="EI34" s="376">
        <f t="shared" si="88"/>
        <v>49.5</v>
      </c>
      <c r="EJ34" s="373">
        <f t="shared" si="89"/>
        <v>18.707354166666665</v>
      </c>
      <c r="EK34" s="374" t="str">
        <f t="shared" si="203"/>
        <v>(1.74)</v>
      </c>
      <c r="EL34" s="375">
        <v>2</v>
      </c>
      <c r="EM34" s="375">
        <f t="shared" si="91"/>
        <v>3.5</v>
      </c>
      <c r="EN34" s="375">
        <v>0</v>
      </c>
      <c r="EO34" s="375">
        <f t="shared" si="92"/>
        <v>0</v>
      </c>
      <c r="EP34" s="375">
        <v>1</v>
      </c>
      <c r="EQ34" s="375">
        <f t="shared" si="93"/>
        <v>1</v>
      </c>
      <c r="ER34" s="375">
        <f t="shared" si="180"/>
        <v>4.5</v>
      </c>
      <c r="ES34" s="376">
        <f t="shared" si="95"/>
        <v>55.5</v>
      </c>
      <c r="ET34" s="373">
        <f t="shared" si="96"/>
        <v>20.729770833333333</v>
      </c>
      <c r="EU34" s="374" t="str">
        <f t="shared" si="204"/>
        <v>(1.93)</v>
      </c>
      <c r="EV34" s="375">
        <v>2</v>
      </c>
      <c r="EW34" s="375">
        <f t="shared" si="98"/>
        <v>3.5</v>
      </c>
      <c r="EX34" s="375">
        <v>0</v>
      </c>
      <c r="EY34" s="375">
        <f t="shared" si="99"/>
        <v>0</v>
      </c>
      <c r="EZ34" s="375">
        <v>1</v>
      </c>
      <c r="FA34" s="375">
        <f t="shared" si="100"/>
        <v>1</v>
      </c>
      <c r="FB34" s="375">
        <f t="shared" si="182"/>
        <v>4.5</v>
      </c>
      <c r="FC34" s="376">
        <f t="shared" si="102"/>
        <v>61.5</v>
      </c>
      <c r="FD34" s="373">
        <f t="shared" si="103"/>
        <v>22.710053819444443</v>
      </c>
      <c r="FE34" s="374" t="str">
        <f t="shared" si="183"/>
        <v>(2.11)</v>
      </c>
      <c r="FF34" s="375">
        <v>2</v>
      </c>
      <c r="FG34" s="375">
        <f t="shared" si="105"/>
        <v>3.5</v>
      </c>
      <c r="FH34" s="375">
        <v>1</v>
      </c>
      <c r="FI34" s="375">
        <f t="shared" si="106"/>
        <v>1.125</v>
      </c>
      <c r="FJ34" s="375">
        <v>0</v>
      </c>
      <c r="FK34" s="375">
        <f t="shared" si="107"/>
        <v>0</v>
      </c>
      <c r="FL34" s="375">
        <f t="shared" si="184"/>
        <v>4.625</v>
      </c>
      <c r="FM34" s="376">
        <f t="shared" si="109"/>
        <v>67.375</v>
      </c>
      <c r="FN34" s="31"/>
      <c r="FO34" s="31"/>
      <c r="FP34" s="32"/>
      <c r="FQ34" s="32"/>
      <c r="FR34" s="32"/>
      <c r="FS34" s="32"/>
      <c r="FT34" s="32"/>
      <c r="FU34" s="32"/>
      <c r="FV34" s="32"/>
      <c r="FW34" s="32"/>
      <c r="FX34" s="31"/>
      <c r="FY34" s="31"/>
      <c r="FZ34" s="32"/>
      <c r="GA34" s="32"/>
      <c r="GB34" s="32"/>
      <c r="GC34" s="32"/>
      <c r="GD34" s="32"/>
      <c r="GE34" s="32"/>
      <c r="GF34" s="32"/>
      <c r="GG34" s="32"/>
      <c r="GH34" s="31"/>
      <c r="GI34" s="31"/>
      <c r="GJ34" s="32"/>
      <c r="GK34" s="32"/>
      <c r="GL34" s="32"/>
      <c r="GM34" s="32"/>
      <c r="GN34" s="32"/>
      <c r="GO34" s="32"/>
      <c r="GP34" s="32"/>
      <c r="GQ34" s="32"/>
      <c r="GR34" s="31"/>
      <c r="GS34" s="31"/>
      <c r="GT34" s="32"/>
      <c r="GU34" s="32"/>
      <c r="GV34" s="32"/>
      <c r="GW34" s="32"/>
      <c r="GX34" s="32"/>
      <c r="GY34" s="32"/>
      <c r="GZ34" s="32"/>
      <c r="HA34" s="32"/>
      <c r="HB34" s="31"/>
      <c r="HC34" s="31"/>
      <c r="HD34" s="32"/>
      <c r="HE34" s="32"/>
      <c r="HF34" s="32"/>
      <c r="HG34" s="32"/>
      <c r="HH34" s="32"/>
      <c r="HI34" s="32"/>
      <c r="HJ34" s="32"/>
      <c r="HK34" s="32"/>
      <c r="HL34" s="31"/>
      <c r="HM34" s="31"/>
      <c r="HN34" s="32"/>
      <c r="HO34" s="32"/>
      <c r="HP34" s="32"/>
      <c r="HQ34" s="32"/>
      <c r="HR34" s="32"/>
      <c r="HS34" s="32"/>
      <c r="HT34" s="32"/>
      <c r="HU34" s="32"/>
      <c r="HV34" s="31"/>
      <c r="HW34" s="31"/>
      <c r="HX34" s="32"/>
      <c r="HY34" s="32"/>
      <c r="HZ34" s="32"/>
      <c r="IA34" s="32"/>
      <c r="IB34" s="32"/>
      <c r="IC34" s="32"/>
      <c r="ID34" s="32"/>
      <c r="IE34" s="32"/>
      <c r="IF34" s="31"/>
      <c r="IG34" s="31"/>
      <c r="IH34" s="32"/>
      <c r="II34" s="32"/>
      <c r="IJ34" s="32"/>
      <c r="IK34" s="32"/>
      <c r="IL34" s="32"/>
      <c r="IM34" s="32"/>
      <c r="IN34" s="33"/>
      <c r="IO34" s="33"/>
      <c r="IP34" s="33"/>
      <c r="IQ34" s="25">
        <v>18</v>
      </c>
      <c r="IR34" s="26">
        <v>2.6549999999999998</v>
      </c>
      <c r="IS34" s="26">
        <v>2.6469999999999998</v>
      </c>
      <c r="IT34" s="26">
        <v>0.88400000000000001</v>
      </c>
      <c r="IU34" s="26">
        <v>1.75</v>
      </c>
      <c r="IV34" s="26">
        <v>1</v>
      </c>
      <c r="IW34" s="26">
        <v>1.125</v>
      </c>
      <c r="IX34" s="8"/>
    </row>
    <row r="35" spans="2:258" ht="15.75" thickBot="1" x14ac:dyDescent="0.3">
      <c r="B35" s="103">
        <f t="shared" si="25"/>
        <v>102</v>
      </c>
      <c r="C35" s="221">
        <v>18</v>
      </c>
      <c r="D35" s="98">
        <f t="shared" si="1"/>
        <v>0.38595860566448797</v>
      </c>
      <c r="E35" s="96">
        <f t="shared" si="2"/>
        <v>0.44736111111111104</v>
      </c>
      <c r="F35" s="96">
        <f t="shared" si="3"/>
        <v>0.50876361655773417</v>
      </c>
      <c r="G35" s="96">
        <f t="shared" si="4"/>
        <v>0.53946486928104564</v>
      </c>
      <c r="H35" s="96">
        <f t="shared" si="5"/>
        <v>0.55788562091503258</v>
      </c>
      <c r="I35" s="96">
        <f t="shared" si="6"/>
        <v>0.57016612200435723</v>
      </c>
      <c r="J35" s="96">
        <f t="shared" si="7"/>
        <v>0.57893790849673188</v>
      </c>
      <c r="K35" s="96">
        <f t="shared" si="8"/>
        <v>0.58551674836601297</v>
      </c>
      <c r="L35" s="96">
        <f t="shared" si="9"/>
        <v>0.57893790849673199</v>
      </c>
      <c r="M35" s="96">
        <f t="shared" si="10"/>
        <v>0.58420098039215673</v>
      </c>
      <c r="N35" s="96">
        <f t="shared" si="11"/>
        <v>0.58850713012477707</v>
      </c>
      <c r="O35" s="96">
        <f t="shared" si="12"/>
        <v>0.59099911492374713</v>
      </c>
      <c r="P35" s="238"/>
      <c r="Q35" s="238"/>
      <c r="R35" s="238"/>
      <c r="S35" s="238"/>
      <c r="T35" s="238"/>
      <c r="U35" s="238"/>
      <c r="V35" s="238"/>
      <c r="W35" s="238"/>
      <c r="X35" s="96"/>
      <c r="Y35" s="65"/>
      <c r="AT35" s="4"/>
      <c r="AU35" s="14">
        <f t="shared" si="200"/>
        <v>84</v>
      </c>
      <c r="AV35" s="12" t="str">
        <f t="shared" si="166"/>
        <v>(2150)</v>
      </c>
      <c r="AW35" s="19">
        <f t="shared" si="201"/>
        <v>20</v>
      </c>
      <c r="AX35" s="20">
        <f t="shared" si="26"/>
        <v>2.0011215277777779</v>
      </c>
      <c r="AY35" s="21" t="str">
        <f t="shared" si="202"/>
        <v>(0.19)</v>
      </c>
      <c r="AZ35" s="22">
        <v>2</v>
      </c>
      <c r="BA35" s="22">
        <f t="shared" si="28"/>
        <v>3.5</v>
      </c>
      <c r="BB35" s="22">
        <v>0</v>
      </c>
      <c r="BC35" s="22">
        <f t="shared" si="29"/>
        <v>0</v>
      </c>
      <c r="BD35" s="22">
        <v>0</v>
      </c>
      <c r="BE35" s="22">
        <f t="shared" si="30"/>
        <v>0</v>
      </c>
      <c r="BF35" s="22">
        <f t="shared" si="168"/>
        <v>3.5</v>
      </c>
      <c r="BG35" s="23">
        <f t="shared" si="32"/>
        <v>5.5</v>
      </c>
      <c r="BH35" s="373">
        <f t="shared" si="33"/>
        <v>3.0926423611111109</v>
      </c>
      <c r="BI35" s="374" t="str">
        <f t="shared" si="169"/>
        <v>(0.29)</v>
      </c>
      <c r="BJ35" s="375">
        <v>2</v>
      </c>
      <c r="BK35" s="375">
        <f t="shared" si="35"/>
        <v>3.5</v>
      </c>
      <c r="BL35" s="375">
        <v>0</v>
      </c>
      <c r="BM35" s="375">
        <f t="shared" si="36"/>
        <v>0</v>
      </c>
      <c r="BN35" s="375">
        <v>0</v>
      </c>
      <c r="BO35" s="375">
        <f t="shared" si="37"/>
        <v>0</v>
      </c>
      <c r="BP35" s="375">
        <f t="shared" si="170"/>
        <v>3.5</v>
      </c>
      <c r="BQ35" s="376">
        <f t="shared" si="39"/>
        <v>8.5</v>
      </c>
      <c r="BR35" s="373">
        <f t="shared" si="40"/>
        <v>5.2756840277777766</v>
      </c>
      <c r="BS35" s="374" t="str">
        <f t="shared" si="41"/>
        <v>(0.49)</v>
      </c>
      <c r="BT35" s="375">
        <v>2</v>
      </c>
      <c r="BU35" s="375">
        <f t="shared" si="42"/>
        <v>3.5</v>
      </c>
      <c r="BV35" s="375">
        <v>0</v>
      </c>
      <c r="BW35" s="375">
        <f t="shared" si="43"/>
        <v>0</v>
      </c>
      <c r="BX35" s="375">
        <v>0</v>
      </c>
      <c r="BY35" s="375">
        <f t="shared" si="44"/>
        <v>0</v>
      </c>
      <c r="BZ35" s="375">
        <f t="shared" si="171"/>
        <v>3.5</v>
      </c>
      <c r="CA35" s="376">
        <f t="shared" si="46"/>
        <v>14.5</v>
      </c>
      <c r="CB35" s="373">
        <f t="shared" si="47"/>
        <v>7.4587256944444436</v>
      </c>
      <c r="CC35" s="374" t="str">
        <f t="shared" si="48"/>
        <v>(0.69)</v>
      </c>
      <c r="CD35" s="375">
        <v>2</v>
      </c>
      <c r="CE35" s="375">
        <f t="shared" si="49"/>
        <v>3.5</v>
      </c>
      <c r="CF35" s="375">
        <v>0</v>
      </c>
      <c r="CG35" s="375">
        <f t="shared" si="50"/>
        <v>0</v>
      </c>
      <c r="CH35" s="375">
        <v>0</v>
      </c>
      <c r="CI35" s="375">
        <f t="shared" si="51"/>
        <v>0</v>
      </c>
      <c r="CJ35" s="375">
        <f t="shared" si="172"/>
        <v>3.5</v>
      </c>
      <c r="CK35" s="376">
        <f t="shared" si="53"/>
        <v>20.5</v>
      </c>
      <c r="CL35" s="373">
        <f t="shared" si="54"/>
        <v>9.6417673611111105</v>
      </c>
      <c r="CM35" s="374" t="str">
        <f t="shared" si="55"/>
        <v>(0.9)</v>
      </c>
      <c r="CN35" s="375">
        <v>2</v>
      </c>
      <c r="CO35" s="375">
        <f t="shared" si="56"/>
        <v>3.5</v>
      </c>
      <c r="CP35" s="375">
        <v>0</v>
      </c>
      <c r="CQ35" s="375">
        <f t="shared" si="57"/>
        <v>0</v>
      </c>
      <c r="CR35" s="375">
        <v>0</v>
      </c>
      <c r="CS35" s="375">
        <f t="shared" si="58"/>
        <v>0</v>
      </c>
      <c r="CT35" s="375">
        <f t="shared" si="173"/>
        <v>3.5</v>
      </c>
      <c r="CU35" s="376">
        <f t="shared" si="60"/>
        <v>26.5</v>
      </c>
      <c r="CV35" s="373">
        <f t="shared" si="61"/>
        <v>11.824809027777777</v>
      </c>
      <c r="CW35" s="374" t="str">
        <f t="shared" si="62"/>
        <v>(1.1)</v>
      </c>
      <c r="CX35" s="375">
        <v>2</v>
      </c>
      <c r="CY35" s="375">
        <f t="shared" si="63"/>
        <v>3.5</v>
      </c>
      <c r="CZ35" s="375">
        <v>0</v>
      </c>
      <c r="DA35" s="375">
        <f t="shared" si="64"/>
        <v>0</v>
      </c>
      <c r="DB35" s="375">
        <v>0</v>
      </c>
      <c r="DC35" s="375">
        <f t="shared" si="65"/>
        <v>0</v>
      </c>
      <c r="DD35" s="375">
        <f t="shared" si="174"/>
        <v>3.5</v>
      </c>
      <c r="DE35" s="376">
        <f t="shared" si="67"/>
        <v>32.5</v>
      </c>
      <c r="DF35" s="373">
        <f t="shared" si="68"/>
        <v>14.007850694444443</v>
      </c>
      <c r="DG35" s="374" t="str">
        <f t="shared" si="69"/>
        <v>(1.3)</v>
      </c>
      <c r="DH35" s="375">
        <v>2</v>
      </c>
      <c r="DI35" s="375">
        <f t="shared" si="70"/>
        <v>3.5</v>
      </c>
      <c r="DJ35" s="375">
        <v>0</v>
      </c>
      <c r="DK35" s="375">
        <f t="shared" si="71"/>
        <v>0</v>
      </c>
      <c r="DL35" s="375">
        <v>0</v>
      </c>
      <c r="DM35" s="375">
        <f t="shared" si="72"/>
        <v>0</v>
      </c>
      <c r="DN35" s="375">
        <f t="shared" si="175"/>
        <v>3.5</v>
      </c>
      <c r="DO35" s="376">
        <f t="shared" si="74"/>
        <v>38.5</v>
      </c>
      <c r="DP35" s="373">
        <f t="shared" si="75"/>
        <v>16.190892361111111</v>
      </c>
      <c r="DQ35" s="374" t="str">
        <f t="shared" si="76"/>
        <v>(1.5)</v>
      </c>
      <c r="DR35" s="375">
        <v>2</v>
      </c>
      <c r="DS35" s="375">
        <f t="shared" si="77"/>
        <v>3.5</v>
      </c>
      <c r="DT35" s="375">
        <v>0</v>
      </c>
      <c r="DU35" s="375">
        <f t="shared" si="78"/>
        <v>0</v>
      </c>
      <c r="DV35" s="375">
        <v>0</v>
      </c>
      <c r="DW35" s="375">
        <f t="shared" si="79"/>
        <v>0</v>
      </c>
      <c r="DX35" s="375">
        <f t="shared" si="176"/>
        <v>3.5</v>
      </c>
      <c r="DY35" s="376">
        <f t="shared" si="81"/>
        <v>44.5</v>
      </c>
      <c r="DZ35" s="373">
        <f t="shared" si="82"/>
        <v>18.010093749999996</v>
      </c>
      <c r="EA35" s="374" t="str">
        <f t="shared" si="177"/>
        <v>(1.67)</v>
      </c>
      <c r="EB35" s="375">
        <v>2</v>
      </c>
      <c r="EC35" s="375">
        <f t="shared" si="84"/>
        <v>3.5</v>
      </c>
      <c r="ED35" s="375">
        <v>0</v>
      </c>
      <c r="EE35" s="375">
        <f t="shared" si="85"/>
        <v>0</v>
      </c>
      <c r="EF35" s="375">
        <v>1</v>
      </c>
      <c r="EG35" s="375">
        <f t="shared" si="86"/>
        <v>1</v>
      </c>
      <c r="EH35" s="375">
        <f t="shared" si="178"/>
        <v>4.5</v>
      </c>
      <c r="EI35" s="376">
        <f t="shared" si="88"/>
        <v>49.5</v>
      </c>
      <c r="EJ35" s="373">
        <f t="shared" si="89"/>
        <v>20.193135416666664</v>
      </c>
      <c r="EK35" s="374" t="str">
        <f t="shared" si="203"/>
        <v>(1.88)</v>
      </c>
      <c r="EL35" s="375">
        <v>2</v>
      </c>
      <c r="EM35" s="375">
        <f t="shared" si="91"/>
        <v>3.5</v>
      </c>
      <c r="EN35" s="375">
        <v>0</v>
      </c>
      <c r="EO35" s="375">
        <f t="shared" si="92"/>
        <v>0</v>
      </c>
      <c r="EP35" s="375">
        <v>1</v>
      </c>
      <c r="EQ35" s="375">
        <f t="shared" si="93"/>
        <v>1</v>
      </c>
      <c r="ER35" s="375">
        <f t="shared" si="180"/>
        <v>4.5</v>
      </c>
      <c r="ES35" s="376">
        <f t="shared" si="95"/>
        <v>55.5</v>
      </c>
      <c r="ET35" s="373">
        <f t="shared" si="96"/>
        <v>22.376177083333332</v>
      </c>
      <c r="EU35" s="374" t="str">
        <f t="shared" si="204"/>
        <v>(2.08)</v>
      </c>
      <c r="EV35" s="375">
        <v>2</v>
      </c>
      <c r="EW35" s="375">
        <f t="shared" si="98"/>
        <v>3.5</v>
      </c>
      <c r="EX35" s="375">
        <v>0</v>
      </c>
      <c r="EY35" s="375">
        <f t="shared" si="99"/>
        <v>0</v>
      </c>
      <c r="EZ35" s="375">
        <v>1</v>
      </c>
      <c r="FA35" s="375">
        <f t="shared" si="100"/>
        <v>1</v>
      </c>
      <c r="FB35" s="375">
        <f t="shared" si="182"/>
        <v>4.5</v>
      </c>
      <c r="FC35" s="376">
        <f t="shared" si="102"/>
        <v>61.5</v>
      </c>
      <c r="FD35" s="373">
        <f t="shared" si="103"/>
        <v>24.513738715277775</v>
      </c>
      <c r="FE35" s="374" t="str">
        <f t="shared" si="183"/>
        <v>(2.28)</v>
      </c>
      <c r="FF35" s="375">
        <v>2</v>
      </c>
      <c r="FG35" s="375">
        <f t="shared" si="105"/>
        <v>3.5</v>
      </c>
      <c r="FH35" s="375">
        <v>1</v>
      </c>
      <c r="FI35" s="375">
        <f t="shared" si="106"/>
        <v>1.125</v>
      </c>
      <c r="FJ35" s="375">
        <v>0</v>
      </c>
      <c r="FK35" s="375">
        <f t="shared" si="107"/>
        <v>0</v>
      </c>
      <c r="FL35" s="375">
        <f t="shared" si="184"/>
        <v>4.625</v>
      </c>
      <c r="FM35" s="376">
        <f t="shared" si="109"/>
        <v>67.375</v>
      </c>
      <c r="FN35" s="31"/>
      <c r="FO35" s="31"/>
      <c r="FP35" s="32"/>
      <c r="FQ35" s="32"/>
      <c r="FR35" s="32"/>
      <c r="FS35" s="32"/>
      <c r="FT35" s="32"/>
      <c r="FU35" s="32"/>
      <c r="FV35" s="32"/>
      <c r="FW35" s="32"/>
      <c r="FX35" s="31"/>
      <c r="FY35" s="31"/>
      <c r="FZ35" s="32"/>
      <c r="GA35" s="32"/>
      <c r="GB35" s="32"/>
      <c r="GC35" s="32"/>
      <c r="GD35" s="32"/>
      <c r="GE35" s="32"/>
      <c r="GF35" s="32"/>
      <c r="GG35" s="32"/>
      <c r="GH35" s="31"/>
      <c r="GI35" s="31"/>
      <c r="GJ35" s="32"/>
      <c r="GK35" s="32"/>
      <c r="GL35" s="32"/>
      <c r="GM35" s="32"/>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2"/>
      <c r="HO35" s="32"/>
      <c r="HP35" s="32"/>
      <c r="HQ35" s="32"/>
      <c r="HR35" s="32"/>
      <c r="HS35" s="32"/>
      <c r="HT35" s="32"/>
      <c r="HU35" s="32"/>
      <c r="HV35" s="32"/>
      <c r="HW35" s="32"/>
      <c r="HX35" s="32"/>
      <c r="HY35" s="32"/>
      <c r="HZ35" s="32"/>
      <c r="IA35" s="32"/>
      <c r="IB35" s="32"/>
      <c r="IC35" s="32"/>
      <c r="ID35" s="32"/>
      <c r="IE35" s="32"/>
      <c r="IF35" s="31"/>
      <c r="IG35" s="31"/>
      <c r="IH35" s="32"/>
      <c r="II35" s="32"/>
      <c r="IJ35" s="32"/>
      <c r="IK35" s="32"/>
      <c r="IL35" s="32"/>
      <c r="IM35" s="32"/>
      <c r="IN35" s="33"/>
      <c r="IO35" s="33"/>
      <c r="IP35" s="33"/>
      <c r="IQ35" s="25">
        <v>19</v>
      </c>
      <c r="IR35" s="26">
        <v>2.6549999999999998</v>
      </c>
      <c r="IS35" s="26">
        <v>2.6469999999999998</v>
      </c>
      <c r="IT35" s="26">
        <v>2.0920000000000001</v>
      </c>
      <c r="IU35" s="26">
        <v>1.75</v>
      </c>
      <c r="IV35" s="26">
        <v>1</v>
      </c>
      <c r="IW35" s="26">
        <v>1.125</v>
      </c>
      <c r="IX35" s="8"/>
    </row>
    <row r="36" spans="2:258" ht="15.75" thickBot="1" x14ac:dyDescent="0.3">
      <c r="B36" s="103">
        <f t="shared" si="25"/>
        <v>108</v>
      </c>
      <c r="C36" s="226">
        <v>19</v>
      </c>
      <c r="D36" s="98">
        <f t="shared" si="1"/>
        <v>0.38632973251028802</v>
      </c>
      <c r="E36" s="96">
        <f t="shared" si="2"/>
        <v>0.44779128086419751</v>
      </c>
      <c r="F36" s="96">
        <f t="shared" si="3"/>
        <v>0.50925282921810688</v>
      </c>
      <c r="G36" s="96">
        <f t="shared" si="4"/>
        <v>0.53998360339506168</v>
      </c>
      <c r="H36" s="96">
        <f t="shared" si="5"/>
        <v>0.5584220679012345</v>
      </c>
      <c r="I36" s="96">
        <f t="shared" si="6"/>
        <v>0.57071437757201637</v>
      </c>
      <c r="J36" s="96">
        <f t="shared" si="7"/>
        <v>0.57949459876543197</v>
      </c>
      <c r="K36" s="96">
        <f t="shared" si="8"/>
        <v>0.58607976466049372</v>
      </c>
      <c r="L36" s="96">
        <f t="shared" si="9"/>
        <v>0.57949459876543208</v>
      </c>
      <c r="M36" s="96">
        <f t="shared" si="10"/>
        <v>0.58476273148148139</v>
      </c>
      <c r="N36" s="96">
        <f t="shared" si="11"/>
        <v>0.5890730218855218</v>
      </c>
      <c r="O36" s="96">
        <f t="shared" si="12"/>
        <v>0.59156740290637855</v>
      </c>
      <c r="P36" s="238"/>
      <c r="Q36" s="238"/>
      <c r="R36" s="238"/>
      <c r="S36" s="238"/>
      <c r="T36" s="238"/>
      <c r="U36" s="238"/>
      <c r="V36" s="238"/>
      <c r="W36" s="238"/>
      <c r="X36" s="96"/>
      <c r="Y36" s="65"/>
      <c r="AT36" s="4"/>
      <c r="AU36" s="27">
        <f t="shared" si="200"/>
        <v>90</v>
      </c>
      <c r="AV36" s="28" t="str">
        <f t="shared" si="166"/>
        <v>(2300)</v>
      </c>
      <c r="AW36" s="19">
        <f t="shared" si="201"/>
        <v>21</v>
      </c>
      <c r="AX36" s="20">
        <f t="shared" si="26"/>
        <v>2.1571840277777778</v>
      </c>
      <c r="AY36" s="29" t="str">
        <f t="shared" si="202"/>
        <v>(0.20)</v>
      </c>
      <c r="AZ36" s="22">
        <v>2</v>
      </c>
      <c r="BA36" s="22">
        <f t="shared" si="28"/>
        <v>3.5</v>
      </c>
      <c r="BB36" s="30">
        <v>0</v>
      </c>
      <c r="BC36" s="22">
        <f t="shared" si="29"/>
        <v>0</v>
      </c>
      <c r="BD36" s="30">
        <v>0</v>
      </c>
      <c r="BE36" s="22">
        <f t="shared" si="30"/>
        <v>0</v>
      </c>
      <c r="BF36" s="22">
        <f t="shared" si="168"/>
        <v>3.5</v>
      </c>
      <c r="BG36" s="23">
        <f t="shared" si="32"/>
        <v>5.5</v>
      </c>
      <c r="BH36" s="373">
        <f t="shared" si="33"/>
        <v>3.333829861111111</v>
      </c>
      <c r="BI36" s="374" t="str">
        <f t="shared" si="169"/>
        <v>(0.31)</v>
      </c>
      <c r="BJ36" s="375">
        <v>2</v>
      </c>
      <c r="BK36" s="375">
        <f t="shared" si="35"/>
        <v>3.5</v>
      </c>
      <c r="BL36" s="375">
        <v>0</v>
      </c>
      <c r="BM36" s="375">
        <f t="shared" si="36"/>
        <v>0</v>
      </c>
      <c r="BN36" s="375">
        <v>0</v>
      </c>
      <c r="BO36" s="375">
        <f t="shared" si="37"/>
        <v>0</v>
      </c>
      <c r="BP36" s="375">
        <f t="shared" si="170"/>
        <v>3.5</v>
      </c>
      <c r="BQ36" s="376">
        <f t="shared" si="39"/>
        <v>8.5</v>
      </c>
      <c r="BR36" s="373">
        <f t="shared" si="40"/>
        <v>5.6871215277777782</v>
      </c>
      <c r="BS36" s="374" t="str">
        <f t="shared" si="41"/>
        <v>(0.53)</v>
      </c>
      <c r="BT36" s="375">
        <v>2</v>
      </c>
      <c r="BU36" s="375">
        <f t="shared" si="42"/>
        <v>3.5</v>
      </c>
      <c r="BV36" s="375">
        <v>0</v>
      </c>
      <c r="BW36" s="375">
        <f t="shared" si="43"/>
        <v>0</v>
      </c>
      <c r="BX36" s="375">
        <v>0</v>
      </c>
      <c r="BY36" s="375">
        <f t="shared" si="44"/>
        <v>0</v>
      </c>
      <c r="BZ36" s="375">
        <f t="shared" si="171"/>
        <v>3.5</v>
      </c>
      <c r="CA36" s="376">
        <f t="shared" si="46"/>
        <v>14.5</v>
      </c>
      <c r="CB36" s="373">
        <f t="shared" si="47"/>
        <v>8.0404131944444455</v>
      </c>
      <c r="CC36" s="374" t="str">
        <f t="shared" si="48"/>
        <v>(0.75)</v>
      </c>
      <c r="CD36" s="375">
        <v>2</v>
      </c>
      <c r="CE36" s="375">
        <f t="shared" si="49"/>
        <v>3.5</v>
      </c>
      <c r="CF36" s="375">
        <v>0</v>
      </c>
      <c r="CG36" s="375">
        <f t="shared" si="50"/>
        <v>0</v>
      </c>
      <c r="CH36" s="375">
        <v>0</v>
      </c>
      <c r="CI36" s="375">
        <f t="shared" si="51"/>
        <v>0</v>
      </c>
      <c r="CJ36" s="375">
        <f t="shared" si="172"/>
        <v>3.5</v>
      </c>
      <c r="CK36" s="376">
        <f t="shared" si="53"/>
        <v>20.5</v>
      </c>
      <c r="CL36" s="373">
        <f t="shared" si="54"/>
        <v>10.393704861111111</v>
      </c>
      <c r="CM36" s="374" t="str">
        <f t="shared" si="55"/>
        <v>(0.97)</v>
      </c>
      <c r="CN36" s="375">
        <v>2</v>
      </c>
      <c r="CO36" s="375">
        <f t="shared" si="56"/>
        <v>3.5</v>
      </c>
      <c r="CP36" s="375">
        <v>0</v>
      </c>
      <c r="CQ36" s="375">
        <f t="shared" si="57"/>
        <v>0</v>
      </c>
      <c r="CR36" s="375">
        <v>0</v>
      </c>
      <c r="CS36" s="375">
        <f t="shared" si="58"/>
        <v>0</v>
      </c>
      <c r="CT36" s="375">
        <f t="shared" si="173"/>
        <v>3.5</v>
      </c>
      <c r="CU36" s="376">
        <f t="shared" si="60"/>
        <v>26.5</v>
      </c>
      <c r="CV36" s="373">
        <f t="shared" si="61"/>
        <v>12.746996527777776</v>
      </c>
      <c r="CW36" s="374" t="str">
        <f t="shared" si="62"/>
        <v>(1.18)</v>
      </c>
      <c r="CX36" s="375">
        <v>2</v>
      </c>
      <c r="CY36" s="375">
        <f t="shared" si="63"/>
        <v>3.5</v>
      </c>
      <c r="CZ36" s="375">
        <v>0</v>
      </c>
      <c r="DA36" s="375">
        <f t="shared" si="64"/>
        <v>0</v>
      </c>
      <c r="DB36" s="375">
        <v>0</v>
      </c>
      <c r="DC36" s="375">
        <f t="shared" si="65"/>
        <v>0</v>
      </c>
      <c r="DD36" s="375">
        <f t="shared" si="174"/>
        <v>3.5</v>
      </c>
      <c r="DE36" s="376">
        <f t="shared" si="67"/>
        <v>32.5</v>
      </c>
      <c r="DF36" s="373">
        <f t="shared" si="68"/>
        <v>15.100288194444444</v>
      </c>
      <c r="DG36" s="374" t="str">
        <f t="shared" si="69"/>
        <v>(1.4)</v>
      </c>
      <c r="DH36" s="375">
        <v>2</v>
      </c>
      <c r="DI36" s="375">
        <f t="shared" si="70"/>
        <v>3.5</v>
      </c>
      <c r="DJ36" s="375">
        <v>0</v>
      </c>
      <c r="DK36" s="375">
        <f t="shared" si="71"/>
        <v>0</v>
      </c>
      <c r="DL36" s="375">
        <v>0</v>
      </c>
      <c r="DM36" s="375">
        <f t="shared" si="72"/>
        <v>0</v>
      </c>
      <c r="DN36" s="375">
        <f t="shared" si="175"/>
        <v>3.5</v>
      </c>
      <c r="DO36" s="376">
        <f t="shared" si="74"/>
        <v>38.5</v>
      </c>
      <c r="DP36" s="373">
        <f t="shared" si="75"/>
        <v>17.453579861111113</v>
      </c>
      <c r="DQ36" s="374" t="str">
        <f t="shared" si="76"/>
        <v>(1.62)</v>
      </c>
      <c r="DR36" s="375">
        <v>2</v>
      </c>
      <c r="DS36" s="375">
        <f t="shared" si="77"/>
        <v>3.5</v>
      </c>
      <c r="DT36" s="375">
        <v>0</v>
      </c>
      <c r="DU36" s="375">
        <f t="shared" si="78"/>
        <v>0</v>
      </c>
      <c r="DV36" s="375">
        <v>0</v>
      </c>
      <c r="DW36" s="375">
        <f t="shared" si="79"/>
        <v>0</v>
      </c>
      <c r="DX36" s="375">
        <f t="shared" si="176"/>
        <v>3.5</v>
      </c>
      <c r="DY36" s="376">
        <f t="shared" si="81"/>
        <v>44.5</v>
      </c>
      <c r="DZ36" s="373">
        <f t="shared" si="82"/>
        <v>19.41465625</v>
      </c>
      <c r="EA36" s="374" t="str">
        <f t="shared" si="177"/>
        <v>(1.80)</v>
      </c>
      <c r="EB36" s="375">
        <v>2</v>
      </c>
      <c r="EC36" s="375">
        <f t="shared" si="84"/>
        <v>3.5</v>
      </c>
      <c r="ED36" s="375">
        <v>0</v>
      </c>
      <c r="EE36" s="375">
        <f t="shared" si="85"/>
        <v>0</v>
      </c>
      <c r="EF36" s="375">
        <v>1</v>
      </c>
      <c r="EG36" s="375">
        <f t="shared" si="86"/>
        <v>1</v>
      </c>
      <c r="EH36" s="375">
        <f t="shared" si="178"/>
        <v>4.5</v>
      </c>
      <c r="EI36" s="376">
        <f t="shared" si="88"/>
        <v>49.5</v>
      </c>
      <c r="EJ36" s="373">
        <f t="shared" si="89"/>
        <v>21.767947916666667</v>
      </c>
      <c r="EK36" s="374" t="str">
        <f t="shared" si="203"/>
        <v>(2.02)</v>
      </c>
      <c r="EL36" s="375">
        <v>2</v>
      </c>
      <c r="EM36" s="375">
        <f t="shared" si="91"/>
        <v>3.5</v>
      </c>
      <c r="EN36" s="375">
        <v>0</v>
      </c>
      <c r="EO36" s="375">
        <f t="shared" si="92"/>
        <v>0</v>
      </c>
      <c r="EP36" s="375">
        <v>1</v>
      </c>
      <c r="EQ36" s="375">
        <f t="shared" si="93"/>
        <v>1</v>
      </c>
      <c r="ER36" s="375">
        <f t="shared" si="180"/>
        <v>4.5</v>
      </c>
      <c r="ES36" s="376">
        <f t="shared" si="95"/>
        <v>55.5</v>
      </c>
      <c r="ET36" s="373">
        <f t="shared" si="96"/>
        <v>24.121239583333331</v>
      </c>
      <c r="EU36" s="374" t="str">
        <f t="shared" si="204"/>
        <v>(2.24)</v>
      </c>
      <c r="EV36" s="375">
        <v>2</v>
      </c>
      <c r="EW36" s="375">
        <f t="shared" si="98"/>
        <v>3.5</v>
      </c>
      <c r="EX36" s="375">
        <v>0</v>
      </c>
      <c r="EY36" s="375">
        <f t="shared" si="99"/>
        <v>0</v>
      </c>
      <c r="EZ36" s="375">
        <v>1</v>
      </c>
      <c r="FA36" s="375">
        <f t="shared" si="100"/>
        <v>1</v>
      </c>
      <c r="FB36" s="375">
        <f t="shared" si="182"/>
        <v>4.5</v>
      </c>
      <c r="FC36" s="376">
        <f t="shared" si="102"/>
        <v>61.5</v>
      </c>
      <c r="FD36" s="373">
        <f t="shared" si="103"/>
        <v>26.425504340277779</v>
      </c>
      <c r="FE36" s="374" t="str">
        <f t="shared" si="183"/>
        <v>(2.46)</v>
      </c>
      <c r="FF36" s="375">
        <v>2</v>
      </c>
      <c r="FG36" s="375">
        <f t="shared" si="105"/>
        <v>3.5</v>
      </c>
      <c r="FH36" s="375">
        <v>1</v>
      </c>
      <c r="FI36" s="375">
        <f t="shared" si="106"/>
        <v>1.125</v>
      </c>
      <c r="FJ36" s="375">
        <v>0</v>
      </c>
      <c r="FK36" s="375">
        <f t="shared" si="107"/>
        <v>0</v>
      </c>
      <c r="FL36" s="375">
        <f t="shared" si="184"/>
        <v>4.625</v>
      </c>
      <c r="FM36" s="376">
        <f t="shared" si="109"/>
        <v>67.375</v>
      </c>
      <c r="FN36" s="31"/>
      <c r="FO36" s="31"/>
      <c r="FP36" s="32"/>
      <c r="FQ36" s="32"/>
      <c r="FR36" s="32"/>
      <c r="FS36" s="32"/>
      <c r="FT36" s="32"/>
      <c r="FU36" s="32"/>
      <c r="FV36" s="31"/>
      <c r="FW36" s="31"/>
      <c r="FX36" s="31"/>
      <c r="FY36" s="31"/>
      <c r="FZ36" s="31"/>
      <c r="GA36" s="31"/>
      <c r="GB36" s="31"/>
      <c r="GC36" s="31"/>
      <c r="GD36" s="31"/>
      <c r="GE36" s="31"/>
      <c r="GF36" s="31"/>
      <c r="GG36" s="31"/>
      <c r="GH36" s="31"/>
      <c r="GI36" s="31"/>
      <c r="GJ36" s="32"/>
      <c r="GK36" s="32"/>
      <c r="GL36" s="32"/>
      <c r="GM36" s="32"/>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2"/>
      <c r="HO36" s="32"/>
      <c r="HP36" s="32"/>
      <c r="HQ36" s="32"/>
      <c r="HR36" s="32"/>
      <c r="HS36" s="32"/>
      <c r="HT36" s="32"/>
      <c r="HU36" s="32"/>
      <c r="HV36" s="32"/>
      <c r="HW36" s="32"/>
      <c r="HX36" s="32"/>
      <c r="HY36" s="32"/>
      <c r="HZ36" s="32"/>
      <c r="IA36" s="32"/>
      <c r="IB36" s="32"/>
      <c r="IC36" s="32"/>
      <c r="ID36" s="32"/>
      <c r="IE36" s="32"/>
      <c r="IF36" s="31"/>
      <c r="IG36" s="31"/>
      <c r="IH36" s="32"/>
      <c r="II36" s="32"/>
      <c r="IJ36" s="34"/>
      <c r="IK36" s="32"/>
      <c r="IL36" s="32"/>
      <c r="IM36" s="32"/>
      <c r="IN36" s="33"/>
      <c r="IO36" s="33"/>
      <c r="IP36" s="33"/>
      <c r="IQ36" s="25">
        <v>21</v>
      </c>
      <c r="IR36" s="26">
        <v>2.6549999999999998</v>
      </c>
      <c r="IS36" s="26">
        <v>2.6469999999999998</v>
      </c>
      <c r="IT36" s="26">
        <v>0.88400000000000001</v>
      </c>
      <c r="IU36" s="26">
        <v>1.75</v>
      </c>
      <c r="IV36" s="26">
        <v>1</v>
      </c>
      <c r="IW36" s="26">
        <v>1.125</v>
      </c>
      <c r="IX36" s="8"/>
    </row>
    <row r="37" spans="2:258" ht="15.75" thickBot="1" x14ac:dyDescent="0.3">
      <c r="B37" s="103">
        <f>B36+6</f>
        <v>114</v>
      </c>
      <c r="C37" s="221">
        <v>20</v>
      </c>
      <c r="D37" s="98">
        <f t="shared" si="1"/>
        <v>0.38790009746588688</v>
      </c>
      <c r="E37" s="96">
        <f t="shared" si="2"/>
        <v>0.44961147660818707</v>
      </c>
      <c r="F37" s="96">
        <f t="shared" si="3"/>
        <v>0.51132285575048719</v>
      </c>
      <c r="G37" s="96">
        <f t="shared" si="4"/>
        <v>0.54217854532163734</v>
      </c>
      <c r="H37" s="96">
        <f t="shared" si="5"/>
        <v>0.56069195906432745</v>
      </c>
      <c r="I37" s="96">
        <f t="shared" si="6"/>
        <v>0.57303423489278749</v>
      </c>
      <c r="J37" s="96">
        <f t="shared" si="7"/>
        <v>0.58185014619883046</v>
      </c>
      <c r="K37" s="96">
        <f t="shared" si="8"/>
        <v>0.58846207967836239</v>
      </c>
      <c r="L37" s="96">
        <f t="shared" si="9"/>
        <v>0.58185014619883035</v>
      </c>
      <c r="M37" s="96">
        <f t="shared" si="10"/>
        <v>0.58713969298245605</v>
      </c>
      <c r="N37" s="96">
        <f t="shared" si="11"/>
        <v>0.59146750398724068</v>
      </c>
      <c r="O37" s="96">
        <f t="shared" si="12"/>
        <v>0.59397202424463935</v>
      </c>
      <c r="P37" s="238"/>
      <c r="Q37" s="238"/>
      <c r="R37" s="238"/>
      <c r="S37" s="238"/>
      <c r="T37" s="238"/>
      <c r="U37" s="238"/>
      <c r="V37" s="238"/>
      <c r="W37" s="238"/>
      <c r="X37" s="96"/>
      <c r="Y37" s="65"/>
      <c r="AT37" s="4"/>
      <c r="AU37" s="27">
        <f t="shared" si="200"/>
        <v>96</v>
      </c>
      <c r="AV37" s="28" t="str">
        <f t="shared" si="166"/>
        <v>(2450)</v>
      </c>
      <c r="AW37" s="19">
        <f t="shared" si="201"/>
        <v>22</v>
      </c>
      <c r="AX37" s="20">
        <f t="shared" si="26"/>
        <v>2.3044236111111109</v>
      </c>
      <c r="AY37" s="21" t="str">
        <f t="shared" si="202"/>
        <v>(0.21)</v>
      </c>
      <c r="AZ37" s="22">
        <v>2</v>
      </c>
      <c r="BA37" s="22">
        <f t="shared" si="28"/>
        <v>3.5</v>
      </c>
      <c r="BB37" s="22">
        <v>0</v>
      </c>
      <c r="BC37" s="22">
        <f t="shared" si="29"/>
        <v>0</v>
      </c>
      <c r="BD37" s="22">
        <v>0</v>
      </c>
      <c r="BE37" s="22">
        <f t="shared" si="30"/>
        <v>0</v>
      </c>
      <c r="BF37" s="22">
        <f t="shared" si="168"/>
        <v>3.5</v>
      </c>
      <c r="BG37" s="23">
        <f t="shared" si="32"/>
        <v>5.5</v>
      </c>
      <c r="BH37" s="373">
        <f t="shared" si="33"/>
        <v>3.5613819444444439</v>
      </c>
      <c r="BI37" s="374" t="str">
        <f t="shared" si="169"/>
        <v>(0.33)</v>
      </c>
      <c r="BJ37" s="375">
        <v>2</v>
      </c>
      <c r="BK37" s="375">
        <f t="shared" si="35"/>
        <v>3.5</v>
      </c>
      <c r="BL37" s="375">
        <v>0</v>
      </c>
      <c r="BM37" s="375">
        <f t="shared" si="36"/>
        <v>0</v>
      </c>
      <c r="BN37" s="375">
        <v>0</v>
      </c>
      <c r="BO37" s="375">
        <f t="shared" si="37"/>
        <v>0</v>
      </c>
      <c r="BP37" s="375">
        <f t="shared" si="170"/>
        <v>3.5</v>
      </c>
      <c r="BQ37" s="376">
        <f t="shared" si="39"/>
        <v>8.5</v>
      </c>
      <c r="BR37" s="373">
        <f t="shared" si="40"/>
        <v>6.0752986111111111</v>
      </c>
      <c r="BS37" s="374" t="str">
        <f t="shared" si="41"/>
        <v>(0.56)</v>
      </c>
      <c r="BT37" s="375">
        <v>2</v>
      </c>
      <c r="BU37" s="375">
        <f t="shared" si="42"/>
        <v>3.5</v>
      </c>
      <c r="BV37" s="375">
        <v>0</v>
      </c>
      <c r="BW37" s="375">
        <f t="shared" si="43"/>
        <v>0</v>
      </c>
      <c r="BX37" s="375">
        <v>0</v>
      </c>
      <c r="BY37" s="375">
        <f t="shared" si="44"/>
        <v>0</v>
      </c>
      <c r="BZ37" s="375">
        <f t="shared" si="171"/>
        <v>3.5</v>
      </c>
      <c r="CA37" s="376">
        <f t="shared" si="46"/>
        <v>14.5</v>
      </c>
      <c r="CB37" s="373">
        <f t="shared" si="47"/>
        <v>8.589215277777777</v>
      </c>
      <c r="CC37" s="374" t="str">
        <f t="shared" si="48"/>
        <v>(0.8)</v>
      </c>
      <c r="CD37" s="375">
        <v>2</v>
      </c>
      <c r="CE37" s="375">
        <f t="shared" si="49"/>
        <v>3.5</v>
      </c>
      <c r="CF37" s="375">
        <v>0</v>
      </c>
      <c r="CG37" s="375">
        <f t="shared" si="50"/>
        <v>0</v>
      </c>
      <c r="CH37" s="375">
        <v>0</v>
      </c>
      <c r="CI37" s="375">
        <f t="shared" si="51"/>
        <v>0</v>
      </c>
      <c r="CJ37" s="375">
        <f t="shared" si="172"/>
        <v>3.5</v>
      </c>
      <c r="CK37" s="376">
        <f t="shared" si="53"/>
        <v>20.5</v>
      </c>
      <c r="CL37" s="373">
        <f t="shared" si="54"/>
        <v>11.103131944444444</v>
      </c>
      <c r="CM37" s="374" t="str">
        <f t="shared" si="55"/>
        <v>(1.03)</v>
      </c>
      <c r="CN37" s="375">
        <v>2</v>
      </c>
      <c r="CO37" s="375">
        <f t="shared" si="56"/>
        <v>3.5</v>
      </c>
      <c r="CP37" s="375">
        <v>0</v>
      </c>
      <c r="CQ37" s="375">
        <f t="shared" si="57"/>
        <v>0</v>
      </c>
      <c r="CR37" s="375">
        <v>0</v>
      </c>
      <c r="CS37" s="375">
        <f t="shared" si="58"/>
        <v>0</v>
      </c>
      <c r="CT37" s="375">
        <f t="shared" si="173"/>
        <v>3.5</v>
      </c>
      <c r="CU37" s="376">
        <f t="shared" si="60"/>
        <v>26.5</v>
      </c>
      <c r="CV37" s="373">
        <f t="shared" si="61"/>
        <v>13.617048611111109</v>
      </c>
      <c r="CW37" s="374" t="str">
        <f t="shared" si="62"/>
        <v>(1.27)</v>
      </c>
      <c r="CX37" s="375">
        <v>2</v>
      </c>
      <c r="CY37" s="375">
        <f t="shared" si="63"/>
        <v>3.5</v>
      </c>
      <c r="CZ37" s="375">
        <v>0</v>
      </c>
      <c r="DA37" s="375">
        <f t="shared" si="64"/>
        <v>0</v>
      </c>
      <c r="DB37" s="375">
        <v>0</v>
      </c>
      <c r="DC37" s="375">
        <f t="shared" si="65"/>
        <v>0</v>
      </c>
      <c r="DD37" s="375">
        <f t="shared" si="174"/>
        <v>3.5</v>
      </c>
      <c r="DE37" s="376">
        <f t="shared" si="67"/>
        <v>32.5</v>
      </c>
      <c r="DF37" s="373">
        <f t="shared" si="68"/>
        <v>16.130965277777776</v>
      </c>
      <c r="DG37" s="374" t="str">
        <f t="shared" si="69"/>
        <v>(1.5)</v>
      </c>
      <c r="DH37" s="375">
        <v>2</v>
      </c>
      <c r="DI37" s="375">
        <f t="shared" si="70"/>
        <v>3.5</v>
      </c>
      <c r="DJ37" s="375">
        <v>0</v>
      </c>
      <c r="DK37" s="375">
        <f t="shared" si="71"/>
        <v>0</v>
      </c>
      <c r="DL37" s="375">
        <v>0</v>
      </c>
      <c r="DM37" s="375">
        <f t="shared" si="72"/>
        <v>0</v>
      </c>
      <c r="DN37" s="375">
        <f t="shared" si="175"/>
        <v>3.5</v>
      </c>
      <c r="DO37" s="376">
        <f t="shared" si="74"/>
        <v>38.5</v>
      </c>
      <c r="DP37" s="373">
        <f t="shared" si="75"/>
        <v>18.644881944444442</v>
      </c>
      <c r="DQ37" s="374" t="str">
        <f t="shared" si="76"/>
        <v>(1.73)</v>
      </c>
      <c r="DR37" s="375">
        <v>2</v>
      </c>
      <c r="DS37" s="375">
        <f t="shared" si="77"/>
        <v>3.5</v>
      </c>
      <c r="DT37" s="375">
        <v>0</v>
      </c>
      <c r="DU37" s="375">
        <f t="shared" si="78"/>
        <v>0</v>
      </c>
      <c r="DV37" s="375">
        <v>0</v>
      </c>
      <c r="DW37" s="375">
        <f t="shared" si="79"/>
        <v>0</v>
      </c>
      <c r="DX37" s="375">
        <f t="shared" si="176"/>
        <v>3.5</v>
      </c>
      <c r="DY37" s="376">
        <f t="shared" si="81"/>
        <v>44.5</v>
      </c>
      <c r="DZ37" s="373">
        <f t="shared" si="82"/>
        <v>20.739812499999999</v>
      </c>
      <c r="EA37" s="374" t="str">
        <f t="shared" si="177"/>
        <v>(1.93)</v>
      </c>
      <c r="EB37" s="375">
        <v>2</v>
      </c>
      <c r="EC37" s="375">
        <f t="shared" si="84"/>
        <v>3.5</v>
      </c>
      <c r="ED37" s="375">
        <v>0</v>
      </c>
      <c r="EE37" s="375">
        <f t="shared" si="85"/>
        <v>0</v>
      </c>
      <c r="EF37" s="375">
        <v>1</v>
      </c>
      <c r="EG37" s="375">
        <f t="shared" si="86"/>
        <v>1</v>
      </c>
      <c r="EH37" s="375">
        <f t="shared" si="178"/>
        <v>4.5</v>
      </c>
      <c r="EI37" s="376">
        <f t="shared" si="88"/>
        <v>49.5</v>
      </c>
      <c r="EJ37" s="373">
        <f t="shared" si="89"/>
        <v>23.253729166666666</v>
      </c>
      <c r="EK37" s="374" t="str">
        <f t="shared" si="203"/>
        <v>(2.16)</v>
      </c>
      <c r="EL37" s="375">
        <v>2</v>
      </c>
      <c r="EM37" s="375">
        <f t="shared" si="91"/>
        <v>3.5</v>
      </c>
      <c r="EN37" s="375">
        <v>0</v>
      </c>
      <c r="EO37" s="375">
        <f t="shared" si="92"/>
        <v>0</v>
      </c>
      <c r="EP37" s="375">
        <v>1</v>
      </c>
      <c r="EQ37" s="375">
        <f t="shared" si="93"/>
        <v>1</v>
      </c>
      <c r="ER37" s="375">
        <f t="shared" si="180"/>
        <v>4.5</v>
      </c>
      <c r="ES37" s="376">
        <f t="shared" si="95"/>
        <v>55.5</v>
      </c>
      <c r="ET37" s="373">
        <f t="shared" si="96"/>
        <v>25.767645833333333</v>
      </c>
      <c r="EU37" s="374" t="str">
        <f t="shared" si="204"/>
        <v>(2.39)</v>
      </c>
      <c r="EV37" s="375">
        <v>2</v>
      </c>
      <c r="EW37" s="375">
        <f t="shared" si="98"/>
        <v>3.5</v>
      </c>
      <c r="EX37" s="375">
        <v>0</v>
      </c>
      <c r="EY37" s="375">
        <f t="shared" si="99"/>
        <v>0</v>
      </c>
      <c r="EZ37" s="375">
        <v>1</v>
      </c>
      <c r="FA37" s="375">
        <f t="shared" si="100"/>
        <v>1</v>
      </c>
      <c r="FB37" s="375">
        <f t="shared" si="182"/>
        <v>4.5</v>
      </c>
      <c r="FC37" s="376">
        <f t="shared" si="102"/>
        <v>61.5</v>
      </c>
      <c r="FD37" s="373">
        <f t="shared" si="103"/>
        <v>28.229189236111111</v>
      </c>
      <c r="FE37" s="374" t="str">
        <f t="shared" si="183"/>
        <v>(2.62)</v>
      </c>
      <c r="FF37" s="375">
        <v>2</v>
      </c>
      <c r="FG37" s="375">
        <f t="shared" si="105"/>
        <v>3.5</v>
      </c>
      <c r="FH37" s="375">
        <v>1</v>
      </c>
      <c r="FI37" s="375">
        <f t="shared" si="106"/>
        <v>1.125</v>
      </c>
      <c r="FJ37" s="375">
        <v>0</v>
      </c>
      <c r="FK37" s="375">
        <f t="shared" si="107"/>
        <v>0</v>
      </c>
      <c r="FL37" s="375">
        <f t="shared" si="184"/>
        <v>4.625</v>
      </c>
      <c r="FM37" s="376">
        <f t="shared" si="109"/>
        <v>67.375</v>
      </c>
      <c r="FN37" s="31"/>
      <c r="FO37" s="31"/>
      <c r="FP37" s="32"/>
      <c r="FQ37" s="32"/>
      <c r="FR37" s="32"/>
      <c r="FS37" s="32"/>
      <c r="FT37" s="32"/>
      <c r="FU37" s="32"/>
      <c r="FV37" s="31"/>
      <c r="FW37" s="31"/>
      <c r="FX37" s="31"/>
      <c r="FY37" s="31"/>
      <c r="FZ37" s="31"/>
      <c r="GA37" s="31"/>
      <c r="GB37" s="31"/>
      <c r="GC37" s="31"/>
      <c r="GD37" s="31"/>
      <c r="GE37" s="31"/>
      <c r="GF37" s="31"/>
      <c r="GG37" s="31"/>
      <c r="GH37" s="31"/>
      <c r="GI37" s="31"/>
      <c r="GJ37" s="32"/>
      <c r="GK37" s="32"/>
      <c r="GL37" s="32"/>
      <c r="GM37" s="32"/>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2"/>
      <c r="HO37" s="32"/>
      <c r="HP37" s="32"/>
      <c r="HQ37" s="32"/>
      <c r="HR37" s="32"/>
      <c r="HS37" s="32"/>
      <c r="HT37" s="32"/>
      <c r="HU37" s="32"/>
      <c r="HV37" s="32"/>
      <c r="HW37" s="32"/>
      <c r="HX37" s="32"/>
      <c r="HY37" s="32"/>
      <c r="HZ37" s="32"/>
      <c r="IA37" s="32"/>
      <c r="IB37" s="32"/>
      <c r="IC37" s="32"/>
      <c r="ID37" s="32"/>
      <c r="IE37" s="32"/>
      <c r="IF37" s="31"/>
      <c r="IG37" s="31"/>
      <c r="IH37" s="32"/>
      <c r="II37" s="32"/>
      <c r="IJ37" s="32"/>
      <c r="IK37" s="32"/>
      <c r="IL37" s="32"/>
      <c r="IM37" s="32"/>
      <c r="IN37" s="33"/>
      <c r="IO37" s="33"/>
      <c r="IP37" s="33"/>
      <c r="IQ37" s="25">
        <v>22</v>
      </c>
      <c r="IR37" s="26">
        <v>2.6549999999999998</v>
      </c>
      <c r="IS37" s="26">
        <v>2.6469999999999998</v>
      </c>
      <c r="IT37" s="26">
        <v>2.0920000000000001</v>
      </c>
      <c r="IU37" s="26">
        <v>1.75</v>
      </c>
      <c r="IV37" s="26">
        <v>1</v>
      </c>
      <c r="IW37" s="26">
        <v>1.125</v>
      </c>
      <c r="IX37" s="8"/>
    </row>
    <row r="38" spans="2:258" ht="15.75" thickBot="1" x14ac:dyDescent="0.3">
      <c r="B38" s="103">
        <f t="shared" si="25"/>
        <v>120</v>
      </c>
      <c r="C38" s="227">
        <v>21</v>
      </c>
      <c r="D38" s="98">
        <f t="shared" si="1"/>
        <v>0.388137037037037</v>
      </c>
      <c r="E38" s="96">
        <f t="shared" si="2"/>
        <v>0.44988611111111104</v>
      </c>
      <c r="F38" s="96">
        <f t="shared" si="3"/>
        <v>0.51163518518518514</v>
      </c>
      <c r="G38" s="96">
        <f t="shared" si="4"/>
        <v>0.54250972222222216</v>
      </c>
      <c r="H38" s="96">
        <f t="shared" si="5"/>
        <v>0.56103444444444439</v>
      </c>
      <c r="I38" s="96">
        <f t="shared" si="6"/>
        <v>0.57338425925925918</v>
      </c>
      <c r="J38" s="96">
        <f t="shared" si="7"/>
        <v>0.58220555555555542</v>
      </c>
      <c r="K38" s="96">
        <f t="shared" si="8"/>
        <v>0.58882152777777774</v>
      </c>
      <c r="L38" s="96">
        <f t="shared" si="9"/>
        <v>0.58220555555555542</v>
      </c>
      <c r="M38" s="96">
        <f t="shared" si="10"/>
        <v>0.58749833333333323</v>
      </c>
      <c r="N38" s="96">
        <f t="shared" si="11"/>
        <v>0.59182878787878779</v>
      </c>
      <c r="O38" s="96">
        <f t="shared" si="12"/>
        <v>0.59433483796296294</v>
      </c>
      <c r="P38" s="238"/>
      <c r="Q38" s="238"/>
      <c r="R38" s="238"/>
      <c r="S38" s="238"/>
      <c r="T38" s="238"/>
      <c r="U38" s="238"/>
      <c r="V38" s="238"/>
      <c r="W38" s="238"/>
      <c r="X38" s="96"/>
      <c r="Y38" s="65"/>
      <c r="AT38" s="4"/>
      <c r="AU38" s="27">
        <f t="shared" si="200"/>
        <v>102</v>
      </c>
      <c r="AV38" s="28" t="str">
        <f t="shared" si="166"/>
        <v>(2600)</v>
      </c>
      <c r="AW38" s="19">
        <f t="shared" si="201"/>
        <v>23</v>
      </c>
      <c r="AX38" s="20">
        <f t="shared" si="26"/>
        <v>2.4604861111111109</v>
      </c>
      <c r="AY38" s="21" t="str">
        <f t="shared" si="202"/>
        <v>(0.23)</v>
      </c>
      <c r="AZ38" s="22">
        <v>2</v>
      </c>
      <c r="BA38" s="22">
        <f t="shared" si="28"/>
        <v>3.5</v>
      </c>
      <c r="BB38" s="22">
        <v>0</v>
      </c>
      <c r="BC38" s="22">
        <f t="shared" si="29"/>
        <v>0</v>
      </c>
      <c r="BD38" s="22">
        <v>0</v>
      </c>
      <c r="BE38" s="22">
        <f t="shared" si="30"/>
        <v>0</v>
      </c>
      <c r="BF38" s="22">
        <f t="shared" si="168"/>
        <v>3.5</v>
      </c>
      <c r="BG38" s="23">
        <f t="shared" si="32"/>
        <v>5.5</v>
      </c>
      <c r="BH38" s="373">
        <f t="shared" si="33"/>
        <v>3.802569444444444</v>
      </c>
      <c r="BI38" s="374" t="str">
        <f t="shared" si="169"/>
        <v>(0.35)</v>
      </c>
      <c r="BJ38" s="375">
        <v>2</v>
      </c>
      <c r="BK38" s="375">
        <f t="shared" si="35"/>
        <v>3.5</v>
      </c>
      <c r="BL38" s="375">
        <v>0</v>
      </c>
      <c r="BM38" s="375">
        <f t="shared" si="36"/>
        <v>0</v>
      </c>
      <c r="BN38" s="375">
        <v>0</v>
      </c>
      <c r="BO38" s="375">
        <f t="shared" si="37"/>
        <v>0</v>
      </c>
      <c r="BP38" s="375">
        <f t="shared" si="170"/>
        <v>3.5</v>
      </c>
      <c r="BQ38" s="376">
        <f t="shared" si="39"/>
        <v>8.5</v>
      </c>
      <c r="BR38" s="373">
        <f t="shared" si="40"/>
        <v>6.4867361111111101</v>
      </c>
      <c r="BS38" s="374" t="str">
        <f t="shared" si="41"/>
        <v>(0.6)</v>
      </c>
      <c r="BT38" s="375">
        <v>2</v>
      </c>
      <c r="BU38" s="375">
        <f t="shared" si="42"/>
        <v>3.5</v>
      </c>
      <c r="BV38" s="375">
        <v>0</v>
      </c>
      <c r="BW38" s="375">
        <f t="shared" si="43"/>
        <v>0</v>
      </c>
      <c r="BX38" s="375">
        <v>0</v>
      </c>
      <c r="BY38" s="375">
        <f t="shared" si="44"/>
        <v>0</v>
      </c>
      <c r="BZ38" s="375">
        <f t="shared" si="171"/>
        <v>3.5</v>
      </c>
      <c r="CA38" s="376">
        <f t="shared" si="46"/>
        <v>14.5</v>
      </c>
      <c r="CB38" s="373">
        <f t="shared" si="47"/>
        <v>9.1709027777777763</v>
      </c>
      <c r="CC38" s="374" t="str">
        <f t="shared" si="48"/>
        <v>(0.85)</v>
      </c>
      <c r="CD38" s="375">
        <v>2</v>
      </c>
      <c r="CE38" s="375">
        <f t="shared" si="49"/>
        <v>3.5</v>
      </c>
      <c r="CF38" s="375">
        <v>0</v>
      </c>
      <c r="CG38" s="375">
        <f t="shared" si="50"/>
        <v>0</v>
      </c>
      <c r="CH38" s="375">
        <v>0</v>
      </c>
      <c r="CI38" s="375">
        <f t="shared" si="51"/>
        <v>0</v>
      </c>
      <c r="CJ38" s="375">
        <f t="shared" si="172"/>
        <v>3.5</v>
      </c>
      <c r="CK38" s="376">
        <f t="shared" si="53"/>
        <v>20.5</v>
      </c>
      <c r="CL38" s="373">
        <f t="shared" si="54"/>
        <v>11.855069444444442</v>
      </c>
      <c r="CM38" s="374" t="str">
        <f t="shared" si="55"/>
        <v>(1.1)</v>
      </c>
      <c r="CN38" s="375">
        <v>2</v>
      </c>
      <c r="CO38" s="375">
        <f t="shared" si="56"/>
        <v>3.5</v>
      </c>
      <c r="CP38" s="375">
        <v>0</v>
      </c>
      <c r="CQ38" s="375">
        <f t="shared" si="57"/>
        <v>0</v>
      </c>
      <c r="CR38" s="375">
        <v>0</v>
      </c>
      <c r="CS38" s="375">
        <f t="shared" si="58"/>
        <v>0</v>
      </c>
      <c r="CT38" s="375">
        <f t="shared" si="173"/>
        <v>3.5</v>
      </c>
      <c r="CU38" s="376">
        <f t="shared" si="60"/>
        <v>26.5</v>
      </c>
      <c r="CV38" s="373">
        <f t="shared" si="61"/>
        <v>14.539236111111109</v>
      </c>
      <c r="CW38" s="374" t="str">
        <f t="shared" si="62"/>
        <v>(1.35)</v>
      </c>
      <c r="CX38" s="375">
        <v>2</v>
      </c>
      <c r="CY38" s="375">
        <f t="shared" si="63"/>
        <v>3.5</v>
      </c>
      <c r="CZ38" s="375">
        <v>0</v>
      </c>
      <c r="DA38" s="375">
        <f t="shared" si="64"/>
        <v>0</v>
      </c>
      <c r="DB38" s="375">
        <v>0</v>
      </c>
      <c r="DC38" s="375">
        <f t="shared" si="65"/>
        <v>0</v>
      </c>
      <c r="DD38" s="375">
        <f t="shared" si="174"/>
        <v>3.5</v>
      </c>
      <c r="DE38" s="376">
        <f t="shared" si="67"/>
        <v>32.5</v>
      </c>
      <c r="DF38" s="373">
        <f t="shared" si="68"/>
        <v>17.223402777777775</v>
      </c>
      <c r="DG38" s="374" t="str">
        <f t="shared" si="69"/>
        <v>(1.6)</v>
      </c>
      <c r="DH38" s="375">
        <v>2</v>
      </c>
      <c r="DI38" s="375">
        <f t="shared" si="70"/>
        <v>3.5</v>
      </c>
      <c r="DJ38" s="375">
        <v>0</v>
      </c>
      <c r="DK38" s="375">
        <f t="shared" si="71"/>
        <v>0</v>
      </c>
      <c r="DL38" s="375">
        <v>0</v>
      </c>
      <c r="DM38" s="375">
        <f t="shared" si="72"/>
        <v>0</v>
      </c>
      <c r="DN38" s="375">
        <f t="shared" si="175"/>
        <v>3.5</v>
      </c>
      <c r="DO38" s="376">
        <f t="shared" si="74"/>
        <v>38.5</v>
      </c>
      <c r="DP38" s="373">
        <f t="shared" si="75"/>
        <v>19.907569444444441</v>
      </c>
      <c r="DQ38" s="374" t="str">
        <f t="shared" si="76"/>
        <v>(1.85)</v>
      </c>
      <c r="DR38" s="375">
        <v>2</v>
      </c>
      <c r="DS38" s="375">
        <f t="shared" si="77"/>
        <v>3.5</v>
      </c>
      <c r="DT38" s="375">
        <v>0</v>
      </c>
      <c r="DU38" s="375">
        <f t="shared" si="78"/>
        <v>0</v>
      </c>
      <c r="DV38" s="375">
        <v>0</v>
      </c>
      <c r="DW38" s="375">
        <f t="shared" si="79"/>
        <v>0</v>
      </c>
      <c r="DX38" s="375">
        <f t="shared" si="176"/>
        <v>3.5</v>
      </c>
      <c r="DY38" s="376">
        <f t="shared" si="81"/>
        <v>44.5</v>
      </c>
      <c r="DZ38" s="373">
        <f t="shared" si="82"/>
        <v>22.144374999999997</v>
      </c>
      <c r="EA38" s="374" t="str">
        <f t="shared" si="177"/>
        <v>(2.06)</v>
      </c>
      <c r="EB38" s="375">
        <v>2</v>
      </c>
      <c r="EC38" s="375">
        <f t="shared" si="84"/>
        <v>3.5</v>
      </c>
      <c r="ED38" s="375">
        <v>0</v>
      </c>
      <c r="EE38" s="375">
        <f t="shared" si="85"/>
        <v>0</v>
      </c>
      <c r="EF38" s="375">
        <v>1</v>
      </c>
      <c r="EG38" s="375">
        <f t="shared" si="86"/>
        <v>1</v>
      </c>
      <c r="EH38" s="375">
        <f t="shared" si="178"/>
        <v>4.5</v>
      </c>
      <c r="EI38" s="376">
        <f t="shared" si="88"/>
        <v>49.5</v>
      </c>
      <c r="EJ38" s="373">
        <f t="shared" si="89"/>
        <v>24.828541666666663</v>
      </c>
      <c r="EK38" s="374" t="str">
        <f t="shared" si="203"/>
        <v>(2.31)</v>
      </c>
      <c r="EL38" s="375">
        <v>2</v>
      </c>
      <c r="EM38" s="375">
        <f t="shared" si="91"/>
        <v>3.5</v>
      </c>
      <c r="EN38" s="375">
        <v>0</v>
      </c>
      <c r="EO38" s="375">
        <f t="shared" si="92"/>
        <v>0</v>
      </c>
      <c r="EP38" s="375">
        <v>1</v>
      </c>
      <c r="EQ38" s="375">
        <f t="shared" si="93"/>
        <v>1</v>
      </c>
      <c r="ER38" s="375">
        <f t="shared" si="180"/>
        <v>4.5</v>
      </c>
      <c r="ES38" s="376">
        <f t="shared" si="95"/>
        <v>55.5</v>
      </c>
      <c r="ET38" s="373">
        <f t="shared" si="96"/>
        <v>27.512708333333325</v>
      </c>
      <c r="EU38" s="374" t="str">
        <f t="shared" si="204"/>
        <v>(2.56)</v>
      </c>
      <c r="EV38" s="375">
        <v>2</v>
      </c>
      <c r="EW38" s="375">
        <f t="shared" si="98"/>
        <v>3.5</v>
      </c>
      <c r="EX38" s="375">
        <v>0</v>
      </c>
      <c r="EY38" s="375">
        <f t="shared" si="99"/>
        <v>0</v>
      </c>
      <c r="EZ38" s="375">
        <v>1</v>
      </c>
      <c r="FA38" s="375">
        <f t="shared" si="100"/>
        <v>1</v>
      </c>
      <c r="FB38" s="375">
        <f t="shared" si="182"/>
        <v>4.5</v>
      </c>
      <c r="FC38" s="376">
        <f t="shared" si="102"/>
        <v>61.5</v>
      </c>
      <c r="FD38" s="373">
        <f t="shared" si="103"/>
        <v>30.140954861111101</v>
      </c>
      <c r="FE38" s="374" t="str">
        <f t="shared" si="183"/>
        <v>(2.80)</v>
      </c>
      <c r="FF38" s="375">
        <v>2</v>
      </c>
      <c r="FG38" s="375">
        <f t="shared" si="105"/>
        <v>3.5</v>
      </c>
      <c r="FH38" s="375">
        <v>1</v>
      </c>
      <c r="FI38" s="375">
        <f t="shared" si="106"/>
        <v>1.125</v>
      </c>
      <c r="FJ38" s="375">
        <v>0</v>
      </c>
      <c r="FK38" s="375">
        <f t="shared" si="107"/>
        <v>0</v>
      </c>
      <c r="FL38" s="375">
        <f t="shared" si="184"/>
        <v>4.625</v>
      </c>
      <c r="FM38" s="376">
        <f t="shared" si="109"/>
        <v>67.375</v>
      </c>
      <c r="FN38" s="31"/>
      <c r="FO38" s="31"/>
      <c r="FP38" s="32"/>
      <c r="FQ38" s="32"/>
      <c r="FR38" s="32"/>
      <c r="FS38" s="32"/>
      <c r="FT38" s="32"/>
      <c r="FU38" s="32"/>
      <c r="FV38" s="31"/>
      <c r="FW38" s="31"/>
      <c r="FX38" s="31"/>
      <c r="FY38" s="31"/>
      <c r="FZ38" s="31"/>
      <c r="GA38" s="31"/>
      <c r="GB38" s="31"/>
      <c r="GC38" s="31"/>
      <c r="GD38" s="31"/>
      <c r="GE38" s="31"/>
      <c r="GF38" s="31"/>
      <c r="GG38" s="31"/>
      <c r="GH38" s="31"/>
      <c r="GI38" s="31"/>
      <c r="GJ38" s="32"/>
      <c r="GK38" s="32"/>
      <c r="GL38" s="32"/>
      <c r="GM38" s="32"/>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2"/>
      <c r="HO38" s="32"/>
      <c r="HP38" s="32"/>
      <c r="HQ38" s="32"/>
      <c r="HR38" s="32"/>
      <c r="HS38" s="32"/>
      <c r="HT38" s="32"/>
      <c r="HU38" s="32"/>
      <c r="HV38" s="32"/>
      <c r="HW38" s="32"/>
      <c r="HX38" s="32"/>
      <c r="HY38" s="32"/>
      <c r="HZ38" s="32"/>
      <c r="IA38" s="32"/>
      <c r="IB38" s="32"/>
      <c r="IC38" s="32"/>
      <c r="ID38" s="32"/>
      <c r="IE38" s="32"/>
      <c r="IF38" s="31"/>
      <c r="IG38" s="31"/>
      <c r="IH38" s="32"/>
      <c r="II38" s="32"/>
      <c r="IJ38" s="32"/>
      <c r="IK38" s="32"/>
      <c r="IL38" s="32"/>
      <c r="IM38" s="32"/>
      <c r="IN38" s="33"/>
      <c r="IO38" s="33"/>
      <c r="IP38" s="33"/>
      <c r="IQ38" s="25">
        <v>24</v>
      </c>
      <c r="IR38" s="26">
        <v>2.6549999999999998</v>
      </c>
      <c r="IS38" s="26">
        <v>2.6469999999999998</v>
      </c>
      <c r="IT38" s="26">
        <v>0.88400000000000001</v>
      </c>
      <c r="IU38" s="26">
        <v>1.75</v>
      </c>
      <c r="IV38" s="26">
        <v>1</v>
      </c>
      <c r="IW38" s="26">
        <v>1.125</v>
      </c>
      <c r="IX38" s="8"/>
    </row>
    <row r="39" spans="2:258" ht="15.75" thickBot="1" x14ac:dyDescent="0.3">
      <c r="B39" s="66"/>
      <c r="C39" s="96"/>
      <c r="D39" s="96"/>
      <c r="E39" s="96"/>
      <c r="F39" s="96"/>
      <c r="G39" s="96"/>
      <c r="H39" s="96"/>
      <c r="I39" s="96"/>
      <c r="J39" s="96"/>
      <c r="K39" s="96"/>
      <c r="L39" s="96"/>
      <c r="M39" s="96"/>
      <c r="N39" s="96"/>
      <c r="O39" s="96"/>
      <c r="P39" s="96"/>
      <c r="Q39" s="96"/>
      <c r="R39" s="96"/>
      <c r="S39" s="96"/>
      <c r="T39" s="96"/>
      <c r="U39" s="96"/>
      <c r="V39" s="96"/>
      <c r="W39" s="96"/>
      <c r="X39" s="96"/>
      <c r="Y39" s="65"/>
      <c r="AT39" s="4"/>
      <c r="AU39" s="27">
        <f t="shared" si="200"/>
        <v>108</v>
      </c>
      <c r="AV39" s="28" t="str">
        <f t="shared" si="166"/>
        <v>(2750)</v>
      </c>
      <c r="AW39" s="19">
        <f t="shared" si="201"/>
        <v>24</v>
      </c>
      <c r="AX39" s="20">
        <f t="shared" si="26"/>
        <v>2.607725694444444</v>
      </c>
      <c r="AY39" s="21" t="str">
        <f t="shared" si="202"/>
        <v>(0.24)</v>
      </c>
      <c r="AZ39" s="22">
        <v>2</v>
      </c>
      <c r="BA39" s="22">
        <f t="shared" si="28"/>
        <v>3.5</v>
      </c>
      <c r="BB39" s="22">
        <v>0</v>
      </c>
      <c r="BC39" s="22">
        <f t="shared" si="29"/>
        <v>0</v>
      </c>
      <c r="BD39" s="22">
        <v>0</v>
      </c>
      <c r="BE39" s="22">
        <f t="shared" si="30"/>
        <v>0</v>
      </c>
      <c r="BF39" s="22">
        <f t="shared" si="168"/>
        <v>3.5</v>
      </c>
      <c r="BG39" s="23">
        <f t="shared" si="32"/>
        <v>5.5</v>
      </c>
      <c r="BH39" s="373">
        <f t="shared" si="33"/>
        <v>4.0301215277777773</v>
      </c>
      <c r="BI39" s="374" t="str">
        <f t="shared" si="169"/>
        <v>(0.37)</v>
      </c>
      <c r="BJ39" s="375">
        <v>2</v>
      </c>
      <c r="BK39" s="375">
        <f t="shared" si="35"/>
        <v>3.5</v>
      </c>
      <c r="BL39" s="375">
        <v>0</v>
      </c>
      <c r="BM39" s="375">
        <f t="shared" si="36"/>
        <v>0</v>
      </c>
      <c r="BN39" s="375">
        <v>0</v>
      </c>
      <c r="BO39" s="375">
        <f t="shared" si="37"/>
        <v>0</v>
      </c>
      <c r="BP39" s="375">
        <f t="shared" si="170"/>
        <v>3.5</v>
      </c>
      <c r="BQ39" s="376">
        <f t="shared" si="39"/>
        <v>8.5</v>
      </c>
      <c r="BR39" s="373">
        <f t="shared" si="40"/>
        <v>6.874913194444443</v>
      </c>
      <c r="BS39" s="374" t="str">
        <f t="shared" si="41"/>
        <v>(0.64)</v>
      </c>
      <c r="BT39" s="375">
        <v>2</v>
      </c>
      <c r="BU39" s="375">
        <f t="shared" si="42"/>
        <v>3.5</v>
      </c>
      <c r="BV39" s="375">
        <v>0</v>
      </c>
      <c r="BW39" s="375">
        <f t="shared" si="43"/>
        <v>0</v>
      </c>
      <c r="BX39" s="375">
        <v>0</v>
      </c>
      <c r="BY39" s="375">
        <f t="shared" si="44"/>
        <v>0</v>
      </c>
      <c r="BZ39" s="375">
        <f t="shared" si="171"/>
        <v>3.5</v>
      </c>
      <c r="CA39" s="376">
        <f t="shared" si="46"/>
        <v>14.5</v>
      </c>
      <c r="CB39" s="373">
        <f t="shared" si="47"/>
        <v>9.7197048611111097</v>
      </c>
      <c r="CC39" s="374" t="str">
        <f t="shared" si="48"/>
        <v>(0.9)</v>
      </c>
      <c r="CD39" s="375">
        <v>2</v>
      </c>
      <c r="CE39" s="375">
        <f t="shared" si="49"/>
        <v>3.5</v>
      </c>
      <c r="CF39" s="375">
        <v>0</v>
      </c>
      <c r="CG39" s="375">
        <f t="shared" si="50"/>
        <v>0</v>
      </c>
      <c r="CH39" s="375">
        <v>0</v>
      </c>
      <c r="CI39" s="375">
        <f t="shared" si="51"/>
        <v>0</v>
      </c>
      <c r="CJ39" s="375">
        <f t="shared" si="172"/>
        <v>3.5</v>
      </c>
      <c r="CK39" s="376">
        <f t="shared" si="53"/>
        <v>20.5</v>
      </c>
      <c r="CL39" s="373">
        <f t="shared" si="54"/>
        <v>12.564496527777775</v>
      </c>
      <c r="CM39" s="374" t="str">
        <f t="shared" si="55"/>
        <v>(1.17)</v>
      </c>
      <c r="CN39" s="375">
        <v>2</v>
      </c>
      <c r="CO39" s="375">
        <f t="shared" si="56"/>
        <v>3.5</v>
      </c>
      <c r="CP39" s="375">
        <v>0</v>
      </c>
      <c r="CQ39" s="375">
        <f t="shared" si="57"/>
        <v>0</v>
      </c>
      <c r="CR39" s="375">
        <v>0</v>
      </c>
      <c r="CS39" s="375">
        <f t="shared" si="58"/>
        <v>0</v>
      </c>
      <c r="CT39" s="375">
        <f t="shared" si="173"/>
        <v>3.5</v>
      </c>
      <c r="CU39" s="376">
        <f t="shared" si="60"/>
        <v>26.5</v>
      </c>
      <c r="CV39" s="373">
        <f t="shared" si="61"/>
        <v>15.409288194444441</v>
      </c>
      <c r="CW39" s="374" t="str">
        <f t="shared" si="62"/>
        <v>(1.43)</v>
      </c>
      <c r="CX39" s="375">
        <v>2</v>
      </c>
      <c r="CY39" s="375">
        <f t="shared" si="63"/>
        <v>3.5</v>
      </c>
      <c r="CZ39" s="375">
        <v>0</v>
      </c>
      <c r="DA39" s="375">
        <f t="shared" si="64"/>
        <v>0</v>
      </c>
      <c r="DB39" s="375">
        <v>0</v>
      </c>
      <c r="DC39" s="375">
        <f t="shared" si="65"/>
        <v>0</v>
      </c>
      <c r="DD39" s="375">
        <f t="shared" si="174"/>
        <v>3.5</v>
      </c>
      <c r="DE39" s="376">
        <f t="shared" si="67"/>
        <v>32.5</v>
      </c>
      <c r="DF39" s="373">
        <f t="shared" si="68"/>
        <v>18.254079861111109</v>
      </c>
      <c r="DG39" s="374" t="str">
        <f t="shared" si="69"/>
        <v>(1.7)</v>
      </c>
      <c r="DH39" s="375">
        <v>2</v>
      </c>
      <c r="DI39" s="375">
        <f t="shared" si="70"/>
        <v>3.5</v>
      </c>
      <c r="DJ39" s="375">
        <v>0</v>
      </c>
      <c r="DK39" s="375">
        <f t="shared" si="71"/>
        <v>0</v>
      </c>
      <c r="DL39" s="375">
        <v>0</v>
      </c>
      <c r="DM39" s="375">
        <f t="shared" si="72"/>
        <v>0</v>
      </c>
      <c r="DN39" s="375">
        <f t="shared" si="175"/>
        <v>3.5</v>
      </c>
      <c r="DO39" s="376">
        <f t="shared" si="74"/>
        <v>38.5</v>
      </c>
      <c r="DP39" s="373">
        <f t="shared" si="75"/>
        <v>21.098871527777774</v>
      </c>
      <c r="DQ39" s="374" t="str">
        <f t="shared" si="76"/>
        <v>(1.96)</v>
      </c>
      <c r="DR39" s="375">
        <v>2</v>
      </c>
      <c r="DS39" s="375">
        <f t="shared" si="77"/>
        <v>3.5</v>
      </c>
      <c r="DT39" s="375">
        <v>0</v>
      </c>
      <c r="DU39" s="375">
        <f t="shared" si="78"/>
        <v>0</v>
      </c>
      <c r="DV39" s="375">
        <v>0</v>
      </c>
      <c r="DW39" s="375">
        <f t="shared" si="79"/>
        <v>0</v>
      </c>
      <c r="DX39" s="375">
        <f t="shared" si="176"/>
        <v>3.5</v>
      </c>
      <c r="DY39" s="376">
        <f t="shared" si="81"/>
        <v>44.5</v>
      </c>
      <c r="DZ39" s="373">
        <f t="shared" si="82"/>
        <v>23.469531249999999</v>
      </c>
      <c r="EA39" s="374" t="str">
        <f t="shared" si="177"/>
        <v>(2.18)</v>
      </c>
      <c r="EB39" s="375">
        <v>2</v>
      </c>
      <c r="EC39" s="375">
        <f t="shared" si="84"/>
        <v>3.5</v>
      </c>
      <c r="ED39" s="375">
        <v>0</v>
      </c>
      <c r="EE39" s="375">
        <f t="shared" si="85"/>
        <v>0</v>
      </c>
      <c r="EF39" s="375">
        <v>1</v>
      </c>
      <c r="EG39" s="375">
        <f t="shared" si="86"/>
        <v>1</v>
      </c>
      <c r="EH39" s="375">
        <f t="shared" si="178"/>
        <v>4.5</v>
      </c>
      <c r="EI39" s="376">
        <f t="shared" si="88"/>
        <v>49.5</v>
      </c>
      <c r="EJ39" s="373">
        <f t="shared" si="89"/>
        <v>26.314322916666661</v>
      </c>
      <c r="EK39" s="374" t="str">
        <f t="shared" si="203"/>
        <v>(2.44)</v>
      </c>
      <c r="EL39" s="375">
        <v>2</v>
      </c>
      <c r="EM39" s="375">
        <f t="shared" si="91"/>
        <v>3.5</v>
      </c>
      <c r="EN39" s="375">
        <v>0</v>
      </c>
      <c r="EO39" s="375">
        <f t="shared" si="92"/>
        <v>0</v>
      </c>
      <c r="EP39" s="375">
        <v>1</v>
      </c>
      <c r="EQ39" s="375">
        <f t="shared" si="93"/>
        <v>1</v>
      </c>
      <c r="ER39" s="375">
        <f t="shared" si="180"/>
        <v>4.5</v>
      </c>
      <c r="ES39" s="376">
        <f t="shared" si="95"/>
        <v>55.5</v>
      </c>
      <c r="ET39" s="373">
        <f t="shared" si="96"/>
        <v>29.159114583333331</v>
      </c>
      <c r="EU39" s="374" t="str">
        <f t="shared" si="204"/>
        <v>(2.71)</v>
      </c>
      <c r="EV39" s="375">
        <v>2</v>
      </c>
      <c r="EW39" s="375">
        <f t="shared" si="98"/>
        <v>3.5</v>
      </c>
      <c r="EX39" s="375">
        <v>0</v>
      </c>
      <c r="EY39" s="375">
        <f t="shared" si="99"/>
        <v>0</v>
      </c>
      <c r="EZ39" s="375">
        <v>1</v>
      </c>
      <c r="FA39" s="375">
        <f t="shared" si="100"/>
        <v>1</v>
      </c>
      <c r="FB39" s="375">
        <f t="shared" si="182"/>
        <v>4.5</v>
      </c>
      <c r="FC39" s="376">
        <f t="shared" si="102"/>
        <v>61.5</v>
      </c>
      <c r="FD39" s="373">
        <f t="shared" si="103"/>
        <v>31.944639756944444</v>
      </c>
      <c r="FE39" s="374" t="str">
        <f t="shared" si="183"/>
        <v>(2.97)</v>
      </c>
      <c r="FF39" s="375">
        <v>2</v>
      </c>
      <c r="FG39" s="375">
        <f t="shared" si="105"/>
        <v>3.5</v>
      </c>
      <c r="FH39" s="375">
        <v>1</v>
      </c>
      <c r="FI39" s="375">
        <f t="shared" si="106"/>
        <v>1.125</v>
      </c>
      <c r="FJ39" s="375">
        <v>0</v>
      </c>
      <c r="FK39" s="375">
        <f t="shared" si="107"/>
        <v>0</v>
      </c>
      <c r="FL39" s="375">
        <f t="shared" si="184"/>
        <v>4.625</v>
      </c>
      <c r="FM39" s="376">
        <f t="shared" si="109"/>
        <v>67.375</v>
      </c>
      <c r="FN39" s="31"/>
      <c r="FO39" s="31"/>
      <c r="FP39" s="32"/>
      <c r="FQ39" s="32"/>
      <c r="FR39" s="32"/>
      <c r="FS39" s="32"/>
      <c r="FT39" s="32"/>
      <c r="FU39" s="32"/>
      <c r="FV39" s="31"/>
      <c r="FW39" s="31"/>
      <c r="FX39" s="31"/>
      <c r="FY39" s="31"/>
      <c r="FZ39" s="31"/>
      <c r="GA39" s="31"/>
      <c r="GB39" s="31"/>
      <c r="GC39" s="31"/>
      <c r="GD39" s="31"/>
      <c r="GE39" s="31"/>
      <c r="GF39" s="31"/>
      <c r="GG39" s="31"/>
      <c r="GH39" s="31"/>
      <c r="GI39" s="31"/>
      <c r="GJ39" s="32"/>
      <c r="GK39" s="32"/>
      <c r="GL39" s="32"/>
      <c r="GM39" s="32"/>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2"/>
      <c r="HO39" s="32"/>
      <c r="HP39" s="32"/>
      <c r="HQ39" s="32"/>
      <c r="HR39" s="32"/>
      <c r="HS39" s="32"/>
      <c r="HT39" s="32"/>
      <c r="HU39" s="32"/>
      <c r="HV39" s="32"/>
      <c r="HW39" s="32"/>
      <c r="HX39" s="32"/>
      <c r="HY39" s="32"/>
      <c r="HZ39" s="32"/>
      <c r="IA39" s="32"/>
      <c r="IB39" s="32"/>
      <c r="IC39" s="32"/>
      <c r="ID39" s="32"/>
      <c r="IE39" s="32"/>
      <c r="IF39" s="31"/>
      <c r="IG39" s="31"/>
      <c r="IH39" s="32"/>
      <c r="II39" s="32"/>
      <c r="IJ39" s="32"/>
      <c r="IK39" s="32"/>
      <c r="IL39" s="32"/>
      <c r="IM39" s="32"/>
      <c r="IN39" s="33"/>
      <c r="IO39" s="33"/>
      <c r="IP39" s="33"/>
      <c r="IQ39" s="25">
        <v>25</v>
      </c>
      <c r="IR39" s="26">
        <v>2.6549999999999998</v>
      </c>
      <c r="IS39" s="26">
        <v>2.6469999999999998</v>
      </c>
      <c r="IT39" s="26">
        <v>2.0920000000000001</v>
      </c>
      <c r="IU39" s="26">
        <v>1.75</v>
      </c>
      <c r="IV39" s="26">
        <v>1</v>
      </c>
      <c r="IW39" s="26">
        <v>1.125</v>
      </c>
      <c r="IX39" s="8"/>
    </row>
    <row r="40" spans="2:258" ht="15.75" thickBot="1" x14ac:dyDescent="0.3">
      <c r="B40" s="66"/>
      <c r="C40" s="64"/>
      <c r="D40" s="64"/>
      <c r="E40" s="64"/>
      <c r="F40" s="64"/>
      <c r="G40" s="64"/>
      <c r="H40" s="64"/>
      <c r="I40" s="64"/>
      <c r="J40" s="64"/>
      <c r="K40" s="64"/>
      <c r="L40" s="64"/>
      <c r="M40" s="64"/>
      <c r="N40" s="64"/>
      <c r="O40" s="64"/>
      <c r="P40" s="64"/>
      <c r="Q40" s="64"/>
      <c r="R40" s="64"/>
      <c r="S40" s="64"/>
      <c r="T40" s="64"/>
      <c r="U40" s="64"/>
      <c r="V40" s="64"/>
      <c r="W40" s="64"/>
      <c r="X40" s="96"/>
      <c r="Y40" s="65"/>
      <c r="AT40" s="4"/>
      <c r="AU40" s="27">
        <f t="shared" si="200"/>
        <v>114</v>
      </c>
      <c r="AV40" s="28" t="str">
        <f t="shared" si="166"/>
        <v>(2900)</v>
      </c>
      <c r="AW40" s="19">
        <f t="shared" si="201"/>
        <v>25</v>
      </c>
      <c r="AX40" s="20">
        <f t="shared" si="26"/>
        <v>2.763788194444444</v>
      </c>
      <c r="AY40" s="21" t="str">
        <f t="shared" si="202"/>
        <v>(0.26)</v>
      </c>
      <c r="AZ40" s="22">
        <v>2</v>
      </c>
      <c r="BA40" s="22">
        <f t="shared" si="28"/>
        <v>3.5</v>
      </c>
      <c r="BB40" s="22">
        <v>0</v>
      </c>
      <c r="BC40" s="22">
        <f t="shared" si="29"/>
        <v>0</v>
      </c>
      <c r="BD40" s="22">
        <v>0</v>
      </c>
      <c r="BE40" s="22">
        <f t="shared" si="30"/>
        <v>0</v>
      </c>
      <c r="BF40" s="22">
        <f t="shared" si="168"/>
        <v>3.5</v>
      </c>
      <c r="BG40" s="23">
        <f t="shared" si="32"/>
        <v>5.5</v>
      </c>
      <c r="BH40" s="373">
        <f t="shared" si="33"/>
        <v>4.271309027777777</v>
      </c>
      <c r="BI40" s="374" t="str">
        <f t="shared" si="169"/>
        <v>(0.40)</v>
      </c>
      <c r="BJ40" s="375">
        <v>2</v>
      </c>
      <c r="BK40" s="375">
        <f t="shared" si="35"/>
        <v>3.5</v>
      </c>
      <c r="BL40" s="375">
        <v>0</v>
      </c>
      <c r="BM40" s="375">
        <f t="shared" si="36"/>
        <v>0</v>
      </c>
      <c r="BN40" s="375">
        <v>0</v>
      </c>
      <c r="BO40" s="375">
        <f t="shared" si="37"/>
        <v>0</v>
      </c>
      <c r="BP40" s="375">
        <f t="shared" si="170"/>
        <v>3.5</v>
      </c>
      <c r="BQ40" s="376">
        <f t="shared" si="39"/>
        <v>8.5</v>
      </c>
      <c r="BR40" s="373">
        <f t="shared" si="40"/>
        <v>7.2863506944444429</v>
      </c>
      <c r="BS40" s="374" t="str">
        <f t="shared" si="41"/>
        <v>(0.68)</v>
      </c>
      <c r="BT40" s="375">
        <v>2</v>
      </c>
      <c r="BU40" s="375">
        <f t="shared" si="42"/>
        <v>3.5</v>
      </c>
      <c r="BV40" s="375">
        <v>0</v>
      </c>
      <c r="BW40" s="375">
        <f t="shared" si="43"/>
        <v>0</v>
      </c>
      <c r="BX40" s="375">
        <v>0</v>
      </c>
      <c r="BY40" s="375">
        <f t="shared" si="44"/>
        <v>0</v>
      </c>
      <c r="BZ40" s="375">
        <f t="shared" si="171"/>
        <v>3.5</v>
      </c>
      <c r="CA40" s="376">
        <f t="shared" si="46"/>
        <v>14.5</v>
      </c>
      <c r="CB40" s="373">
        <f t="shared" si="47"/>
        <v>10.301392361111109</v>
      </c>
      <c r="CC40" s="374" t="str">
        <f t="shared" si="48"/>
        <v>(0.96)</v>
      </c>
      <c r="CD40" s="375">
        <v>2</v>
      </c>
      <c r="CE40" s="375">
        <f t="shared" si="49"/>
        <v>3.5</v>
      </c>
      <c r="CF40" s="375">
        <v>0</v>
      </c>
      <c r="CG40" s="375">
        <f t="shared" si="50"/>
        <v>0</v>
      </c>
      <c r="CH40" s="375">
        <v>0</v>
      </c>
      <c r="CI40" s="375">
        <f t="shared" si="51"/>
        <v>0</v>
      </c>
      <c r="CJ40" s="375">
        <f t="shared" si="172"/>
        <v>3.5</v>
      </c>
      <c r="CK40" s="376">
        <f t="shared" si="53"/>
        <v>20.5</v>
      </c>
      <c r="CL40" s="373">
        <f t="shared" si="54"/>
        <v>13.316434027777776</v>
      </c>
      <c r="CM40" s="374" t="str">
        <f t="shared" si="55"/>
        <v>(1.24)</v>
      </c>
      <c r="CN40" s="375">
        <v>2</v>
      </c>
      <c r="CO40" s="375">
        <f t="shared" si="56"/>
        <v>3.5</v>
      </c>
      <c r="CP40" s="375">
        <v>0</v>
      </c>
      <c r="CQ40" s="375">
        <f t="shared" si="57"/>
        <v>0</v>
      </c>
      <c r="CR40" s="375">
        <v>0</v>
      </c>
      <c r="CS40" s="375">
        <f t="shared" si="58"/>
        <v>0</v>
      </c>
      <c r="CT40" s="375">
        <f t="shared" si="173"/>
        <v>3.5</v>
      </c>
      <c r="CU40" s="376">
        <f t="shared" si="60"/>
        <v>26.5</v>
      </c>
      <c r="CV40" s="373">
        <f t="shared" si="61"/>
        <v>16.331475694444443</v>
      </c>
      <c r="CW40" s="374" t="str">
        <f t="shared" si="62"/>
        <v>(1.52)</v>
      </c>
      <c r="CX40" s="375">
        <v>2</v>
      </c>
      <c r="CY40" s="375">
        <f t="shared" si="63"/>
        <v>3.5</v>
      </c>
      <c r="CZ40" s="375">
        <v>0</v>
      </c>
      <c r="DA40" s="375">
        <f t="shared" si="64"/>
        <v>0</v>
      </c>
      <c r="DB40" s="375">
        <v>0</v>
      </c>
      <c r="DC40" s="375">
        <f t="shared" si="65"/>
        <v>0</v>
      </c>
      <c r="DD40" s="375">
        <f t="shared" si="174"/>
        <v>3.5</v>
      </c>
      <c r="DE40" s="376">
        <f t="shared" si="67"/>
        <v>32.5</v>
      </c>
      <c r="DF40" s="373">
        <f t="shared" si="68"/>
        <v>19.346517361111111</v>
      </c>
      <c r="DG40" s="374" t="str">
        <f t="shared" si="69"/>
        <v>(1.8)</v>
      </c>
      <c r="DH40" s="375">
        <v>2</v>
      </c>
      <c r="DI40" s="375">
        <f t="shared" si="70"/>
        <v>3.5</v>
      </c>
      <c r="DJ40" s="375">
        <v>0</v>
      </c>
      <c r="DK40" s="375">
        <f t="shared" si="71"/>
        <v>0</v>
      </c>
      <c r="DL40" s="375">
        <v>0</v>
      </c>
      <c r="DM40" s="375">
        <f t="shared" si="72"/>
        <v>0</v>
      </c>
      <c r="DN40" s="375">
        <f t="shared" si="175"/>
        <v>3.5</v>
      </c>
      <c r="DO40" s="376">
        <f t="shared" si="74"/>
        <v>38.5</v>
      </c>
      <c r="DP40" s="373">
        <f t="shared" si="75"/>
        <v>22.361559027777773</v>
      </c>
      <c r="DQ40" s="374" t="str">
        <f t="shared" si="76"/>
        <v>(2.08)</v>
      </c>
      <c r="DR40" s="375">
        <v>2</v>
      </c>
      <c r="DS40" s="375">
        <f t="shared" si="77"/>
        <v>3.5</v>
      </c>
      <c r="DT40" s="375">
        <v>0</v>
      </c>
      <c r="DU40" s="375">
        <f t="shared" si="78"/>
        <v>0</v>
      </c>
      <c r="DV40" s="375">
        <v>0</v>
      </c>
      <c r="DW40" s="375">
        <f t="shared" si="79"/>
        <v>0</v>
      </c>
      <c r="DX40" s="375">
        <f t="shared" si="176"/>
        <v>3.5</v>
      </c>
      <c r="DY40" s="376">
        <f t="shared" si="81"/>
        <v>44.5</v>
      </c>
      <c r="DZ40" s="373">
        <f t="shared" si="82"/>
        <v>24.874093749999997</v>
      </c>
      <c r="EA40" s="374" t="str">
        <f t="shared" si="177"/>
        <v>(2.31)</v>
      </c>
      <c r="EB40" s="375">
        <v>2</v>
      </c>
      <c r="EC40" s="375">
        <f t="shared" si="84"/>
        <v>3.5</v>
      </c>
      <c r="ED40" s="375">
        <v>0</v>
      </c>
      <c r="EE40" s="375">
        <f t="shared" si="85"/>
        <v>0</v>
      </c>
      <c r="EF40" s="375">
        <v>1</v>
      </c>
      <c r="EG40" s="375">
        <f t="shared" si="86"/>
        <v>1</v>
      </c>
      <c r="EH40" s="375">
        <f t="shared" si="178"/>
        <v>4.5</v>
      </c>
      <c r="EI40" s="376">
        <f t="shared" si="88"/>
        <v>49.5</v>
      </c>
      <c r="EJ40" s="373">
        <f t="shared" si="89"/>
        <v>27.889135416666662</v>
      </c>
      <c r="EK40" s="374" t="str">
        <f t="shared" si="203"/>
        <v>(2.59)</v>
      </c>
      <c r="EL40" s="375">
        <v>2</v>
      </c>
      <c r="EM40" s="375">
        <f t="shared" si="91"/>
        <v>3.5</v>
      </c>
      <c r="EN40" s="375">
        <v>0</v>
      </c>
      <c r="EO40" s="375">
        <f t="shared" si="92"/>
        <v>0</v>
      </c>
      <c r="EP40" s="375">
        <v>1</v>
      </c>
      <c r="EQ40" s="375">
        <f t="shared" si="93"/>
        <v>1</v>
      </c>
      <c r="ER40" s="375">
        <f t="shared" si="180"/>
        <v>4.5</v>
      </c>
      <c r="ES40" s="376">
        <f t="shared" si="95"/>
        <v>55.5</v>
      </c>
      <c r="ET40" s="373">
        <f t="shared" si="96"/>
        <v>30.904177083333327</v>
      </c>
      <c r="EU40" s="374" t="str">
        <f t="shared" si="204"/>
        <v>(2.87)</v>
      </c>
      <c r="EV40" s="375">
        <v>2</v>
      </c>
      <c r="EW40" s="375">
        <f t="shared" si="98"/>
        <v>3.5</v>
      </c>
      <c r="EX40" s="375">
        <v>0</v>
      </c>
      <c r="EY40" s="375">
        <f t="shared" si="99"/>
        <v>0</v>
      </c>
      <c r="EZ40" s="375">
        <v>1</v>
      </c>
      <c r="FA40" s="375">
        <f t="shared" si="100"/>
        <v>1</v>
      </c>
      <c r="FB40" s="375">
        <f t="shared" si="182"/>
        <v>4.5</v>
      </c>
      <c r="FC40" s="376">
        <f t="shared" si="102"/>
        <v>61.5</v>
      </c>
      <c r="FD40" s="373">
        <f t="shared" si="103"/>
        <v>33.856405381944441</v>
      </c>
      <c r="FE40" s="374" t="str">
        <f t="shared" si="183"/>
        <v>(3.15)</v>
      </c>
      <c r="FF40" s="375">
        <v>2</v>
      </c>
      <c r="FG40" s="375">
        <f t="shared" si="105"/>
        <v>3.5</v>
      </c>
      <c r="FH40" s="375">
        <v>1</v>
      </c>
      <c r="FI40" s="375">
        <f t="shared" si="106"/>
        <v>1.125</v>
      </c>
      <c r="FJ40" s="375">
        <v>0</v>
      </c>
      <c r="FK40" s="375">
        <f t="shared" si="107"/>
        <v>0</v>
      </c>
      <c r="FL40" s="375">
        <f t="shared" si="184"/>
        <v>4.625</v>
      </c>
      <c r="FM40" s="376">
        <f t="shared" si="109"/>
        <v>67.375</v>
      </c>
      <c r="FN40" s="31"/>
      <c r="FO40" s="31"/>
      <c r="FP40" s="32"/>
      <c r="FQ40" s="32"/>
      <c r="FR40" s="32"/>
      <c r="FS40" s="32"/>
      <c r="FT40" s="32"/>
      <c r="FU40" s="32"/>
      <c r="FV40" s="6"/>
      <c r="FW40" s="6"/>
      <c r="FX40" s="6"/>
      <c r="FY40" s="6"/>
      <c r="FZ40" s="6"/>
      <c r="GA40" s="6"/>
      <c r="GB40" s="6"/>
      <c r="GC40" s="6"/>
      <c r="GD40" s="6"/>
      <c r="GE40" s="6"/>
      <c r="GF40" s="6"/>
      <c r="GG40" s="6"/>
      <c r="GH40" s="31"/>
      <c r="GI40" s="31"/>
      <c r="GJ40" s="32"/>
      <c r="GK40" s="32"/>
      <c r="GL40" s="32"/>
      <c r="GM40" s="32"/>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2"/>
      <c r="HO40" s="32"/>
      <c r="HP40" s="32"/>
      <c r="HQ40" s="32"/>
      <c r="HR40" s="32"/>
      <c r="HS40" s="32"/>
      <c r="HT40" s="32"/>
      <c r="HU40" s="32"/>
      <c r="HV40" s="32"/>
      <c r="HW40" s="32"/>
      <c r="HX40" s="32"/>
      <c r="HY40" s="32"/>
      <c r="HZ40" s="32"/>
      <c r="IA40" s="32"/>
      <c r="IB40" s="32"/>
      <c r="IC40" s="32"/>
      <c r="ID40" s="32"/>
      <c r="IE40" s="32"/>
      <c r="IF40" s="31"/>
      <c r="IG40" s="31"/>
      <c r="IH40" s="32"/>
      <c r="II40" s="32"/>
      <c r="IJ40" s="32"/>
      <c r="IK40" s="32"/>
      <c r="IL40" s="32"/>
      <c r="IM40" s="32"/>
      <c r="IN40" s="33"/>
      <c r="IO40" s="33"/>
      <c r="IP40" s="33"/>
      <c r="IQ40" s="25">
        <v>27</v>
      </c>
      <c r="IR40" s="26">
        <v>2.6549999999999998</v>
      </c>
      <c r="IS40" s="26">
        <v>2.6469999999999998</v>
      </c>
      <c r="IT40" s="26">
        <v>0.88400000000000001</v>
      </c>
      <c r="IU40" s="26">
        <v>1.75</v>
      </c>
      <c r="IV40" s="26">
        <v>1</v>
      </c>
      <c r="IW40" s="26">
        <v>1.125</v>
      </c>
      <c r="IX40" s="8"/>
    </row>
    <row r="41" spans="2:258" ht="15.75" thickBot="1" x14ac:dyDescent="0.3">
      <c r="B41" s="67"/>
      <c r="C41" s="68"/>
      <c r="D41" s="68"/>
      <c r="E41" s="68"/>
      <c r="F41" s="68"/>
      <c r="G41" s="68"/>
      <c r="H41" s="68"/>
      <c r="I41" s="68"/>
      <c r="J41" s="68"/>
      <c r="K41" s="68"/>
      <c r="L41" s="68"/>
      <c r="M41" s="68"/>
      <c r="N41" s="68"/>
      <c r="O41" s="68"/>
      <c r="P41" s="68"/>
      <c r="Q41" s="68"/>
      <c r="R41" s="68"/>
      <c r="S41" s="68"/>
      <c r="T41" s="68"/>
      <c r="U41" s="68"/>
      <c r="V41" s="68"/>
      <c r="W41" s="68"/>
      <c r="X41" s="68"/>
      <c r="Y41" s="69"/>
      <c r="AT41" s="4"/>
      <c r="AU41" s="27">
        <f t="shared" si="200"/>
        <v>120</v>
      </c>
      <c r="AV41" s="28" t="str">
        <f t="shared" si="166"/>
        <v>(3050)</v>
      </c>
      <c r="AW41" s="19">
        <f t="shared" si="201"/>
        <v>26</v>
      </c>
      <c r="AX41" s="20">
        <f t="shared" si="26"/>
        <v>2.9110277777777775</v>
      </c>
      <c r="AY41" s="29" t="str">
        <f>"("&amp;FIXED(AX41*0.092903,2)&amp;")"</f>
        <v>(0.27)</v>
      </c>
      <c r="AZ41" s="22">
        <v>2</v>
      </c>
      <c r="BA41" s="22">
        <f t="shared" si="28"/>
        <v>3.5</v>
      </c>
      <c r="BB41" s="30">
        <v>0</v>
      </c>
      <c r="BC41" s="22">
        <f t="shared" si="29"/>
        <v>0</v>
      </c>
      <c r="BD41" s="30">
        <v>0</v>
      </c>
      <c r="BE41" s="22">
        <f t="shared" si="30"/>
        <v>0</v>
      </c>
      <c r="BF41" s="22">
        <f t="shared" si="168"/>
        <v>3.5</v>
      </c>
      <c r="BG41" s="23">
        <f t="shared" si="32"/>
        <v>5.5</v>
      </c>
      <c r="BH41" s="373">
        <f t="shared" si="33"/>
        <v>4.4988611111111103</v>
      </c>
      <c r="BI41" s="374" t="str">
        <f>"("&amp;FIXED(BH41*0.092903,2)&amp;")"</f>
        <v>(0.42)</v>
      </c>
      <c r="BJ41" s="375">
        <v>2</v>
      </c>
      <c r="BK41" s="375">
        <f t="shared" si="35"/>
        <v>3.5</v>
      </c>
      <c r="BL41" s="375">
        <v>0</v>
      </c>
      <c r="BM41" s="375">
        <f t="shared" si="36"/>
        <v>0</v>
      </c>
      <c r="BN41" s="375">
        <v>0</v>
      </c>
      <c r="BO41" s="375">
        <f t="shared" si="37"/>
        <v>0</v>
      </c>
      <c r="BP41" s="375">
        <f t="shared" si="170"/>
        <v>3.5</v>
      </c>
      <c r="BQ41" s="376">
        <f t="shared" si="39"/>
        <v>8.5</v>
      </c>
      <c r="BR41" s="373">
        <f t="shared" si="40"/>
        <v>7.6745277777777767</v>
      </c>
      <c r="BS41" s="374" t="str">
        <f t="shared" si="41"/>
        <v>(0.71)</v>
      </c>
      <c r="BT41" s="375">
        <v>2</v>
      </c>
      <c r="BU41" s="375">
        <f t="shared" si="42"/>
        <v>3.5</v>
      </c>
      <c r="BV41" s="375">
        <v>0</v>
      </c>
      <c r="BW41" s="375">
        <f t="shared" si="43"/>
        <v>0</v>
      </c>
      <c r="BX41" s="375">
        <v>0</v>
      </c>
      <c r="BY41" s="375">
        <f t="shared" si="44"/>
        <v>0</v>
      </c>
      <c r="BZ41" s="375">
        <f t="shared" si="171"/>
        <v>3.5</v>
      </c>
      <c r="CA41" s="376">
        <f t="shared" si="46"/>
        <v>14.5</v>
      </c>
      <c r="CB41" s="373">
        <f t="shared" si="47"/>
        <v>10.850194444444444</v>
      </c>
      <c r="CC41" s="374" t="str">
        <f t="shared" si="48"/>
        <v>(1.01)</v>
      </c>
      <c r="CD41" s="375">
        <v>2</v>
      </c>
      <c r="CE41" s="375">
        <f t="shared" si="49"/>
        <v>3.5</v>
      </c>
      <c r="CF41" s="375">
        <v>0</v>
      </c>
      <c r="CG41" s="375">
        <f t="shared" si="50"/>
        <v>0</v>
      </c>
      <c r="CH41" s="375">
        <v>0</v>
      </c>
      <c r="CI41" s="375">
        <f t="shared" si="51"/>
        <v>0</v>
      </c>
      <c r="CJ41" s="375">
        <f t="shared" si="172"/>
        <v>3.5</v>
      </c>
      <c r="CK41" s="376">
        <f t="shared" si="53"/>
        <v>20.5</v>
      </c>
      <c r="CL41" s="373">
        <f t="shared" si="54"/>
        <v>14.02586111111111</v>
      </c>
      <c r="CM41" s="374" t="str">
        <f t="shared" si="55"/>
        <v>(1.3)</v>
      </c>
      <c r="CN41" s="375">
        <v>2</v>
      </c>
      <c r="CO41" s="375">
        <f t="shared" si="56"/>
        <v>3.5</v>
      </c>
      <c r="CP41" s="375">
        <v>0</v>
      </c>
      <c r="CQ41" s="375">
        <f t="shared" si="57"/>
        <v>0</v>
      </c>
      <c r="CR41" s="375">
        <v>0</v>
      </c>
      <c r="CS41" s="375">
        <f t="shared" si="58"/>
        <v>0</v>
      </c>
      <c r="CT41" s="375">
        <f t="shared" si="173"/>
        <v>3.5</v>
      </c>
      <c r="CU41" s="376">
        <f t="shared" si="60"/>
        <v>26.5</v>
      </c>
      <c r="CV41" s="373">
        <f t="shared" si="61"/>
        <v>17.201527777777777</v>
      </c>
      <c r="CW41" s="374" t="str">
        <f t="shared" si="62"/>
        <v>(1.6)</v>
      </c>
      <c r="CX41" s="375">
        <v>2</v>
      </c>
      <c r="CY41" s="375">
        <f t="shared" si="63"/>
        <v>3.5</v>
      </c>
      <c r="CZ41" s="375">
        <v>0</v>
      </c>
      <c r="DA41" s="375">
        <f t="shared" si="64"/>
        <v>0</v>
      </c>
      <c r="DB41" s="375">
        <v>0</v>
      </c>
      <c r="DC41" s="375">
        <f t="shared" si="65"/>
        <v>0</v>
      </c>
      <c r="DD41" s="375">
        <f t="shared" si="174"/>
        <v>3.5</v>
      </c>
      <c r="DE41" s="376">
        <f t="shared" si="67"/>
        <v>32.5</v>
      </c>
      <c r="DF41" s="373">
        <f t="shared" si="68"/>
        <v>20.377194444444442</v>
      </c>
      <c r="DG41" s="374" t="str">
        <f t="shared" si="69"/>
        <v>(1.89)</v>
      </c>
      <c r="DH41" s="375">
        <v>2</v>
      </c>
      <c r="DI41" s="375">
        <f t="shared" si="70"/>
        <v>3.5</v>
      </c>
      <c r="DJ41" s="375">
        <v>0</v>
      </c>
      <c r="DK41" s="375">
        <f t="shared" si="71"/>
        <v>0</v>
      </c>
      <c r="DL41" s="375">
        <v>0</v>
      </c>
      <c r="DM41" s="375">
        <f t="shared" si="72"/>
        <v>0</v>
      </c>
      <c r="DN41" s="375">
        <f t="shared" si="175"/>
        <v>3.5</v>
      </c>
      <c r="DO41" s="376">
        <f t="shared" si="74"/>
        <v>38.5</v>
      </c>
      <c r="DP41" s="373">
        <f t="shared" si="75"/>
        <v>23.55286111111111</v>
      </c>
      <c r="DQ41" s="374" t="str">
        <f t="shared" si="76"/>
        <v>(2.19)</v>
      </c>
      <c r="DR41" s="375">
        <v>2</v>
      </c>
      <c r="DS41" s="375">
        <f t="shared" si="77"/>
        <v>3.5</v>
      </c>
      <c r="DT41" s="375">
        <v>0</v>
      </c>
      <c r="DU41" s="375">
        <f t="shared" si="78"/>
        <v>0</v>
      </c>
      <c r="DV41" s="375">
        <v>0</v>
      </c>
      <c r="DW41" s="375">
        <f t="shared" si="79"/>
        <v>0</v>
      </c>
      <c r="DX41" s="375">
        <f t="shared" si="176"/>
        <v>3.5</v>
      </c>
      <c r="DY41" s="376">
        <f t="shared" si="81"/>
        <v>44.5</v>
      </c>
      <c r="DZ41" s="373">
        <f t="shared" si="82"/>
        <v>26.199249999999996</v>
      </c>
      <c r="EA41" s="374" t="str">
        <f>"("&amp;FIXED(DZ41*0.092903,2)&amp;")"</f>
        <v>(2.43)</v>
      </c>
      <c r="EB41" s="375">
        <v>2</v>
      </c>
      <c r="EC41" s="375">
        <f t="shared" si="84"/>
        <v>3.5</v>
      </c>
      <c r="ED41" s="375">
        <v>0</v>
      </c>
      <c r="EE41" s="375">
        <f t="shared" si="85"/>
        <v>0</v>
      </c>
      <c r="EF41" s="375">
        <v>1</v>
      </c>
      <c r="EG41" s="375">
        <f t="shared" si="86"/>
        <v>1</v>
      </c>
      <c r="EH41" s="375">
        <f t="shared" si="178"/>
        <v>4.5</v>
      </c>
      <c r="EI41" s="376">
        <f t="shared" si="88"/>
        <v>49.5</v>
      </c>
      <c r="EJ41" s="373">
        <f t="shared" si="89"/>
        <v>29.374916666666664</v>
      </c>
      <c r="EK41" s="374" t="str">
        <f>"("&amp;FIXED(EJ41*0.092903,2)&amp;")"</f>
        <v>(2.73)</v>
      </c>
      <c r="EL41" s="375">
        <v>2</v>
      </c>
      <c r="EM41" s="375">
        <f t="shared" si="91"/>
        <v>3.5</v>
      </c>
      <c r="EN41" s="375">
        <v>0</v>
      </c>
      <c r="EO41" s="375">
        <f t="shared" si="92"/>
        <v>0</v>
      </c>
      <c r="EP41" s="375">
        <v>1</v>
      </c>
      <c r="EQ41" s="375">
        <f t="shared" si="93"/>
        <v>1</v>
      </c>
      <c r="ER41" s="375">
        <f t="shared" si="180"/>
        <v>4.5</v>
      </c>
      <c r="ES41" s="376">
        <f t="shared" si="95"/>
        <v>55.5</v>
      </c>
      <c r="ET41" s="373">
        <f t="shared" si="96"/>
        <v>32.550583333333329</v>
      </c>
      <c r="EU41" s="374" t="str">
        <f>"("&amp;FIXED(ET41*0.092903,2)&amp;")"</f>
        <v>(3.02)</v>
      </c>
      <c r="EV41" s="375">
        <v>2</v>
      </c>
      <c r="EW41" s="375">
        <f t="shared" si="98"/>
        <v>3.5</v>
      </c>
      <c r="EX41" s="375">
        <v>0</v>
      </c>
      <c r="EY41" s="375">
        <f t="shared" si="99"/>
        <v>0</v>
      </c>
      <c r="EZ41" s="375">
        <v>1</v>
      </c>
      <c r="FA41" s="375">
        <f t="shared" si="100"/>
        <v>1</v>
      </c>
      <c r="FB41" s="375">
        <f t="shared" si="182"/>
        <v>4.5</v>
      </c>
      <c r="FC41" s="376">
        <f t="shared" si="102"/>
        <v>61.5</v>
      </c>
      <c r="FD41" s="373">
        <f t="shared" si="103"/>
        <v>35.660090277777776</v>
      </c>
      <c r="FE41" s="374" t="str">
        <f>"("&amp;FIXED(FD41*0.092903,2)&amp;")"</f>
        <v>(3.31)</v>
      </c>
      <c r="FF41" s="375">
        <v>2</v>
      </c>
      <c r="FG41" s="375">
        <f t="shared" si="105"/>
        <v>3.5</v>
      </c>
      <c r="FH41" s="375">
        <v>1</v>
      </c>
      <c r="FI41" s="375">
        <f t="shared" si="106"/>
        <v>1.125</v>
      </c>
      <c r="FJ41" s="375">
        <v>0</v>
      </c>
      <c r="FK41" s="375">
        <f t="shared" si="107"/>
        <v>0</v>
      </c>
      <c r="FL41" s="375">
        <f t="shared" si="184"/>
        <v>4.625</v>
      </c>
      <c r="FM41" s="376">
        <f t="shared" si="109"/>
        <v>67.375</v>
      </c>
      <c r="FN41" s="31"/>
      <c r="FO41" s="31"/>
      <c r="FP41" s="32"/>
      <c r="FQ41" s="32"/>
      <c r="FR41" s="32"/>
      <c r="FS41" s="32"/>
      <c r="FT41" s="32"/>
      <c r="FU41" s="32"/>
      <c r="FV41" s="31"/>
      <c r="FW41" s="31"/>
      <c r="FX41" s="31"/>
      <c r="FY41" s="31"/>
      <c r="FZ41" s="31"/>
      <c r="GA41" s="31"/>
      <c r="GB41" s="31"/>
      <c r="GC41" s="31"/>
      <c r="GD41" s="31"/>
      <c r="GE41" s="31"/>
      <c r="GF41" s="31"/>
      <c r="GG41" s="31"/>
      <c r="GH41" s="31"/>
      <c r="GI41" s="31"/>
      <c r="GJ41" s="32"/>
      <c r="GK41" s="32"/>
      <c r="GL41" s="32"/>
      <c r="GM41" s="32"/>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2"/>
      <c r="HO41" s="32"/>
      <c r="HP41" s="32"/>
      <c r="HQ41" s="32"/>
      <c r="HR41" s="32"/>
      <c r="HS41" s="32"/>
      <c r="HT41" s="32"/>
      <c r="HU41" s="32"/>
      <c r="HV41" s="32"/>
      <c r="HW41" s="32"/>
      <c r="HX41" s="32"/>
      <c r="HY41" s="32"/>
      <c r="HZ41" s="32"/>
      <c r="IA41" s="32"/>
      <c r="IB41" s="32"/>
      <c r="IC41" s="32"/>
      <c r="ID41" s="32"/>
      <c r="IE41" s="32"/>
      <c r="IF41" s="31"/>
      <c r="IG41" s="31"/>
      <c r="IH41" s="32"/>
      <c r="II41" s="32"/>
      <c r="IJ41" s="34"/>
      <c r="IK41" s="32"/>
      <c r="IL41" s="32"/>
      <c r="IM41" s="32"/>
      <c r="IN41" s="33"/>
      <c r="IO41" s="33"/>
      <c r="IP41" s="33"/>
      <c r="IQ41" s="25">
        <v>28</v>
      </c>
      <c r="IR41" s="26">
        <v>2.6549999999999998</v>
      </c>
      <c r="IS41" s="26">
        <v>2.6469999999999998</v>
      </c>
      <c r="IT41" s="26">
        <v>2.0920000000000001</v>
      </c>
      <c r="IU41" s="26">
        <v>1.75</v>
      </c>
      <c r="IV41" s="26">
        <v>1</v>
      </c>
      <c r="IW41" s="26">
        <v>1.125</v>
      </c>
      <c r="IX41" s="8"/>
    </row>
    <row r="42" spans="2:258" ht="15.75" thickBot="1" x14ac:dyDescent="0.3">
      <c r="AT42" s="35"/>
      <c r="AU42" s="36"/>
      <c r="AV42" s="36"/>
      <c r="AW42" s="36"/>
      <c r="AX42" s="36"/>
      <c r="AY42" s="36"/>
      <c r="AZ42" s="36"/>
      <c r="BA42" s="36"/>
      <c r="BB42" s="36"/>
      <c r="BC42" s="36"/>
      <c r="BD42" s="36"/>
      <c r="BE42" s="36"/>
      <c r="BF42" s="36"/>
      <c r="BG42" s="36"/>
      <c r="BH42" s="37"/>
      <c r="BI42" s="38"/>
      <c r="BJ42" s="38"/>
      <c r="BK42" s="38"/>
      <c r="BL42" s="38"/>
      <c r="BM42" s="38"/>
      <c r="BN42" s="38"/>
      <c r="BO42" s="38"/>
      <c r="BP42" s="38"/>
      <c r="BQ42" s="38"/>
      <c r="BR42" s="37"/>
      <c r="BS42" s="38"/>
      <c r="BT42" s="38"/>
      <c r="BU42" s="38"/>
      <c r="BV42" s="38"/>
      <c r="BW42" s="38"/>
      <c r="BX42" s="38"/>
      <c r="BY42" s="38"/>
      <c r="BZ42" s="38"/>
      <c r="CA42" s="38"/>
      <c r="CB42" s="37"/>
      <c r="CC42" s="38"/>
      <c r="CD42" s="38"/>
      <c r="CE42" s="38"/>
      <c r="CF42" s="38"/>
      <c r="CG42" s="38"/>
      <c r="CH42" s="38"/>
      <c r="CI42" s="38"/>
      <c r="CJ42" s="38"/>
      <c r="CK42" s="38"/>
      <c r="CL42" s="37"/>
      <c r="CM42" s="38"/>
      <c r="CN42" s="38"/>
      <c r="CO42" s="38"/>
      <c r="CP42" s="38"/>
      <c r="CQ42" s="38"/>
      <c r="CR42" s="38"/>
      <c r="CS42" s="38"/>
      <c r="CT42" s="38"/>
      <c r="CU42" s="38"/>
      <c r="CV42" s="37"/>
      <c r="CW42" s="38"/>
      <c r="CX42" s="38"/>
      <c r="CY42" s="38"/>
      <c r="CZ42" s="38"/>
      <c r="DA42" s="38"/>
      <c r="DB42" s="38"/>
      <c r="DC42" s="38"/>
      <c r="DD42" s="38"/>
      <c r="DE42" s="38"/>
      <c r="DF42" s="37"/>
      <c r="DG42" s="38"/>
      <c r="DH42" s="38"/>
      <c r="DI42" s="38"/>
      <c r="DJ42" s="38"/>
      <c r="DK42" s="38"/>
      <c r="DL42" s="38"/>
      <c r="DM42" s="38"/>
      <c r="DN42" s="38"/>
      <c r="DO42" s="38"/>
      <c r="DP42" s="37"/>
      <c r="DQ42" s="38"/>
      <c r="DR42" s="38"/>
      <c r="DS42" s="38"/>
      <c r="DT42" s="38"/>
      <c r="DU42" s="38"/>
      <c r="DV42" s="38"/>
      <c r="DW42" s="38"/>
      <c r="DX42" s="38"/>
      <c r="DY42" s="38"/>
      <c r="DZ42" s="37"/>
      <c r="EA42" s="38"/>
      <c r="EB42" s="38"/>
      <c r="EC42" s="38"/>
      <c r="ED42" s="38"/>
      <c r="EE42" s="38"/>
      <c r="EF42" s="38"/>
      <c r="EG42" s="38"/>
      <c r="EH42" s="38"/>
      <c r="EI42" s="38"/>
      <c r="EJ42" s="37"/>
      <c r="EK42" s="38"/>
      <c r="EL42" s="38"/>
      <c r="EM42" s="38"/>
      <c r="EN42" s="38"/>
      <c r="EO42" s="38"/>
      <c r="EP42" s="38"/>
      <c r="EQ42" s="38"/>
      <c r="ER42" s="38"/>
      <c r="ES42" s="38"/>
      <c r="ET42" s="37"/>
      <c r="EU42" s="38"/>
      <c r="EV42" s="38"/>
      <c r="EW42" s="38"/>
      <c r="EX42" s="38"/>
      <c r="EY42" s="38"/>
      <c r="EZ42" s="38"/>
      <c r="FA42" s="38"/>
      <c r="FB42" s="38"/>
      <c r="FC42" s="38"/>
      <c r="FD42" s="37"/>
      <c r="FE42" s="38"/>
      <c r="FF42" s="38"/>
      <c r="FG42" s="38"/>
      <c r="FH42" s="38"/>
      <c r="FI42" s="38"/>
      <c r="FJ42" s="38"/>
      <c r="FK42" s="38"/>
      <c r="FL42" s="38"/>
      <c r="FM42" s="38"/>
      <c r="FN42" s="37"/>
      <c r="FO42" s="38"/>
      <c r="FP42" s="38"/>
      <c r="FQ42" s="38"/>
      <c r="FR42" s="38"/>
      <c r="FS42" s="38"/>
      <c r="FT42" s="38"/>
      <c r="FU42" s="38"/>
      <c r="FV42" s="268"/>
      <c r="FW42" s="268"/>
      <c r="FX42" s="268"/>
      <c r="FY42" s="268"/>
      <c r="FZ42" s="268"/>
      <c r="GA42" s="268"/>
      <c r="GB42" s="268"/>
      <c r="GC42" s="268"/>
      <c r="GD42" s="268"/>
      <c r="GE42" s="268"/>
      <c r="GF42" s="268"/>
      <c r="GG42" s="268"/>
      <c r="GH42" s="37"/>
      <c r="GI42" s="38"/>
      <c r="GJ42" s="38"/>
      <c r="GK42" s="38"/>
      <c r="GL42" s="38"/>
      <c r="GM42" s="3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37"/>
      <c r="HM42" s="38"/>
      <c r="HN42" s="38"/>
      <c r="HO42" s="38"/>
      <c r="HP42" s="38"/>
      <c r="HQ42" s="38"/>
      <c r="HR42" s="38"/>
      <c r="HS42" s="38"/>
      <c r="HT42" s="269"/>
      <c r="HU42" s="269"/>
      <c r="HV42" s="269"/>
      <c r="HW42" s="269"/>
      <c r="HX42" s="269"/>
      <c r="HY42" s="269"/>
      <c r="HZ42" s="269"/>
      <c r="IA42" s="269"/>
      <c r="IB42" s="269"/>
      <c r="IC42" s="269"/>
      <c r="ID42" s="269"/>
      <c r="IE42" s="269"/>
      <c r="IF42" s="37"/>
      <c r="IG42" s="38"/>
      <c r="IH42" s="38"/>
      <c r="II42" s="38"/>
      <c r="IJ42" s="38"/>
      <c r="IK42" s="38"/>
      <c r="IL42" s="38"/>
      <c r="IM42" s="38"/>
      <c r="IN42" s="36"/>
      <c r="IO42" s="36"/>
      <c r="IP42" s="36"/>
      <c r="IQ42" s="36"/>
      <c r="IR42" s="36"/>
      <c r="IS42" s="36"/>
      <c r="IT42" s="36"/>
      <c r="IU42" s="36"/>
      <c r="IV42" s="36"/>
      <c r="IW42" s="36"/>
      <c r="IX42" s="39"/>
    </row>
    <row r="43" spans="2:258" ht="16.5" thickTop="1" thickBot="1" x14ac:dyDescent="0.3"/>
    <row r="44" spans="2:258" ht="24" thickBot="1" x14ac:dyDescent="0.4">
      <c r="B44" s="274" t="s">
        <v>84</v>
      </c>
      <c r="C44" s="275"/>
      <c r="D44" s="275"/>
      <c r="E44" s="275"/>
      <c r="F44" s="275"/>
      <c r="G44" s="275"/>
      <c r="H44" s="275"/>
      <c r="I44" s="275"/>
      <c r="J44" s="275"/>
      <c r="K44" s="275"/>
      <c r="L44" s="276"/>
      <c r="N44" s="159" t="s">
        <v>188</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1"/>
      <c r="BF44" s="7"/>
      <c r="BG44" s="7"/>
      <c r="BH44" s="7"/>
      <c r="BI44" s="7"/>
      <c r="BJ44" s="7"/>
      <c r="BK44" s="7"/>
      <c r="BL44" s="7"/>
      <c r="BM44" s="7"/>
      <c r="BN44" s="6"/>
      <c r="BO44" s="7"/>
      <c r="BP44" s="7"/>
      <c r="BQ44" s="7"/>
      <c r="BR44" s="7"/>
      <c r="BS44" s="7"/>
      <c r="BT44" s="7"/>
      <c r="BU44" s="7"/>
      <c r="BV44" s="7"/>
      <c r="BW44" s="7"/>
      <c r="BX44" s="6"/>
      <c r="BY44" s="7"/>
      <c r="BZ44" s="7"/>
      <c r="CA44" s="7"/>
      <c r="CB44" s="7"/>
      <c r="CC44" s="7"/>
      <c r="CD44" s="7"/>
      <c r="CE44" s="7"/>
      <c r="CF44" s="7"/>
      <c r="CG44" s="7"/>
      <c r="CH44" s="6"/>
      <c r="CI44" s="7"/>
      <c r="CJ44" s="7"/>
      <c r="CK44" s="7"/>
      <c r="CL44" s="7"/>
      <c r="CM44" s="7"/>
      <c r="CN44" s="7"/>
      <c r="CO44" s="7"/>
      <c r="CP44" s="7"/>
      <c r="CQ44" s="7"/>
      <c r="CR44" s="6"/>
      <c r="CS44" s="7"/>
      <c r="CT44" s="7"/>
      <c r="CU44" s="7"/>
      <c r="CV44" s="7"/>
      <c r="CW44" s="7"/>
      <c r="CX44" s="7"/>
      <c r="CY44" s="7"/>
      <c r="CZ44" s="7"/>
      <c r="DA44" s="7"/>
      <c r="DB44" s="6"/>
      <c r="DC44" s="7"/>
      <c r="DD44" s="7"/>
      <c r="DE44" s="7"/>
      <c r="DF44" s="7"/>
      <c r="DG44" s="7"/>
      <c r="DH44" s="7"/>
      <c r="DI44" s="7"/>
      <c r="DJ44" s="7"/>
      <c r="DK44" s="7"/>
      <c r="DL44" s="6"/>
      <c r="DM44" s="7"/>
      <c r="DN44" s="7"/>
      <c r="DO44" s="7"/>
      <c r="DP44" s="7"/>
      <c r="DQ44" s="7"/>
      <c r="DR44" s="7"/>
      <c r="DS44" s="7"/>
      <c r="DT44" s="7"/>
      <c r="DU44" s="7"/>
      <c r="DV44" s="6"/>
      <c r="DW44" s="7"/>
      <c r="DX44" s="7"/>
      <c r="DY44" s="7"/>
      <c r="DZ44" s="7"/>
      <c r="EA44" s="7"/>
      <c r="EB44" s="7"/>
      <c r="EC44" s="7"/>
      <c r="ED44" s="7"/>
      <c r="EE44" s="7"/>
      <c r="EF44" s="6"/>
      <c r="EG44" s="7"/>
      <c r="EH44" s="7"/>
      <c r="EI44" s="7"/>
      <c r="EJ44" s="7"/>
      <c r="EK44" s="7"/>
      <c r="EL44" s="7"/>
      <c r="EM44" s="7"/>
      <c r="EN44" s="7"/>
      <c r="EO44" s="7"/>
      <c r="EP44" s="6"/>
      <c r="EQ44" s="7"/>
      <c r="ER44" s="7"/>
      <c r="ES44" s="7"/>
      <c r="ET44" s="7"/>
      <c r="EU44" s="7"/>
      <c r="EV44" s="7"/>
      <c r="EW44" s="7"/>
      <c r="EX44" s="7"/>
      <c r="EY44" s="7"/>
      <c r="EZ44" s="6"/>
      <c r="FA44" s="7"/>
      <c r="FB44" s="7"/>
      <c r="FC44" s="7"/>
      <c r="FD44" s="7"/>
      <c r="FE44" s="7"/>
      <c r="FF44" s="7"/>
      <c r="FG44" s="7"/>
      <c r="FH44" s="7"/>
      <c r="FI44" s="7"/>
      <c r="FJ44" s="6"/>
      <c r="FK44" s="7"/>
      <c r="FL44" s="7"/>
      <c r="FM44" s="7"/>
      <c r="FN44" s="7"/>
      <c r="FO44" s="7"/>
      <c r="FP44" s="7"/>
      <c r="FQ44" s="7"/>
      <c r="FR44" s="7"/>
      <c r="FS44" s="7"/>
      <c r="FT44" s="6"/>
      <c r="FU44" s="7"/>
      <c r="FV44" s="7"/>
      <c r="FW44" s="7"/>
      <c r="FX44" s="7"/>
      <c r="FY44" s="7"/>
      <c r="FZ44" s="7"/>
      <c r="GA44" s="7"/>
      <c r="GB44" s="7"/>
      <c r="GC44" s="7"/>
      <c r="GD44" s="6"/>
      <c r="GE44" s="7"/>
      <c r="GF44" s="7"/>
      <c r="GG44" s="7"/>
      <c r="GH44" s="7"/>
      <c r="GI44" s="7"/>
      <c r="GJ44" s="7"/>
      <c r="GK44" s="7"/>
      <c r="GL44" s="7"/>
      <c r="GM44" s="7"/>
      <c r="GN44" s="6"/>
      <c r="GO44" s="7"/>
      <c r="GP44" s="7"/>
      <c r="GQ44" s="7"/>
      <c r="GR44" s="7"/>
      <c r="GS44" s="7"/>
      <c r="GT44" s="7"/>
      <c r="GU44" s="7"/>
      <c r="GV44" s="5"/>
      <c r="GW44" s="5"/>
      <c r="GX44" s="5"/>
      <c r="GY44" s="5"/>
      <c r="GZ44" s="5"/>
      <c r="HA44" s="5"/>
      <c r="HB44" s="5"/>
      <c r="HC44" s="5"/>
      <c r="HD44" s="5"/>
      <c r="HE44" s="5"/>
      <c r="HF44" s="5"/>
    </row>
    <row r="45" spans="2:258" ht="19.5" thickBot="1" x14ac:dyDescent="0.35">
      <c r="B45" s="272" t="s">
        <v>41</v>
      </c>
      <c r="C45" s="147" t="e">
        <f>C9</f>
        <v>#VALUE!</v>
      </c>
      <c r="D45" s="73"/>
      <c r="E45" s="73"/>
      <c r="F45" s="73"/>
      <c r="G45" s="73"/>
      <c r="H45" s="73"/>
      <c r="I45" s="73"/>
      <c r="J45" s="73"/>
      <c r="K45" s="73"/>
      <c r="L45" s="273"/>
      <c r="N45" s="879" t="s">
        <v>191</v>
      </c>
      <c r="O45" s="252"/>
      <c r="P45" s="95"/>
      <c r="Q45" s="253">
        <f>F11</f>
        <v>9</v>
      </c>
      <c r="R45" s="254">
        <v>12</v>
      </c>
      <c r="S45" s="254">
        <f t="shared" ref="S45:AJ45" si="211">R45+6</f>
        <v>18</v>
      </c>
      <c r="T45" s="254">
        <f t="shared" si="211"/>
        <v>24</v>
      </c>
      <c r="U45" s="254">
        <f t="shared" si="211"/>
        <v>30</v>
      </c>
      <c r="V45" s="254">
        <f t="shared" si="211"/>
        <v>36</v>
      </c>
      <c r="W45" s="254">
        <f t="shared" si="211"/>
        <v>42</v>
      </c>
      <c r="X45" s="254">
        <f t="shared" si="211"/>
        <v>48</v>
      </c>
      <c r="Y45" s="254">
        <f t="shared" si="211"/>
        <v>54</v>
      </c>
      <c r="Z45" s="254">
        <f t="shared" si="211"/>
        <v>60</v>
      </c>
      <c r="AA45" s="254">
        <f t="shared" si="211"/>
        <v>66</v>
      </c>
      <c r="AB45" s="254">
        <f t="shared" si="211"/>
        <v>72</v>
      </c>
      <c r="AC45" s="254">
        <f t="shared" si="211"/>
        <v>78</v>
      </c>
      <c r="AD45" s="254">
        <f t="shared" si="211"/>
        <v>84</v>
      </c>
      <c r="AE45" s="254">
        <f t="shared" si="211"/>
        <v>90</v>
      </c>
      <c r="AF45" s="254">
        <f t="shared" si="211"/>
        <v>96</v>
      </c>
      <c r="AG45" s="254">
        <f t="shared" si="211"/>
        <v>102</v>
      </c>
      <c r="AH45" s="254">
        <f t="shared" si="211"/>
        <v>108</v>
      </c>
      <c r="AI45" s="254">
        <f t="shared" si="211"/>
        <v>114</v>
      </c>
      <c r="AJ45" s="254">
        <f t="shared" si="211"/>
        <v>120</v>
      </c>
      <c r="AK45" s="94"/>
      <c r="AL45" s="94"/>
      <c r="AM45" s="94"/>
      <c r="AN45" s="94"/>
      <c r="AO45" s="94"/>
      <c r="AP45" s="94"/>
      <c r="AQ45" s="95"/>
    </row>
    <row r="46" spans="2:258" ht="18.75" customHeight="1" thickBot="1" x14ac:dyDescent="0.35">
      <c r="B46" s="228" t="s">
        <v>42</v>
      </c>
      <c r="C46" s="148" t="e">
        <f>F9</f>
        <v>#VALUE!</v>
      </c>
      <c r="E46" s="71"/>
      <c r="F46" s="71"/>
      <c r="G46" s="71"/>
      <c r="H46" s="71"/>
      <c r="I46" s="71"/>
      <c r="J46" s="71"/>
      <c r="K46" s="71"/>
      <c r="L46" s="75"/>
      <c r="N46" s="880"/>
      <c r="O46" s="67"/>
      <c r="P46" s="300">
        <v>1</v>
      </c>
      <c r="Q46" s="163">
        <v>2</v>
      </c>
      <c r="R46" s="68">
        <v>3</v>
      </c>
      <c r="S46" s="68">
        <v>4</v>
      </c>
      <c r="T46" s="68">
        <v>5</v>
      </c>
      <c r="U46" s="68">
        <v>6</v>
      </c>
      <c r="V46" s="68">
        <v>7</v>
      </c>
      <c r="W46" s="68">
        <v>8</v>
      </c>
      <c r="X46" s="68">
        <v>9</v>
      </c>
      <c r="Y46" s="68">
        <v>10</v>
      </c>
      <c r="Z46" s="68">
        <v>11</v>
      </c>
      <c r="AA46" s="68">
        <v>12</v>
      </c>
      <c r="AB46" s="68">
        <v>13</v>
      </c>
      <c r="AC46" s="68">
        <v>14</v>
      </c>
      <c r="AD46" s="68">
        <v>15</v>
      </c>
      <c r="AE46" s="68">
        <v>16</v>
      </c>
      <c r="AF46" s="68">
        <v>17</v>
      </c>
      <c r="AG46" s="68">
        <v>18</v>
      </c>
      <c r="AH46" s="68">
        <v>19</v>
      </c>
      <c r="AI46" s="68">
        <v>20</v>
      </c>
      <c r="AJ46" s="68">
        <v>21</v>
      </c>
      <c r="AK46" s="68"/>
      <c r="AL46" s="68"/>
      <c r="AM46" s="68"/>
      <c r="AN46" s="68"/>
      <c r="AO46" s="68"/>
      <c r="AP46" s="68"/>
      <c r="AQ46" s="69"/>
    </row>
    <row r="47" spans="2:258" ht="15.75" customHeight="1" thickBot="1" x14ac:dyDescent="0.4">
      <c r="B47" s="234" t="s">
        <v>77</v>
      </c>
      <c r="C47" s="71"/>
      <c r="D47" s="71"/>
      <c r="E47" s="71"/>
      <c r="F47" s="71"/>
      <c r="G47" s="71"/>
      <c r="H47" s="71"/>
      <c r="I47" s="71"/>
      <c r="J47" s="71"/>
      <c r="K47" s="71"/>
      <c r="L47" s="75"/>
      <c r="N47" s="250"/>
      <c r="O47" s="251">
        <f>F12</f>
        <v>9.5</v>
      </c>
      <c r="P47" s="301">
        <v>2</v>
      </c>
      <c r="Q47" s="299">
        <v>2.89</v>
      </c>
      <c r="R47" s="255">
        <v>3.67</v>
      </c>
      <c r="S47" s="255">
        <v>5.24</v>
      </c>
      <c r="T47" s="255">
        <v>6.8</v>
      </c>
      <c r="U47" s="255">
        <v>8.36</v>
      </c>
      <c r="V47" s="255">
        <v>9.93</v>
      </c>
      <c r="W47" s="255">
        <v>11.49</v>
      </c>
      <c r="X47" s="255">
        <v>13.05</v>
      </c>
      <c r="Y47" s="255">
        <v>14.62</v>
      </c>
      <c r="Z47" s="255">
        <v>16.18</v>
      </c>
      <c r="AA47" s="255">
        <v>17.739999999999998</v>
      </c>
      <c r="AB47" s="153">
        <v>19.309999999999999</v>
      </c>
      <c r="AC47" s="255">
        <v>20.87</v>
      </c>
      <c r="AD47" s="255">
        <v>22.43</v>
      </c>
      <c r="AE47" s="255">
        <v>24</v>
      </c>
      <c r="AF47" s="255">
        <v>25.56</v>
      </c>
      <c r="AG47" s="255">
        <v>27.12</v>
      </c>
      <c r="AH47" s="255">
        <v>28.69</v>
      </c>
      <c r="AI47" s="255">
        <v>30.25</v>
      </c>
      <c r="AJ47" s="255">
        <v>31.81</v>
      </c>
      <c r="AK47" s="150"/>
      <c r="AL47" s="150"/>
      <c r="AM47" s="150"/>
      <c r="AN47" s="150"/>
      <c r="AO47" s="150"/>
      <c r="AP47" s="150"/>
      <c r="AQ47" s="158"/>
    </row>
    <row r="48" spans="2:258" ht="15" customHeight="1" thickBot="1" x14ac:dyDescent="0.3">
      <c r="B48" s="78"/>
      <c r="D48" s="71"/>
      <c r="E48" s="71"/>
      <c r="F48" s="71"/>
      <c r="G48" s="71"/>
      <c r="H48" s="71"/>
      <c r="I48" s="71"/>
      <c r="J48" s="71"/>
      <c r="K48" s="71"/>
      <c r="L48" s="75"/>
      <c r="N48" s="323">
        <v>1.5599999999999996</v>
      </c>
      <c r="O48" s="162">
        <v>12</v>
      </c>
      <c r="P48" s="302">
        <v>3</v>
      </c>
      <c r="Q48" s="149">
        <v>3.26</v>
      </c>
      <c r="R48" s="153">
        <v>4.04</v>
      </c>
      <c r="S48" s="153">
        <v>5.6</v>
      </c>
      <c r="T48" s="153">
        <f t="shared" ref="T48:U65" si="212">S48+$N48</f>
        <v>7.1599999999999993</v>
      </c>
      <c r="U48" s="153">
        <f t="shared" si="212"/>
        <v>8.7199999999999989</v>
      </c>
      <c r="V48" s="153">
        <v>10.29</v>
      </c>
      <c r="W48" s="153">
        <f t="shared" ref="W48:AA57" si="213">V48+$N48</f>
        <v>11.849999999999998</v>
      </c>
      <c r="X48" s="153">
        <f t="shared" si="213"/>
        <v>13.409999999999997</v>
      </c>
      <c r="Y48" s="153">
        <f t="shared" si="213"/>
        <v>14.969999999999995</v>
      </c>
      <c r="Z48" s="153">
        <f t="shared" si="213"/>
        <v>16.529999999999994</v>
      </c>
      <c r="AA48" s="153">
        <f t="shared" si="213"/>
        <v>18.089999999999993</v>
      </c>
      <c r="AB48" s="153">
        <v>19.649999999999999</v>
      </c>
      <c r="AC48" s="153">
        <f t="shared" ref="AC48:AF58" si="214">AB48+$N48</f>
        <v>21.209999999999997</v>
      </c>
      <c r="AD48" s="153">
        <f t="shared" si="214"/>
        <v>22.769999999999996</v>
      </c>
      <c r="AE48" s="153">
        <f t="shared" si="214"/>
        <v>24.329999999999995</v>
      </c>
      <c r="AF48" s="153">
        <f t="shared" si="214"/>
        <v>25.889999999999993</v>
      </c>
      <c r="AG48" s="153">
        <v>27.49</v>
      </c>
      <c r="AH48" s="153">
        <f t="shared" ref="AH48:AJ58" si="215">AG48+$N48</f>
        <v>29.049999999999997</v>
      </c>
      <c r="AI48" s="153">
        <f t="shared" si="215"/>
        <v>30.609999999999996</v>
      </c>
      <c r="AJ48" s="153">
        <f t="shared" si="215"/>
        <v>32.169999999999995</v>
      </c>
      <c r="AK48" s="64"/>
      <c r="AL48" s="154"/>
      <c r="AM48" s="154" t="e">
        <f>D51</f>
        <v>#VALUE!</v>
      </c>
      <c r="AN48" s="155" t="e">
        <f>C45</f>
        <v>#VALUE!</v>
      </c>
      <c r="AO48" s="154" t="e">
        <f>E51</f>
        <v>#VALUE!</v>
      </c>
      <c r="AP48" s="64"/>
      <c r="AQ48" s="65"/>
      <c r="CL48" s="83"/>
      <c r="CM48" s="83"/>
      <c r="CN48" s="83"/>
      <c r="CO48" s="83"/>
      <c r="CP48" s="83"/>
      <c r="CQ48" s="83"/>
      <c r="CR48" s="83"/>
      <c r="CS48" s="83"/>
    </row>
    <row r="49" spans="2:98" ht="15" customHeight="1" thickBot="1" x14ac:dyDescent="0.3">
      <c r="B49" s="78"/>
      <c r="C49" s="124"/>
      <c r="D49" s="125" t="s">
        <v>35</v>
      </c>
      <c r="E49" s="126"/>
      <c r="F49" s="126"/>
      <c r="G49" s="128"/>
      <c r="H49" s="125" t="s">
        <v>36</v>
      </c>
      <c r="I49" s="127"/>
      <c r="J49" s="71"/>
      <c r="K49" s="71"/>
      <c r="L49" s="75"/>
      <c r="N49" s="180">
        <v>2.2000000000000002</v>
      </c>
      <c r="O49" s="162">
        <f t="shared" ref="O49:O66" si="216">O48+6</f>
        <v>18</v>
      </c>
      <c r="P49" s="302">
        <v>4</v>
      </c>
      <c r="Q49" s="149">
        <v>4.76</v>
      </c>
      <c r="R49" s="153">
        <v>5.86</v>
      </c>
      <c r="S49" s="153">
        <v>8.06</v>
      </c>
      <c r="T49" s="153">
        <f t="shared" si="212"/>
        <v>10.260000000000002</v>
      </c>
      <c r="U49" s="153">
        <f t="shared" si="212"/>
        <v>12.46</v>
      </c>
      <c r="V49" s="153">
        <v>14.64</v>
      </c>
      <c r="W49" s="153">
        <f t="shared" si="213"/>
        <v>16.84</v>
      </c>
      <c r="X49" s="153">
        <f t="shared" si="213"/>
        <v>19.04</v>
      </c>
      <c r="Y49" s="153">
        <f t="shared" si="213"/>
        <v>21.24</v>
      </c>
      <c r="Z49" s="153">
        <f t="shared" si="213"/>
        <v>23.439999999999998</v>
      </c>
      <c r="AA49" s="153">
        <f t="shared" si="213"/>
        <v>25.639999999999997</v>
      </c>
      <c r="AB49" s="153">
        <v>27.84</v>
      </c>
      <c r="AC49" s="153">
        <f t="shared" si="214"/>
        <v>30.04</v>
      </c>
      <c r="AD49" s="153">
        <f t="shared" si="214"/>
        <v>32.24</v>
      </c>
      <c r="AE49" s="153">
        <f t="shared" si="214"/>
        <v>34.440000000000005</v>
      </c>
      <c r="AF49" s="153">
        <f t="shared" si="214"/>
        <v>36.640000000000008</v>
      </c>
      <c r="AG49" s="153">
        <v>38.78</v>
      </c>
      <c r="AH49" s="153">
        <f t="shared" si="215"/>
        <v>40.980000000000004</v>
      </c>
      <c r="AI49" s="153">
        <f t="shared" si="215"/>
        <v>43.180000000000007</v>
      </c>
      <c r="AJ49" s="153">
        <f t="shared" si="215"/>
        <v>45.38000000000001</v>
      </c>
      <c r="AK49" s="96"/>
      <c r="AL49" s="154" t="e">
        <f>H51</f>
        <v>#VALUE!</v>
      </c>
      <c r="AM49" s="155" t="e">
        <f>INDEX(P46:AJ66,$H$52,$D$52)</f>
        <v>#VALUE!</v>
      </c>
      <c r="AN49" s="155" t="e">
        <f>(((AN48-AM48)/(AO48-AM48))*(AO49-AM49))+AM49</f>
        <v>#VALUE!</v>
      </c>
      <c r="AO49" s="155" t="e">
        <f>INDEX(P46:AJ66,$H$52,$E$52)</f>
        <v>#VALUE!</v>
      </c>
      <c r="AP49" s="64"/>
      <c r="AQ49" s="65"/>
      <c r="CL49" s="83"/>
      <c r="CM49" s="83"/>
      <c r="CN49" s="83"/>
      <c r="CO49" s="83"/>
      <c r="CP49" s="83"/>
      <c r="CQ49" s="83"/>
      <c r="CR49" s="83"/>
      <c r="CS49" s="83"/>
    </row>
    <row r="50" spans="2:98" ht="16.5" thickBot="1" x14ac:dyDescent="0.3">
      <c r="B50" s="78"/>
      <c r="C50" s="120"/>
      <c r="D50" s="121" t="s">
        <v>78</v>
      </c>
      <c r="E50" s="122" t="s">
        <v>79</v>
      </c>
      <c r="F50" s="122"/>
      <c r="G50" s="129"/>
      <c r="H50" s="121" t="s">
        <v>78</v>
      </c>
      <c r="I50" s="123" t="s">
        <v>79</v>
      </c>
      <c r="J50" s="71"/>
      <c r="K50" s="71"/>
      <c r="L50" s="75"/>
      <c r="N50" s="180">
        <v>2.5100000000000007</v>
      </c>
      <c r="O50" s="162">
        <f t="shared" si="216"/>
        <v>24</v>
      </c>
      <c r="P50" s="302">
        <v>5</v>
      </c>
      <c r="Q50" s="149">
        <v>5.96</v>
      </c>
      <c r="R50" s="153">
        <v>7.21</v>
      </c>
      <c r="S50" s="153">
        <v>9.7200000000000006</v>
      </c>
      <c r="T50" s="153">
        <f t="shared" si="212"/>
        <v>12.23</v>
      </c>
      <c r="U50" s="153">
        <f t="shared" si="212"/>
        <v>14.740000000000002</v>
      </c>
      <c r="V50" s="153">
        <v>17.25</v>
      </c>
      <c r="W50" s="153">
        <f t="shared" si="213"/>
        <v>19.760000000000002</v>
      </c>
      <c r="X50" s="153">
        <f t="shared" si="213"/>
        <v>22.270000000000003</v>
      </c>
      <c r="Y50" s="153">
        <f t="shared" si="213"/>
        <v>24.780000000000005</v>
      </c>
      <c r="Z50" s="153">
        <f t="shared" si="213"/>
        <v>27.290000000000006</v>
      </c>
      <c r="AA50" s="153">
        <f t="shared" si="213"/>
        <v>29.800000000000008</v>
      </c>
      <c r="AB50" s="153">
        <f t="shared" ref="AB50:AB64" si="217">AA50+$N50</f>
        <v>32.310000000000009</v>
      </c>
      <c r="AC50" s="153">
        <f t="shared" si="214"/>
        <v>34.820000000000007</v>
      </c>
      <c r="AD50" s="153">
        <f t="shared" si="214"/>
        <v>37.330000000000005</v>
      </c>
      <c r="AE50" s="153">
        <f t="shared" si="214"/>
        <v>39.840000000000003</v>
      </c>
      <c r="AF50" s="153">
        <f t="shared" si="214"/>
        <v>42.35</v>
      </c>
      <c r="AG50" s="153">
        <f>AF50+$N50</f>
        <v>44.86</v>
      </c>
      <c r="AH50" s="153">
        <f t="shared" si="215"/>
        <v>47.37</v>
      </c>
      <c r="AI50" s="153">
        <f t="shared" si="215"/>
        <v>49.879999999999995</v>
      </c>
      <c r="AJ50" s="153">
        <f t="shared" si="215"/>
        <v>52.389999999999993</v>
      </c>
      <c r="AK50" s="64"/>
      <c r="AL50" s="154" t="e">
        <f>C46</f>
        <v>#VALUE!</v>
      </c>
      <c r="AM50" s="155" t="e">
        <f>(((AL50-AL49)/(AL51-AL49))*(AM51-AM49))+AM49</f>
        <v>#VALUE!</v>
      </c>
      <c r="AN50" s="156" t="e">
        <f>IF(AND(AN48&gt;72,AL50&gt;72),5/0,IF(AN48=120,AM50,(((AN49-AM49)/(AO49-AM49))*(AO50-AM50))+AM50))</f>
        <v>#VALUE!</v>
      </c>
      <c r="AO50" s="155" t="e">
        <f>(((AL50-AL49)/(AL51-AL49))*(AO51-AO49))+AO49</f>
        <v>#VALUE!</v>
      </c>
      <c r="AP50" s="64"/>
      <c r="AQ50" s="65"/>
      <c r="CL50" s="83"/>
      <c r="CM50" s="83"/>
      <c r="CN50" s="83"/>
      <c r="CO50" s="83"/>
      <c r="CP50" s="83"/>
      <c r="CQ50" s="83"/>
      <c r="CR50" s="83"/>
      <c r="CS50" s="83"/>
    </row>
    <row r="51" spans="2:98" ht="16.5" thickBot="1" x14ac:dyDescent="0.3">
      <c r="B51" s="78"/>
      <c r="C51" s="118"/>
      <c r="D51" s="116" t="e">
        <f>IF(AND(C45&lt;12,C45&gt;=9),9,FLOOR(C45/6,1)*6)</f>
        <v>#VALUE!</v>
      </c>
      <c r="E51" s="112" t="e">
        <f>IF(D51&lt;12,12,D51+6)</f>
        <v>#VALUE!</v>
      </c>
      <c r="F51" s="112"/>
      <c r="G51" s="130"/>
      <c r="H51" s="116" t="e">
        <f>IF(AND(C46&lt;12,C46&gt;=F12),F12,FLOOR(C46/6,1)*6)</f>
        <v>#VALUE!</v>
      </c>
      <c r="I51" s="113" t="e">
        <f>IF(H51&lt;12,12,H51+6)</f>
        <v>#VALUE!</v>
      </c>
      <c r="J51" s="71"/>
      <c r="K51" s="71"/>
      <c r="L51" s="75"/>
      <c r="N51" s="180">
        <v>3.1400000000000006</v>
      </c>
      <c r="O51" s="162">
        <f t="shared" si="216"/>
        <v>30</v>
      </c>
      <c r="P51" s="302">
        <v>6</v>
      </c>
      <c r="Q51" s="149">
        <v>7.46</v>
      </c>
      <c r="R51" s="153">
        <v>9.0299999999999994</v>
      </c>
      <c r="S51" s="153">
        <v>12.17</v>
      </c>
      <c r="T51" s="153">
        <f t="shared" si="212"/>
        <v>15.31</v>
      </c>
      <c r="U51" s="153">
        <f t="shared" si="212"/>
        <v>18.450000000000003</v>
      </c>
      <c r="V51" s="153">
        <v>21.6</v>
      </c>
      <c r="W51" s="153">
        <f t="shared" si="213"/>
        <v>24.740000000000002</v>
      </c>
      <c r="X51" s="153">
        <f t="shared" si="213"/>
        <v>27.880000000000003</v>
      </c>
      <c r="Y51" s="153">
        <f t="shared" si="213"/>
        <v>31.020000000000003</v>
      </c>
      <c r="Z51" s="153">
        <f t="shared" si="213"/>
        <v>34.160000000000004</v>
      </c>
      <c r="AA51" s="153">
        <f t="shared" si="213"/>
        <v>37.300000000000004</v>
      </c>
      <c r="AB51" s="153">
        <f t="shared" si="217"/>
        <v>40.440000000000005</v>
      </c>
      <c r="AC51" s="153">
        <f t="shared" si="214"/>
        <v>43.580000000000005</v>
      </c>
      <c r="AD51" s="153">
        <f t="shared" si="214"/>
        <v>46.720000000000006</v>
      </c>
      <c r="AE51" s="153">
        <f t="shared" si="214"/>
        <v>49.860000000000007</v>
      </c>
      <c r="AF51" s="153">
        <f t="shared" si="214"/>
        <v>53.000000000000007</v>
      </c>
      <c r="AG51" s="153">
        <f>AF51+$N51</f>
        <v>56.140000000000008</v>
      </c>
      <c r="AH51" s="153">
        <f t="shared" si="215"/>
        <v>59.280000000000008</v>
      </c>
      <c r="AI51" s="153">
        <f t="shared" si="215"/>
        <v>62.420000000000009</v>
      </c>
      <c r="AJ51" s="153">
        <f t="shared" si="215"/>
        <v>65.56</v>
      </c>
      <c r="AK51" s="64"/>
      <c r="AL51" s="154" t="e">
        <f>I51</f>
        <v>#VALUE!</v>
      </c>
      <c r="AM51" s="155" t="e">
        <f>INDEX(P46:AJ66,$I$52,$D$52)</f>
        <v>#VALUE!</v>
      </c>
      <c r="AN51" s="155" t="e">
        <f>(((AN48-AM48)/(AO48-AM48))*(AO51-AM51))+AM51</f>
        <v>#VALUE!</v>
      </c>
      <c r="AO51" s="155" t="e">
        <f>INDEX(P46:AJ66,$I$52,$E$52)</f>
        <v>#VALUE!</v>
      </c>
      <c r="AP51" s="64"/>
      <c r="AQ51" s="65"/>
      <c r="CL51" s="83"/>
      <c r="CM51" s="83"/>
      <c r="CN51" s="83"/>
      <c r="CO51" s="83"/>
      <c r="CP51" s="83"/>
      <c r="CQ51" s="83"/>
      <c r="CR51" s="83"/>
      <c r="CS51" s="83"/>
    </row>
    <row r="52" spans="2:98" ht="15.75" thickBot="1" x14ac:dyDescent="0.3">
      <c r="B52" s="78"/>
      <c r="C52" s="118" t="s">
        <v>37</v>
      </c>
      <c r="D52" s="116" t="e">
        <f>HLOOKUP(D51,C17:W18,2)</f>
        <v>#VALUE!</v>
      </c>
      <c r="E52" s="112" t="e">
        <f>HLOOKUP(E51,C17:W18,2)</f>
        <v>#VALUE!</v>
      </c>
      <c r="F52" s="112"/>
      <c r="G52" s="130" t="s">
        <v>38</v>
      </c>
      <c r="H52" s="116" t="e">
        <f>VLOOKUP(H51,B18:C38,2)</f>
        <v>#VALUE!</v>
      </c>
      <c r="I52" s="113" t="e">
        <f>VLOOKUP(I51,B18:C38,2)</f>
        <v>#VALUE!</v>
      </c>
      <c r="J52" s="71"/>
      <c r="K52" s="71"/>
      <c r="L52" s="75"/>
      <c r="N52" s="180">
        <v>3.4599999999999991</v>
      </c>
      <c r="O52" s="162">
        <f t="shared" si="216"/>
        <v>36</v>
      </c>
      <c r="P52" s="302">
        <v>7</v>
      </c>
      <c r="Q52" s="149">
        <v>8.65</v>
      </c>
      <c r="R52" s="153">
        <v>10.38</v>
      </c>
      <c r="S52" s="153">
        <v>13.84</v>
      </c>
      <c r="T52" s="153">
        <f t="shared" si="212"/>
        <v>17.299999999999997</v>
      </c>
      <c r="U52" s="153">
        <f t="shared" si="212"/>
        <v>20.759999999999998</v>
      </c>
      <c r="V52" s="153">
        <v>24.21</v>
      </c>
      <c r="W52" s="153">
        <f t="shared" si="213"/>
        <v>27.67</v>
      </c>
      <c r="X52" s="153">
        <f t="shared" si="213"/>
        <v>31.130000000000003</v>
      </c>
      <c r="Y52" s="153">
        <f t="shared" si="213"/>
        <v>34.590000000000003</v>
      </c>
      <c r="Z52" s="153">
        <f t="shared" si="213"/>
        <v>38.050000000000004</v>
      </c>
      <c r="AA52" s="153">
        <f t="shared" si="213"/>
        <v>41.510000000000005</v>
      </c>
      <c r="AB52" s="153">
        <f t="shared" si="217"/>
        <v>44.970000000000006</v>
      </c>
      <c r="AC52" s="153">
        <f t="shared" si="214"/>
        <v>48.430000000000007</v>
      </c>
      <c r="AD52" s="153">
        <f t="shared" si="214"/>
        <v>51.890000000000008</v>
      </c>
      <c r="AE52" s="153">
        <f t="shared" si="214"/>
        <v>55.350000000000009</v>
      </c>
      <c r="AF52" s="153">
        <f t="shared" si="214"/>
        <v>58.810000000000009</v>
      </c>
      <c r="AG52" s="153">
        <v>62.24</v>
      </c>
      <c r="AH52" s="153">
        <f t="shared" si="215"/>
        <v>65.7</v>
      </c>
      <c r="AI52" s="153">
        <f t="shared" si="215"/>
        <v>69.16</v>
      </c>
      <c r="AJ52" s="153">
        <f t="shared" si="215"/>
        <v>72.61999999999999</v>
      </c>
      <c r="AK52" s="64"/>
      <c r="AL52" s="64"/>
      <c r="AM52" s="64"/>
      <c r="AN52" s="64"/>
      <c r="AO52" s="64"/>
      <c r="AP52" s="64"/>
      <c r="AQ52" s="65"/>
      <c r="CL52" s="83"/>
      <c r="CM52" s="83"/>
      <c r="CN52" s="83"/>
      <c r="CO52" s="83"/>
      <c r="CP52" s="83"/>
      <c r="CQ52" s="83"/>
      <c r="CR52" s="83"/>
      <c r="CS52" s="83"/>
    </row>
    <row r="53" spans="2:98" ht="24" thickBot="1" x14ac:dyDescent="0.4">
      <c r="B53" s="78"/>
      <c r="C53" s="119"/>
      <c r="D53" s="117"/>
      <c r="E53" s="114"/>
      <c r="F53" s="114"/>
      <c r="G53" s="131"/>
      <c r="H53" s="117"/>
      <c r="I53" s="115"/>
      <c r="J53" s="71"/>
      <c r="K53" s="71"/>
      <c r="L53" s="75"/>
      <c r="N53" s="180">
        <v>4.09</v>
      </c>
      <c r="O53" s="162">
        <f t="shared" si="216"/>
        <v>42</v>
      </c>
      <c r="P53" s="302">
        <v>8</v>
      </c>
      <c r="Q53" s="149">
        <v>10.16</v>
      </c>
      <c r="R53" s="153">
        <v>12.2</v>
      </c>
      <c r="S53" s="153">
        <v>16.29</v>
      </c>
      <c r="T53" s="153">
        <f t="shared" si="212"/>
        <v>20.38</v>
      </c>
      <c r="U53" s="153">
        <f t="shared" si="212"/>
        <v>24.47</v>
      </c>
      <c r="V53" s="153">
        <f>U53+$N53</f>
        <v>28.56</v>
      </c>
      <c r="W53" s="153">
        <f t="shared" si="213"/>
        <v>32.65</v>
      </c>
      <c r="X53" s="153">
        <f t="shared" si="213"/>
        <v>36.739999999999995</v>
      </c>
      <c r="Y53" s="153">
        <f t="shared" si="213"/>
        <v>40.83</v>
      </c>
      <c r="Z53" s="153">
        <f t="shared" si="213"/>
        <v>44.92</v>
      </c>
      <c r="AA53" s="153">
        <f t="shared" si="213"/>
        <v>49.010000000000005</v>
      </c>
      <c r="AB53" s="153">
        <f t="shared" si="217"/>
        <v>53.100000000000009</v>
      </c>
      <c r="AC53" s="153">
        <f t="shared" si="214"/>
        <v>57.190000000000012</v>
      </c>
      <c r="AD53" s="153">
        <f t="shared" si="214"/>
        <v>61.280000000000015</v>
      </c>
      <c r="AE53" s="153">
        <f t="shared" si="214"/>
        <v>65.370000000000019</v>
      </c>
      <c r="AF53" s="153">
        <f t="shared" si="214"/>
        <v>69.460000000000022</v>
      </c>
      <c r="AG53" s="153">
        <f>AF53+$N53</f>
        <v>73.550000000000026</v>
      </c>
      <c r="AH53" s="153">
        <f t="shared" si="215"/>
        <v>77.640000000000029</v>
      </c>
      <c r="AI53" s="153">
        <f t="shared" si="215"/>
        <v>81.730000000000032</v>
      </c>
      <c r="AJ53" s="153">
        <f t="shared" si="215"/>
        <v>85.820000000000036</v>
      </c>
      <c r="AK53" s="64"/>
      <c r="AL53" s="64"/>
      <c r="AM53" s="64" t="s">
        <v>157</v>
      </c>
      <c r="AN53" s="64" t="e">
        <f>IF(AN48&gt;=72,1,0)</f>
        <v>#VALUE!</v>
      </c>
      <c r="AO53" s="64"/>
      <c r="AP53" s="64"/>
      <c r="AQ53" s="65"/>
      <c r="AS53" s="495"/>
      <c r="AT53" s="496"/>
      <c r="CL53" s="83"/>
      <c r="CM53" s="83"/>
      <c r="CN53" s="83"/>
      <c r="CO53" s="83"/>
      <c r="CP53" s="83"/>
      <c r="CQ53" s="83"/>
      <c r="CR53" s="83"/>
      <c r="CS53" s="83"/>
    </row>
    <row r="54" spans="2:98" ht="15.75" thickBot="1" x14ac:dyDescent="0.3">
      <c r="B54" s="78"/>
      <c r="C54" s="71"/>
      <c r="D54" s="71"/>
      <c r="E54" s="71"/>
      <c r="F54" s="71"/>
      <c r="G54" s="71"/>
      <c r="H54" s="71"/>
      <c r="I54" s="71"/>
      <c r="J54" s="71"/>
      <c r="K54" s="71"/>
      <c r="L54" s="75"/>
      <c r="N54" s="180">
        <v>4.41</v>
      </c>
      <c r="O54" s="162">
        <f t="shared" si="216"/>
        <v>48</v>
      </c>
      <c r="P54" s="302">
        <v>9</v>
      </c>
      <c r="Q54" s="149">
        <v>11.35</v>
      </c>
      <c r="R54" s="153">
        <v>13.55</v>
      </c>
      <c r="S54" s="153">
        <v>17.96</v>
      </c>
      <c r="T54" s="153">
        <f t="shared" si="212"/>
        <v>22.37</v>
      </c>
      <c r="U54" s="153">
        <f t="shared" si="212"/>
        <v>26.78</v>
      </c>
      <c r="V54" s="153">
        <v>31.17</v>
      </c>
      <c r="W54" s="153">
        <f t="shared" si="213"/>
        <v>35.58</v>
      </c>
      <c r="X54" s="153">
        <f t="shared" si="213"/>
        <v>39.989999999999995</v>
      </c>
      <c r="Y54" s="153">
        <f t="shared" si="213"/>
        <v>44.399999999999991</v>
      </c>
      <c r="Z54" s="153">
        <f t="shared" si="213"/>
        <v>48.809999999999988</v>
      </c>
      <c r="AA54" s="153">
        <f t="shared" si="213"/>
        <v>53.219999999999985</v>
      </c>
      <c r="AB54" s="153">
        <f t="shared" si="217"/>
        <v>57.629999999999981</v>
      </c>
      <c r="AC54" s="153">
        <f t="shared" si="214"/>
        <v>62.039999999999978</v>
      </c>
      <c r="AD54" s="153">
        <f t="shared" si="214"/>
        <v>66.449999999999974</v>
      </c>
      <c r="AE54" s="153">
        <f t="shared" si="214"/>
        <v>70.859999999999971</v>
      </c>
      <c r="AF54" s="153">
        <f t="shared" si="214"/>
        <v>75.269999999999968</v>
      </c>
      <c r="AG54" s="153">
        <v>79.62</v>
      </c>
      <c r="AH54" s="153">
        <f t="shared" si="215"/>
        <v>84.03</v>
      </c>
      <c r="AI54" s="153">
        <f t="shared" si="215"/>
        <v>88.44</v>
      </c>
      <c r="AJ54" s="153">
        <f t="shared" si="215"/>
        <v>92.85</v>
      </c>
      <c r="AK54" s="64"/>
      <c r="AL54" s="64"/>
      <c r="AM54" s="64" t="s">
        <v>158</v>
      </c>
      <c r="AN54" s="64" t="e">
        <f>AN53*(1.5+((AL50-12))*0.103)</f>
        <v>#VALUE!</v>
      </c>
      <c r="AO54" s="64"/>
      <c r="AP54" s="64"/>
      <c r="AQ54" s="65"/>
      <c r="CL54" s="83"/>
      <c r="CM54" s="83"/>
      <c r="CN54" s="83"/>
      <c r="CO54" s="83"/>
      <c r="CP54" s="83"/>
      <c r="CQ54" s="83"/>
      <c r="CR54" s="83"/>
      <c r="CS54" s="83"/>
    </row>
    <row r="55" spans="2:98" ht="21.75" thickBot="1" x14ac:dyDescent="0.4">
      <c r="B55" s="229" t="s">
        <v>71</v>
      </c>
      <c r="C55" s="71"/>
      <c r="E55" s="71"/>
      <c r="F55" s="71"/>
      <c r="G55" s="71"/>
      <c r="H55" s="71"/>
      <c r="I55" s="71"/>
      <c r="J55" s="71"/>
      <c r="K55" s="71"/>
      <c r="L55" s="75"/>
      <c r="N55" s="180">
        <v>5.0299999999999994</v>
      </c>
      <c r="O55" s="162">
        <f t="shared" si="216"/>
        <v>54</v>
      </c>
      <c r="P55" s="302">
        <v>10</v>
      </c>
      <c r="Q55" s="149">
        <v>12.86</v>
      </c>
      <c r="R55" s="153">
        <v>15.38</v>
      </c>
      <c r="S55" s="153">
        <v>20.41</v>
      </c>
      <c r="T55" s="153">
        <f t="shared" si="212"/>
        <v>25.439999999999998</v>
      </c>
      <c r="U55" s="153">
        <f t="shared" si="212"/>
        <v>30.47</v>
      </c>
      <c r="V55" s="153">
        <v>35.520000000000003</v>
      </c>
      <c r="W55" s="153">
        <f t="shared" si="213"/>
        <v>40.550000000000004</v>
      </c>
      <c r="X55" s="153">
        <f t="shared" si="213"/>
        <v>45.580000000000005</v>
      </c>
      <c r="Y55" s="153">
        <f t="shared" si="213"/>
        <v>50.610000000000007</v>
      </c>
      <c r="Z55" s="153">
        <f t="shared" si="213"/>
        <v>55.640000000000008</v>
      </c>
      <c r="AA55" s="153">
        <f t="shared" si="213"/>
        <v>60.670000000000009</v>
      </c>
      <c r="AB55" s="153">
        <f t="shared" si="217"/>
        <v>65.7</v>
      </c>
      <c r="AC55" s="153">
        <f t="shared" si="214"/>
        <v>70.73</v>
      </c>
      <c r="AD55" s="153">
        <f t="shared" si="214"/>
        <v>75.760000000000005</v>
      </c>
      <c r="AE55" s="153">
        <f t="shared" si="214"/>
        <v>80.790000000000006</v>
      </c>
      <c r="AF55" s="153">
        <f t="shared" si="214"/>
        <v>85.820000000000007</v>
      </c>
      <c r="AG55" s="153">
        <v>90.91</v>
      </c>
      <c r="AH55" s="153">
        <f t="shared" si="215"/>
        <v>95.94</v>
      </c>
      <c r="AI55" s="153">
        <f t="shared" si="215"/>
        <v>100.97</v>
      </c>
      <c r="AJ55" s="153">
        <f t="shared" si="215"/>
        <v>106</v>
      </c>
      <c r="AK55" s="64"/>
      <c r="AL55" s="64"/>
      <c r="AM55" s="64"/>
      <c r="AN55" s="64"/>
      <c r="AO55" s="64"/>
      <c r="AP55" s="64"/>
      <c r="AQ55" s="65"/>
      <c r="CL55" s="83"/>
      <c r="CM55" s="83"/>
      <c r="CN55" s="83"/>
      <c r="CO55" s="83"/>
      <c r="CP55" s="83"/>
      <c r="CQ55" s="83"/>
      <c r="CR55" s="83"/>
      <c r="CS55" s="83"/>
    </row>
    <row r="56" spans="2:98" ht="16.5" thickBot="1" x14ac:dyDescent="0.3">
      <c r="B56" s="78"/>
      <c r="C56" s="71"/>
      <c r="D56" s="109"/>
      <c r="E56" s="109" t="e">
        <f>D51</f>
        <v>#VALUE!</v>
      </c>
      <c r="F56" s="132" t="e">
        <f>C45</f>
        <v>#VALUE!</v>
      </c>
      <c r="G56" s="109" t="e">
        <f>E51</f>
        <v>#VALUE!</v>
      </c>
      <c r="H56" s="71"/>
      <c r="I56" s="71"/>
      <c r="J56" s="71"/>
      <c r="K56" s="71"/>
      <c r="L56" s="75"/>
      <c r="N56" s="180">
        <v>5.3499999999999979</v>
      </c>
      <c r="O56" s="162">
        <f t="shared" si="216"/>
        <v>60</v>
      </c>
      <c r="P56" s="302">
        <v>11</v>
      </c>
      <c r="Q56" s="149">
        <v>14.05</v>
      </c>
      <c r="R56" s="153">
        <v>16.73</v>
      </c>
      <c r="S56" s="153">
        <v>22.08</v>
      </c>
      <c r="T56" s="153">
        <f t="shared" si="212"/>
        <v>27.429999999999996</v>
      </c>
      <c r="U56" s="153">
        <f t="shared" si="212"/>
        <v>32.779999999999994</v>
      </c>
      <c r="V56" s="153">
        <v>38.130000000000003</v>
      </c>
      <c r="W56" s="153">
        <f t="shared" si="213"/>
        <v>43.480000000000004</v>
      </c>
      <c r="X56" s="153">
        <f t="shared" si="213"/>
        <v>48.83</v>
      </c>
      <c r="Y56" s="153">
        <f t="shared" si="213"/>
        <v>54.179999999999993</v>
      </c>
      <c r="Z56" s="153">
        <f t="shared" si="213"/>
        <v>59.529999999999987</v>
      </c>
      <c r="AA56" s="153">
        <f t="shared" si="213"/>
        <v>64.879999999999981</v>
      </c>
      <c r="AB56" s="153">
        <f t="shared" si="217"/>
        <v>70.229999999999976</v>
      </c>
      <c r="AC56" s="153">
        <f t="shared" si="214"/>
        <v>75.57999999999997</v>
      </c>
      <c r="AD56" s="153">
        <f t="shared" si="214"/>
        <v>80.929999999999964</v>
      </c>
      <c r="AE56" s="153">
        <f t="shared" si="214"/>
        <v>86.279999999999959</v>
      </c>
      <c r="AF56" s="153">
        <f t="shared" si="214"/>
        <v>91.629999999999953</v>
      </c>
      <c r="AG56" s="153">
        <v>97</v>
      </c>
      <c r="AH56" s="153">
        <f t="shared" si="215"/>
        <v>102.35</v>
      </c>
      <c r="AI56" s="153">
        <f t="shared" si="215"/>
        <v>107.69999999999999</v>
      </c>
      <c r="AJ56" s="153">
        <f t="shared" si="215"/>
        <v>113.04999999999998</v>
      </c>
      <c r="AK56" s="64"/>
      <c r="AL56" s="64"/>
      <c r="AM56" s="64"/>
      <c r="AN56" s="64"/>
      <c r="AO56" s="64"/>
      <c r="AP56" s="64"/>
      <c r="AQ56" s="65"/>
      <c r="CL56" s="83"/>
      <c r="CM56" s="83"/>
      <c r="CN56" s="83"/>
      <c r="CO56" s="83"/>
      <c r="CP56" s="83"/>
      <c r="CQ56" s="83"/>
      <c r="CR56" s="83"/>
      <c r="CS56" s="83"/>
    </row>
    <row r="57" spans="2:98" ht="16.5" thickBot="1" x14ac:dyDescent="0.3">
      <c r="B57" s="78"/>
      <c r="C57" s="71"/>
      <c r="D57" s="109" t="e">
        <f>H51</f>
        <v>#VALUE!</v>
      </c>
      <c r="E57" s="133" t="e">
        <f>INDEX(C18:W38,$H$52,$D$52)</f>
        <v>#VALUE!</v>
      </c>
      <c r="F57" s="133" t="e">
        <f>(((F56-E56)/(G56-E56))*(G57-E57))+E57</f>
        <v>#VALUE!</v>
      </c>
      <c r="G57" s="133" t="e">
        <f>INDEX(C18:W38,$H$52,$E$52)</f>
        <v>#VALUE!</v>
      </c>
      <c r="H57" s="71"/>
      <c r="I57" s="71"/>
      <c r="J57" s="71"/>
      <c r="K57" s="71"/>
      <c r="L57" s="75"/>
      <c r="N57" s="180">
        <v>5.98</v>
      </c>
      <c r="O57" s="162">
        <f t="shared" si="216"/>
        <v>66</v>
      </c>
      <c r="P57" s="302">
        <v>12</v>
      </c>
      <c r="Q57" s="149">
        <v>15.56</v>
      </c>
      <c r="R57" s="153">
        <v>18.55</v>
      </c>
      <c r="S57" s="153">
        <v>24.53</v>
      </c>
      <c r="T57" s="153">
        <f t="shared" si="212"/>
        <v>30.51</v>
      </c>
      <c r="U57" s="153">
        <f t="shared" si="212"/>
        <v>36.49</v>
      </c>
      <c r="V57" s="153">
        <v>42.48</v>
      </c>
      <c r="W57" s="153">
        <f t="shared" si="213"/>
        <v>48.459999999999994</v>
      </c>
      <c r="X57" s="153">
        <f t="shared" si="213"/>
        <v>54.44</v>
      </c>
      <c r="Y57" s="153">
        <f t="shared" si="213"/>
        <v>60.42</v>
      </c>
      <c r="Z57" s="153">
        <f t="shared" si="213"/>
        <v>66.400000000000006</v>
      </c>
      <c r="AA57" s="153">
        <f t="shared" si="213"/>
        <v>72.38000000000001</v>
      </c>
      <c r="AB57" s="153">
        <f t="shared" si="217"/>
        <v>78.360000000000014</v>
      </c>
      <c r="AC57" s="153">
        <f t="shared" si="214"/>
        <v>84.340000000000018</v>
      </c>
      <c r="AD57" s="153">
        <f t="shared" si="214"/>
        <v>90.320000000000022</v>
      </c>
      <c r="AE57" s="153">
        <f t="shared" si="214"/>
        <v>96.300000000000026</v>
      </c>
      <c r="AF57" s="153">
        <f t="shared" si="214"/>
        <v>102.28000000000003</v>
      </c>
      <c r="AG57" s="153">
        <v>108.29</v>
      </c>
      <c r="AH57" s="153">
        <f t="shared" si="215"/>
        <v>114.27000000000001</v>
      </c>
      <c r="AI57" s="153">
        <f t="shared" si="215"/>
        <v>120.25000000000001</v>
      </c>
      <c r="AJ57" s="153">
        <f t="shared" si="215"/>
        <v>126.23000000000002</v>
      </c>
      <c r="AK57" s="64"/>
      <c r="AL57" s="64"/>
      <c r="AM57" s="270" t="s">
        <v>212</v>
      </c>
      <c r="AN57" s="304"/>
      <c r="AO57" s="249" t="e">
        <f>(AN50+AN54)</f>
        <v>#VALUE!</v>
      </c>
      <c r="AP57" s="64" t="s">
        <v>86</v>
      </c>
      <c r="AQ57" s="65"/>
      <c r="CL57" s="83"/>
      <c r="CM57" s="83"/>
      <c r="CN57" s="83"/>
      <c r="CO57" s="83"/>
      <c r="CP57" s="83"/>
      <c r="CQ57" s="83"/>
      <c r="CR57" s="83"/>
      <c r="CS57" s="83"/>
    </row>
    <row r="58" spans="2:98" ht="16.5" thickBot="1" x14ac:dyDescent="0.3">
      <c r="B58" s="78"/>
      <c r="C58" s="71"/>
      <c r="D58" s="109" t="e">
        <f>C46</f>
        <v>#VALUE!</v>
      </c>
      <c r="E58" s="133" t="e">
        <f>(((D58-D57)/(D59-D57))*(E59-E57))+E57</f>
        <v>#VALUE!</v>
      </c>
      <c r="F58" s="134" t="e">
        <f>IF(AND(F56&gt;72,D58&gt;72),5/0,IF(F56=120,E58,(((F57-E57)/(G57-E57))*(G58-E58))+E58))</f>
        <v>#VALUE!</v>
      </c>
      <c r="G58" s="133" t="e">
        <f>(((D58-D57)/(D59-D57))*(G59-G57))+G57</f>
        <v>#VALUE!</v>
      </c>
      <c r="H58" s="71"/>
      <c r="I58" s="71"/>
      <c r="J58" s="71"/>
      <c r="K58" s="71"/>
      <c r="L58" s="75"/>
      <c r="N58" s="180">
        <v>6.3000000000000007</v>
      </c>
      <c r="O58" s="162">
        <f t="shared" si="216"/>
        <v>72</v>
      </c>
      <c r="P58" s="302">
        <v>13</v>
      </c>
      <c r="Q58" s="149">
        <v>16.75</v>
      </c>
      <c r="R58" s="153">
        <v>19.899999999999999</v>
      </c>
      <c r="S58" s="153">
        <v>26.2</v>
      </c>
      <c r="T58" s="153">
        <f t="shared" si="212"/>
        <v>32.5</v>
      </c>
      <c r="U58" s="153">
        <f t="shared" si="212"/>
        <v>38.799999999999997</v>
      </c>
      <c r="V58" s="153">
        <v>45.09</v>
      </c>
      <c r="W58" s="153">
        <f t="shared" ref="W58:AA66" si="218">V58+$N58</f>
        <v>51.39</v>
      </c>
      <c r="X58" s="153">
        <f t="shared" si="218"/>
        <v>57.69</v>
      </c>
      <c r="Y58" s="153">
        <f t="shared" si="218"/>
        <v>63.989999999999995</v>
      </c>
      <c r="Z58" s="153">
        <f t="shared" si="218"/>
        <v>70.289999999999992</v>
      </c>
      <c r="AA58" s="153">
        <f t="shared" si="218"/>
        <v>76.589999999999989</v>
      </c>
      <c r="AB58" s="153">
        <f t="shared" si="217"/>
        <v>82.889999999999986</v>
      </c>
      <c r="AC58" s="153">
        <f t="shared" si="214"/>
        <v>89.189999999999984</v>
      </c>
      <c r="AD58" s="153">
        <f t="shared" si="214"/>
        <v>95.489999999999981</v>
      </c>
      <c r="AE58" s="153">
        <f t="shared" si="214"/>
        <v>101.78999999999998</v>
      </c>
      <c r="AF58" s="153">
        <f t="shared" si="214"/>
        <v>108.08999999999997</v>
      </c>
      <c r="AG58" s="153">
        <f>AF58+$N58</f>
        <v>114.38999999999997</v>
      </c>
      <c r="AH58" s="153">
        <f t="shared" si="215"/>
        <v>120.68999999999997</v>
      </c>
      <c r="AI58" s="153">
        <f t="shared" si="215"/>
        <v>126.98999999999997</v>
      </c>
      <c r="AJ58" s="153">
        <f t="shared" si="215"/>
        <v>133.28999999999996</v>
      </c>
      <c r="AK58" s="64"/>
      <c r="AL58" s="64"/>
      <c r="AM58" s="270" t="s">
        <v>213</v>
      </c>
      <c r="AN58" s="304"/>
      <c r="AO58" s="303" t="e">
        <f>AO57*C11</f>
        <v>#VALUE!</v>
      </c>
      <c r="AP58" s="64" t="s">
        <v>86</v>
      </c>
      <c r="AQ58" s="65"/>
      <c r="CL58" s="83"/>
      <c r="CM58" s="83"/>
      <c r="CN58" s="83"/>
      <c r="CO58" s="83"/>
      <c r="CP58" s="83"/>
      <c r="CQ58" s="83"/>
      <c r="CR58" s="83"/>
      <c r="CS58" s="83"/>
    </row>
    <row r="59" spans="2:98" ht="16.5" thickBot="1" x14ac:dyDescent="0.3">
      <c r="B59" s="78"/>
      <c r="C59" s="71"/>
      <c r="D59" s="109" t="e">
        <f>I51</f>
        <v>#VALUE!</v>
      </c>
      <c r="E59" s="133" t="e">
        <f>INDEX(C18:W38,$I$52,$D$52)</f>
        <v>#VALUE!</v>
      </c>
      <c r="F59" s="133" t="e">
        <f>(((F56-E56)/(G56-E56))*(G59-E59))+E59</f>
        <v>#VALUE!</v>
      </c>
      <c r="G59" s="133" t="e">
        <f>INDEX(C18:W38,$I$52,$E$52)</f>
        <v>#VALUE!</v>
      </c>
      <c r="H59" s="71"/>
      <c r="I59" s="71"/>
      <c r="J59" s="71"/>
      <c r="K59" s="71"/>
      <c r="L59" s="75"/>
      <c r="N59" s="180">
        <v>6.93</v>
      </c>
      <c r="O59" s="162">
        <f t="shared" si="216"/>
        <v>78</v>
      </c>
      <c r="P59" s="302">
        <v>14</v>
      </c>
      <c r="Q59" s="149">
        <v>18.25</v>
      </c>
      <c r="R59" s="153">
        <v>21.72</v>
      </c>
      <c r="S59" s="153">
        <v>28.65</v>
      </c>
      <c r="T59" s="153">
        <f t="shared" si="212"/>
        <v>35.58</v>
      </c>
      <c r="U59" s="153">
        <f t="shared" si="212"/>
        <v>42.51</v>
      </c>
      <c r="V59" s="153">
        <v>49.44</v>
      </c>
      <c r="W59" s="153">
        <f t="shared" si="218"/>
        <v>56.37</v>
      </c>
      <c r="X59" s="153">
        <f t="shared" si="218"/>
        <v>63.3</v>
      </c>
      <c r="Y59" s="153">
        <f t="shared" si="218"/>
        <v>70.22999999999999</v>
      </c>
      <c r="Z59" s="153">
        <f t="shared" si="218"/>
        <v>77.16</v>
      </c>
      <c r="AA59" s="153">
        <f t="shared" si="218"/>
        <v>84.09</v>
      </c>
      <c r="AB59" s="153">
        <f t="shared" si="217"/>
        <v>91.02000000000001</v>
      </c>
      <c r="AC59" s="306"/>
      <c r="AD59" s="306"/>
      <c r="AE59" s="306"/>
      <c r="AF59" s="306"/>
      <c r="AG59" s="306"/>
      <c r="AH59" s="306"/>
      <c r="AI59" s="306"/>
      <c r="AJ59" s="306"/>
      <c r="AK59" s="64"/>
      <c r="AL59" s="64"/>
      <c r="AM59" s="64"/>
      <c r="AN59" s="303"/>
      <c r="AO59" s="303"/>
      <c r="AP59" s="64"/>
      <c r="AQ59" s="65"/>
      <c r="CL59" s="83"/>
      <c r="CM59" s="83"/>
      <c r="CN59" s="83"/>
      <c r="CO59" s="83"/>
      <c r="CP59" s="83"/>
      <c r="CQ59" s="83"/>
      <c r="CR59" s="83"/>
      <c r="CS59" s="83"/>
      <c r="CT59" s="83"/>
    </row>
    <row r="60" spans="2:98" ht="15.75" thickBot="1" x14ac:dyDescent="0.3">
      <c r="B60" s="78"/>
      <c r="C60" s="71"/>
      <c r="D60" s="71"/>
      <c r="E60" s="71"/>
      <c r="F60" s="71"/>
      <c r="G60" s="71"/>
      <c r="H60" s="71"/>
      <c r="I60" s="71"/>
      <c r="J60" s="71"/>
      <c r="K60" s="71"/>
      <c r="L60" s="75"/>
      <c r="N60" s="180">
        <v>7.2399999999999984</v>
      </c>
      <c r="O60" s="162">
        <f t="shared" si="216"/>
        <v>84</v>
      </c>
      <c r="P60" s="302">
        <v>15</v>
      </c>
      <c r="Q60" s="149">
        <v>19.45</v>
      </c>
      <c r="R60" s="153">
        <v>23.07</v>
      </c>
      <c r="S60" s="153">
        <v>30.31</v>
      </c>
      <c r="T60" s="153">
        <f t="shared" si="212"/>
        <v>37.549999999999997</v>
      </c>
      <c r="U60" s="153">
        <f t="shared" si="212"/>
        <v>44.789999999999992</v>
      </c>
      <c r="V60" s="153">
        <v>52.05</v>
      </c>
      <c r="W60" s="153">
        <f t="shared" si="218"/>
        <v>59.289999999999992</v>
      </c>
      <c r="X60" s="153">
        <f t="shared" si="218"/>
        <v>66.529999999999987</v>
      </c>
      <c r="Y60" s="153">
        <f t="shared" si="218"/>
        <v>73.769999999999982</v>
      </c>
      <c r="Z60" s="153">
        <f t="shared" si="218"/>
        <v>81.009999999999977</v>
      </c>
      <c r="AA60" s="153">
        <f t="shared" si="218"/>
        <v>88.249999999999972</v>
      </c>
      <c r="AB60" s="153">
        <f t="shared" si="217"/>
        <v>95.489999999999966</v>
      </c>
      <c r="AC60" s="306"/>
      <c r="AD60" s="306"/>
      <c r="AE60" s="306"/>
      <c r="AF60" s="306"/>
      <c r="AG60" s="306"/>
      <c r="AH60" s="306"/>
      <c r="AI60" s="306"/>
      <c r="AJ60" s="306"/>
      <c r="AK60" s="64"/>
      <c r="AL60" s="64"/>
      <c r="AM60" s="64"/>
      <c r="AN60" s="64"/>
      <c r="AO60" s="64"/>
      <c r="AP60" s="64"/>
      <c r="AQ60" s="97"/>
      <c r="BZ60" s="83"/>
      <c r="CA60" s="83"/>
      <c r="CJ60" s="83"/>
      <c r="CK60" s="83"/>
      <c r="CL60" s="83"/>
      <c r="CM60" s="83"/>
      <c r="CN60" s="83"/>
      <c r="CO60" s="83"/>
      <c r="CP60" s="83"/>
      <c r="CQ60" s="83"/>
      <c r="CR60" s="83"/>
      <c r="CS60" s="83"/>
      <c r="CT60" s="83"/>
    </row>
    <row r="61" spans="2:98" ht="15.75" thickBot="1" x14ac:dyDescent="0.3">
      <c r="B61" s="78"/>
      <c r="C61" s="71"/>
      <c r="D61" s="71"/>
      <c r="E61" s="71"/>
      <c r="F61" s="71"/>
      <c r="G61" s="71"/>
      <c r="H61" s="71"/>
      <c r="I61" s="71"/>
      <c r="J61" s="71"/>
      <c r="K61" s="71"/>
      <c r="L61" s="75"/>
      <c r="N61" s="180">
        <v>7.8800000000000026</v>
      </c>
      <c r="O61" s="162">
        <f t="shared" si="216"/>
        <v>90</v>
      </c>
      <c r="P61" s="302">
        <v>16</v>
      </c>
      <c r="Q61" s="149">
        <v>20.95</v>
      </c>
      <c r="R61" s="153">
        <v>24.89</v>
      </c>
      <c r="S61" s="153">
        <v>32.770000000000003</v>
      </c>
      <c r="T61" s="153">
        <f t="shared" si="212"/>
        <v>40.650000000000006</v>
      </c>
      <c r="U61" s="153">
        <f t="shared" si="212"/>
        <v>48.530000000000008</v>
      </c>
      <c r="V61" s="153">
        <v>56.4</v>
      </c>
      <c r="W61" s="153">
        <f t="shared" si="218"/>
        <v>64.28</v>
      </c>
      <c r="X61" s="153">
        <f t="shared" si="218"/>
        <v>72.16</v>
      </c>
      <c r="Y61" s="153">
        <f t="shared" si="218"/>
        <v>80.039999999999992</v>
      </c>
      <c r="Z61" s="153">
        <f t="shared" si="218"/>
        <v>87.919999999999987</v>
      </c>
      <c r="AA61" s="153">
        <f t="shared" si="218"/>
        <v>95.799999999999983</v>
      </c>
      <c r="AB61" s="153">
        <f t="shared" si="217"/>
        <v>103.67999999999998</v>
      </c>
      <c r="AC61" s="306"/>
      <c r="AD61" s="306"/>
      <c r="AE61" s="306"/>
      <c r="AF61" s="306"/>
      <c r="AG61" s="306"/>
      <c r="AH61" s="306"/>
      <c r="AI61" s="306"/>
      <c r="AJ61" s="306"/>
      <c r="AK61" s="64"/>
      <c r="AL61" s="64"/>
      <c r="AM61" s="64"/>
      <c r="AN61" s="64"/>
      <c r="AO61" s="64"/>
      <c r="AP61" s="64"/>
      <c r="AQ61" s="97"/>
      <c r="BG61" s="83"/>
      <c r="BZ61" s="83"/>
      <c r="CA61" s="83"/>
      <c r="CJ61" s="83"/>
      <c r="CK61" s="83"/>
      <c r="CL61" s="83"/>
      <c r="CM61" s="83"/>
      <c r="CN61" s="83"/>
      <c r="CO61" s="83"/>
      <c r="CP61" s="83"/>
      <c r="CQ61" s="83"/>
      <c r="CR61" s="83"/>
      <c r="CS61" s="83"/>
      <c r="CT61" s="83"/>
    </row>
    <row r="62" spans="2:98" ht="15.75" thickBot="1" x14ac:dyDescent="0.3">
      <c r="B62" s="78"/>
      <c r="C62" s="71"/>
      <c r="D62" s="71"/>
      <c r="E62" s="71"/>
      <c r="F62" s="71"/>
      <c r="G62" s="71"/>
      <c r="H62" s="71"/>
      <c r="I62" s="71"/>
      <c r="J62" s="71"/>
      <c r="K62" s="71"/>
      <c r="L62" s="75"/>
      <c r="N62" s="180">
        <v>8.1900000000000013</v>
      </c>
      <c r="O62" s="162">
        <f t="shared" si="216"/>
        <v>96</v>
      </c>
      <c r="P62" s="302">
        <v>17</v>
      </c>
      <c r="Q62" s="149">
        <v>22.14</v>
      </c>
      <c r="R62" s="153">
        <v>26.24</v>
      </c>
      <c r="S62" s="153">
        <v>34.43</v>
      </c>
      <c r="T62" s="153">
        <f t="shared" si="212"/>
        <v>42.620000000000005</v>
      </c>
      <c r="U62" s="153">
        <f t="shared" si="212"/>
        <v>50.81</v>
      </c>
      <c r="V62" s="153">
        <v>59.01</v>
      </c>
      <c r="W62" s="153">
        <f t="shared" si="218"/>
        <v>67.2</v>
      </c>
      <c r="X62" s="153">
        <f t="shared" si="218"/>
        <v>75.39</v>
      </c>
      <c r="Y62" s="153">
        <f t="shared" si="218"/>
        <v>83.58</v>
      </c>
      <c r="Z62" s="153">
        <f t="shared" si="218"/>
        <v>91.77</v>
      </c>
      <c r="AA62" s="153">
        <f t="shared" si="218"/>
        <v>99.96</v>
      </c>
      <c r="AB62" s="153">
        <f t="shared" si="217"/>
        <v>108.14999999999999</v>
      </c>
      <c r="AC62" s="306"/>
      <c r="AD62" s="306"/>
      <c r="AE62" s="306"/>
      <c r="AF62" s="306"/>
      <c r="AG62" s="306"/>
      <c r="AH62" s="306"/>
      <c r="AI62" s="306"/>
      <c r="AJ62" s="306"/>
      <c r="AK62" s="64"/>
      <c r="AL62" s="64"/>
      <c r="AM62" s="64"/>
      <c r="AN62" s="64"/>
      <c r="AO62" s="64"/>
      <c r="AP62" s="64"/>
      <c r="AQ62" s="97"/>
      <c r="BG62" s="83"/>
      <c r="BZ62" s="83"/>
      <c r="CA62" s="83"/>
      <c r="CJ62" s="83"/>
      <c r="CK62" s="83"/>
      <c r="CL62" s="83"/>
      <c r="CM62" s="83"/>
      <c r="CN62" s="83"/>
      <c r="CO62" s="83"/>
      <c r="CP62" s="83"/>
      <c r="CQ62" s="83"/>
      <c r="CR62" s="83"/>
      <c r="CS62" s="83"/>
      <c r="CT62" s="83"/>
    </row>
    <row r="63" spans="2:98" ht="21.75" thickBot="1" x14ac:dyDescent="0.4">
      <c r="B63" s="229" t="s">
        <v>80</v>
      </c>
      <c r="C63" s="71"/>
      <c r="D63" s="71"/>
      <c r="E63" s="71"/>
      <c r="F63" s="71"/>
      <c r="G63" s="71"/>
      <c r="H63" s="71"/>
      <c r="I63" s="71"/>
      <c r="J63" s="71"/>
      <c r="K63" s="71"/>
      <c r="L63" s="75"/>
      <c r="N63" s="180">
        <v>8.8300000000000018</v>
      </c>
      <c r="O63" s="162">
        <f t="shared" si="216"/>
        <v>102</v>
      </c>
      <c r="P63" s="302">
        <v>18</v>
      </c>
      <c r="Q63" s="149">
        <v>23.65</v>
      </c>
      <c r="R63" s="153">
        <v>28.06</v>
      </c>
      <c r="S63" s="153">
        <v>36.89</v>
      </c>
      <c r="T63" s="153">
        <f t="shared" si="212"/>
        <v>45.72</v>
      </c>
      <c r="U63" s="153">
        <f t="shared" si="212"/>
        <v>54.55</v>
      </c>
      <c r="V63" s="153">
        <v>63.36</v>
      </c>
      <c r="W63" s="153">
        <f t="shared" si="218"/>
        <v>72.19</v>
      </c>
      <c r="X63" s="153">
        <f t="shared" si="218"/>
        <v>81.02</v>
      </c>
      <c r="Y63" s="153">
        <f t="shared" si="218"/>
        <v>89.85</v>
      </c>
      <c r="Z63" s="153">
        <f t="shared" si="218"/>
        <v>98.679999999999993</v>
      </c>
      <c r="AA63" s="153">
        <f t="shared" si="218"/>
        <v>107.50999999999999</v>
      </c>
      <c r="AB63" s="153">
        <f t="shared" si="217"/>
        <v>116.33999999999999</v>
      </c>
      <c r="AC63" s="306"/>
      <c r="AD63" s="306"/>
      <c r="AE63" s="306"/>
      <c r="AF63" s="306"/>
      <c r="AG63" s="306"/>
      <c r="AH63" s="306"/>
      <c r="AI63" s="306"/>
      <c r="AJ63" s="306"/>
      <c r="AK63" s="64"/>
      <c r="AL63" s="64"/>
      <c r="AM63" s="64"/>
      <c r="AN63" s="64"/>
      <c r="AO63" s="64"/>
      <c r="AP63" s="64"/>
      <c r="AQ63" s="97"/>
      <c r="BG63" s="83"/>
      <c r="BZ63" s="83"/>
      <c r="CA63" s="83"/>
      <c r="CJ63" s="83"/>
      <c r="CK63" s="83"/>
      <c r="CL63" s="83"/>
      <c r="CM63" s="83"/>
      <c r="CN63" s="83"/>
      <c r="CO63" s="83"/>
      <c r="CP63" s="83"/>
      <c r="CQ63" s="83"/>
      <c r="CR63" s="83"/>
      <c r="CS63" s="83"/>
      <c r="CT63" s="83"/>
    </row>
    <row r="64" spans="2:98" ht="19.5" thickBot="1" x14ac:dyDescent="0.35">
      <c r="B64" s="230" t="s">
        <v>46</v>
      </c>
      <c r="C64" s="71"/>
      <c r="D64" s="141" t="e">
        <f>F58*(D3*D4)/144</f>
        <v>#VALUE!</v>
      </c>
      <c r="E64" s="256" t="s">
        <v>45</v>
      </c>
      <c r="F64" s="71"/>
      <c r="G64" s="71"/>
      <c r="H64" s="71"/>
      <c r="I64" s="71"/>
      <c r="J64" s="71"/>
      <c r="K64" s="71"/>
      <c r="L64" s="75"/>
      <c r="N64" s="180">
        <v>9.139999999999997</v>
      </c>
      <c r="O64" s="162">
        <f t="shared" si="216"/>
        <v>108</v>
      </c>
      <c r="P64" s="302">
        <v>19</v>
      </c>
      <c r="Q64" s="149">
        <v>24.84</v>
      </c>
      <c r="R64" s="153">
        <v>29.41</v>
      </c>
      <c r="S64" s="153">
        <v>38.549999999999997</v>
      </c>
      <c r="T64" s="153">
        <f t="shared" si="212"/>
        <v>47.69</v>
      </c>
      <c r="U64" s="153">
        <f t="shared" si="212"/>
        <v>56.83</v>
      </c>
      <c r="V64" s="153">
        <v>65.97</v>
      </c>
      <c r="W64" s="153">
        <f t="shared" si="218"/>
        <v>75.11</v>
      </c>
      <c r="X64" s="153">
        <f t="shared" si="218"/>
        <v>84.25</v>
      </c>
      <c r="Y64" s="153">
        <f t="shared" si="218"/>
        <v>93.39</v>
      </c>
      <c r="Z64" s="153">
        <f t="shared" si="218"/>
        <v>102.53</v>
      </c>
      <c r="AA64" s="153">
        <f t="shared" si="218"/>
        <v>111.67</v>
      </c>
      <c r="AB64" s="153">
        <f t="shared" si="217"/>
        <v>120.81</v>
      </c>
      <c r="AC64" s="306"/>
      <c r="AD64" s="306"/>
      <c r="AE64" s="306"/>
      <c r="AF64" s="306"/>
      <c r="AG64" s="306"/>
      <c r="AH64" s="306"/>
      <c r="AI64" s="306"/>
      <c r="AJ64" s="306"/>
      <c r="AK64" s="64"/>
      <c r="AL64" s="64"/>
      <c r="AM64" s="64"/>
      <c r="AN64" s="64"/>
      <c r="AO64" s="64"/>
      <c r="AP64" s="64"/>
      <c r="AQ64" s="97"/>
      <c r="BG64" s="83"/>
      <c r="BZ64" s="83"/>
      <c r="CA64" s="83"/>
      <c r="CJ64" s="83"/>
      <c r="CK64" s="83"/>
      <c r="CL64" s="83"/>
      <c r="CM64" s="83"/>
      <c r="CN64" s="83"/>
      <c r="CO64" s="83"/>
      <c r="CP64" s="83"/>
      <c r="CQ64" s="83"/>
      <c r="CR64" s="83"/>
      <c r="CS64" s="83"/>
      <c r="CT64" s="83"/>
    </row>
    <row r="65" spans="2:98" ht="19.5" thickBot="1" x14ac:dyDescent="0.35">
      <c r="B65" s="230" t="s">
        <v>47</v>
      </c>
      <c r="C65" s="71"/>
      <c r="D65" s="142" t="e">
        <f>(D3*D4)/144</f>
        <v>#VALUE!</v>
      </c>
      <c r="E65" s="256" t="s">
        <v>45</v>
      </c>
      <c r="F65" s="71"/>
      <c r="G65" s="71"/>
      <c r="H65" s="71"/>
      <c r="I65" s="71"/>
      <c r="J65" s="71"/>
      <c r="K65" s="71"/>
      <c r="L65" s="75"/>
      <c r="N65" s="180">
        <v>9.77</v>
      </c>
      <c r="O65" s="162">
        <f t="shared" si="216"/>
        <v>114</v>
      </c>
      <c r="P65" s="302">
        <v>20</v>
      </c>
      <c r="Q65" s="149">
        <v>26.35</v>
      </c>
      <c r="R65" s="153">
        <v>31.23</v>
      </c>
      <c r="S65" s="153">
        <v>41</v>
      </c>
      <c r="T65" s="153">
        <f t="shared" si="212"/>
        <v>50.769999999999996</v>
      </c>
      <c r="U65" s="153">
        <f t="shared" si="212"/>
        <v>60.539999999999992</v>
      </c>
      <c r="V65" s="153">
        <v>70.319999999999993</v>
      </c>
      <c r="W65" s="153">
        <f t="shared" si="218"/>
        <v>80.089999999999989</v>
      </c>
      <c r="X65" s="153">
        <f t="shared" si="218"/>
        <v>89.859999999999985</v>
      </c>
      <c r="Y65" s="153">
        <f t="shared" si="218"/>
        <v>99.629999999999981</v>
      </c>
      <c r="Z65" s="153">
        <f t="shared" si="218"/>
        <v>109.39999999999998</v>
      </c>
      <c r="AA65" s="153">
        <f t="shared" si="218"/>
        <v>119.16999999999997</v>
      </c>
      <c r="AB65" s="153">
        <v>128.94</v>
      </c>
      <c r="AC65" s="306"/>
      <c r="AD65" s="306"/>
      <c r="AE65" s="306"/>
      <c r="AF65" s="306"/>
      <c r="AG65" s="306"/>
      <c r="AH65" s="306"/>
      <c r="AI65" s="306"/>
      <c r="AJ65" s="306"/>
      <c r="AK65" s="64"/>
      <c r="AL65" s="64"/>
      <c r="AM65" s="64"/>
      <c r="AN65" s="64"/>
      <c r="AO65" s="64"/>
      <c r="AP65" s="64"/>
      <c r="AQ65" s="97"/>
      <c r="BG65" s="83"/>
      <c r="BZ65" s="83"/>
      <c r="CA65" s="83"/>
      <c r="CJ65" s="83"/>
      <c r="CK65" s="83"/>
      <c r="CL65" s="83"/>
      <c r="CM65" s="83"/>
      <c r="CN65" s="83"/>
      <c r="CO65" s="83"/>
      <c r="CP65" s="83"/>
      <c r="CQ65" s="83"/>
      <c r="CR65" s="83"/>
      <c r="CS65" s="83"/>
      <c r="CT65" s="83"/>
    </row>
    <row r="66" spans="2:98" ht="19.5" thickBot="1" x14ac:dyDescent="0.35">
      <c r="B66" s="230" t="s">
        <v>81</v>
      </c>
      <c r="C66" s="71"/>
      <c r="D66" s="138" t="e">
        <f>F58*100</f>
        <v>#VALUE!</v>
      </c>
      <c r="E66" s="256" t="s">
        <v>16</v>
      </c>
      <c r="F66" s="71"/>
      <c r="G66" s="71"/>
      <c r="H66" s="71"/>
      <c r="I66" s="71"/>
      <c r="J66" s="71"/>
      <c r="K66" s="71"/>
      <c r="L66" s="75"/>
      <c r="N66" s="180">
        <v>10.08</v>
      </c>
      <c r="O66" s="162">
        <f t="shared" si="216"/>
        <v>120</v>
      </c>
      <c r="P66" s="302">
        <v>21</v>
      </c>
      <c r="Q66" s="149">
        <v>27.54</v>
      </c>
      <c r="R66" s="153">
        <v>32.58</v>
      </c>
      <c r="S66" s="153">
        <v>41.79</v>
      </c>
      <c r="T66" s="153">
        <v>52.76</v>
      </c>
      <c r="U66" s="153">
        <v>62.84</v>
      </c>
      <c r="V66" s="153">
        <v>72.930000000000007</v>
      </c>
      <c r="W66" s="153">
        <f t="shared" si="218"/>
        <v>83.01</v>
      </c>
      <c r="X66" s="153">
        <f t="shared" si="218"/>
        <v>93.09</v>
      </c>
      <c r="Y66" s="153">
        <f t="shared" si="218"/>
        <v>103.17</v>
      </c>
      <c r="Z66" s="153">
        <f t="shared" si="218"/>
        <v>113.25</v>
      </c>
      <c r="AA66" s="153">
        <f t="shared" si="218"/>
        <v>123.33</v>
      </c>
      <c r="AB66" s="153">
        <v>133.44999999999999</v>
      </c>
      <c r="AC66" s="306"/>
      <c r="AD66" s="306"/>
      <c r="AE66" s="306"/>
      <c r="AF66" s="306"/>
      <c r="AG66" s="306"/>
      <c r="AH66" s="306"/>
      <c r="AI66" s="306"/>
      <c r="AJ66" s="306"/>
      <c r="AK66" s="64"/>
      <c r="AL66" s="64"/>
      <c r="AM66" s="64"/>
      <c r="AN66" s="64"/>
      <c r="AO66" s="64"/>
      <c r="AP66" s="64"/>
      <c r="AQ66" s="97"/>
      <c r="BG66" s="83"/>
      <c r="BZ66" s="83"/>
      <c r="CA66" s="83"/>
      <c r="CJ66" s="83"/>
      <c r="CK66" s="83"/>
      <c r="CL66" s="83"/>
      <c r="CM66" s="83"/>
      <c r="CN66" s="83"/>
      <c r="CO66" s="83"/>
      <c r="CP66" s="83"/>
      <c r="CQ66" s="83"/>
      <c r="CR66" s="83"/>
      <c r="CS66" s="83"/>
      <c r="CT66" s="83"/>
    </row>
    <row r="67" spans="2:98" ht="19.5" thickBot="1" x14ac:dyDescent="0.35">
      <c r="B67" s="78"/>
      <c r="C67" s="108"/>
      <c r="D67" s="71"/>
      <c r="E67" s="256"/>
      <c r="F67" s="71"/>
      <c r="G67" s="71"/>
      <c r="H67" s="71"/>
      <c r="I67" s="71"/>
      <c r="J67" s="71"/>
      <c r="K67" s="71"/>
      <c r="L67" s="75"/>
      <c r="N67" s="103"/>
      <c r="O67" s="149"/>
      <c r="P67" s="65"/>
      <c r="Q67" s="149"/>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5"/>
      <c r="BG67" s="83"/>
    </row>
    <row r="68" spans="2:98" ht="19.5" thickBot="1" x14ac:dyDescent="0.35">
      <c r="B68" s="231" t="s">
        <v>82</v>
      </c>
      <c r="D68" s="138" t="e">
        <f>C5/D64</f>
        <v>#VALUE!</v>
      </c>
      <c r="E68" s="256" t="s">
        <v>48</v>
      </c>
      <c r="F68" s="72"/>
      <c r="G68" s="72"/>
      <c r="H68" s="72"/>
      <c r="I68" s="72"/>
      <c r="J68" s="72"/>
      <c r="K68" s="72"/>
      <c r="L68" s="81"/>
      <c r="N68" s="103"/>
      <c r="O68" s="149"/>
      <c r="P68" s="65"/>
      <c r="Q68" s="149"/>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5"/>
    </row>
    <row r="69" spans="2:98" ht="19.5" thickBot="1" x14ac:dyDescent="0.35">
      <c r="B69" s="232" t="s">
        <v>83</v>
      </c>
      <c r="C69" s="136" t="s">
        <v>9</v>
      </c>
      <c r="D69" s="143" t="e">
        <f>1.61388359865628E-07*D68^2 + 3.320369153237E-18*D68 - 3.95170007827517E-15</f>
        <v>#VALUE!</v>
      </c>
      <c r="E69" s="256" t="s">
        <v>99</v>
      </c>
      <c r="F69" s="72"/>
      <c r="G69" s="72"/>
      <c r="H69" s="72"/>
      <c r="I69" s="72"/>
      <c r="J69" s="72"/>
      <c r="K69" s="72"/>
      <c r="L69" s="81"/>
      <c r="N69" s="164"/>
      <c r="O69" s="163"/>
      <c r="P69" s="69"/>
      <c r="Q69" s="163"/>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9"/>
    </row>
    <row r="70" spans="2:98" ht="18.75" x14ac:dyDescent="0.3">
      <c r="B70" s="233"/>
      <c r="C70" s="136" t="s">
        <v>10</v>
      </c>
      <c r="D70" s="143" t="e">
        <f>1.42647450847097E-07*D68^2+3.1170812459E-19*D68 + 9.92261828258734E-16</f>
        <v>#VALUE!</v>
      </c>
      <c r="E70" s="256" t="s">
        <v>99</v>
      </c>
      <c r="F70" s="72"/>
      <c r="G70" s="72"/>
      <c r="H70" s="72"/>
      <c r="I70" s="72"/>
      <c r="J70" s="72"/>
      <c r="K70" s="72"/>
      <c r="L70" s="81"/>
    </row>
    <row r="71" spans="2:98" ht="15.75" thickBot="1" x14ac:dyDescent="0.3">
      <c r="B71" s="79"/>
      <c r="C71" s="76"/>
      <c r="D71" s="76"/>
      <c r="E71" s="76"/>
      <c r="F71" s="76"/>
      <c r="G71" s="76"/>
      <c r="H71" s="76"/>
      <c r="I71" s="76"/>
      <c r="J71" s="76"/>
      <c r="K71" s="76"/>
      <c r="L71" s="77"/>
    </row>
    <row r="72" spans="2:98" ht="24" thickBot="1" x14ac:dyDescent="0.4">
      <c r="N72" s="159" t="s">
        <v>209</v>
      </c>
      <c r="O72" s="160"/>
      <c r="P72" s="160"/>
      <c r="Q72" s="160"/>
      <c r="R72" s="160"/>
      <c r="S72" s="160"/>
      <c r="T72" s="160"/>
      <c r="U72" s="160"/>
      <c r="V72" s="160"/>
      <c r="W72" s="161"/>
      <c r="Y72" s="470" t="s">
        <v>98</v>
      </c>
      <c r="Z72" s="366"/>
      <c r="AA72" s="316"/>
      <c r="AB72" s="316"/>
      <c r="AC72" s="316"/>
      <c r="AD72" s="316"/>
      <c r="AE72" s="316"/>
      <c r="AF72" s="316"/>
      <c r="AG72" s="316"/>
      <c r="AH72" s="316"/>
      <c r="AI72" s="316"/>
      <c r="AJ72" s="324"/>
    </row>
    <row r="73" spans="2:98" ht="25.5" customHeight="1" x14ac:dyDescent="0.25">
      <c r="N73" s="903"/>
      <c r="O73" s="316"/>
      <c r="P73" s="316"/>
      <c r="Q73" s="478"/>
      <c r="R73" s="478"/>
      <c r="S73" s="478"/>
      <c r="T73" s="478"/>
      <c r="U73" s="478"/>
      <c r="V73" s="478"/>
      <c r="W73" s="489"/>
      <c r="X73" s="481"/>
      <c r="Y73" s="48"/>
      <c r="Z73" s="47"/>
      <c r="AA73" s="47"/>
      <c r="AB73" s="47"/>
      <c r="AC73" s="47"/>
      <c r="AD73" s="47"/>
      <c r="AE73" s="47"/>
      <c r="AF73" s="47"/>
      <c r="AG73" s="47"/>
      <c r="AH73" s="47"/>
      <c r="AI73" s="47"/>
      <c r="AJ73" s="278"/>
    </row>
    <row r="74" spans="2:98" ht="15.75" thickBot="1" x14ac:dyDescent="0.3">
      <c r="N74" s="904"/>
      <c r="O74" s="480" t="s">
        <v>194</v>
      </c>
      <c r="P74" s="479"/>
      <c r="Q74" s="47"/>
      <c r="R74" s="47"/>
      <c r="S74" s="47"/>
      <c r="T74" s="47"/>
      <c r="U74" s="47"/>
      <c r="V74" s="47"/>
      <c r="W74" s="278"/>
      <c r="Y74" s="48"/>
      <c r="Z74" s="47" t="s">
        <v>193</v>
      </c>
      <c r="AA74" s="47"/>
      <c r="AB74" s="47" t="e">
        <f>AO58</f>
        <v>#VALUE!</v>
      </c>
      <c r="AC74" s="47" t="s">
        <v>184</v>
      </c>
      <c r="AD74" s="47"/>
      <c r="AE74" s="47"/>
      <c r="AF74" s="47"/>
      <c r="AG74" s="47"/>
      <c r="AH74" s="47"/>
      <c r="AI74" s="47"/>
      <c r="AJ74" s="278"/>
    </row>
    <row r="75" spans="2:98" ht="15.75" thickBot="1" x14ac:dyDescent="0.3">
      <c r="N75" s="476"/>
      <c r="O75" s="47" t="s">
        <v>185</v>
      </c>
      <c r="P75" s="64">
        <v>1.9E-2</v>
      </c>
      <c r="Q75" s="47" t="s">
        <v>182</v>
      </c>
      <c r="R75" s="47"/>
      <c r="S75" s="47"/>
      <c r="T75" s="47"/>
      <c r="U75" s="47"/>
      <c r="V75" s="47"/>
      <c r="W75" s="278"/>
      <c r="Y75" s="48"/>
      <c r="Z75" s="47" t="s">
        <v>194</v>
      </c>
      <c r="AA75" s="47"/>
      <c r="AB75" s="471" t="e">
        <f>P78</f>
        <v>#VALUE!</v>
      </c>
      <c r="AC75" s="47" t="s">
        <v>184</v>
      </c>
      <c r="AD75" s="47"/>
      <c r="AE75" s="47"/>
      <c r="AF75" s="47"/>
      <c r="AG75" s="47"/>
      <c r="AH75" s="47"/>
      <c r="AI75" s="47"/>
      <c r="AJ75" s="278"/>
    </row>
    <row r="76" spans="2:98" ht="16.5" thickBot="1" x14ac:dyDescent="0.3">
      <c r="N76" s="477"/>
      <c r="O76" s="47" t="s">
        <v>195</v>
      </c>
      <c r="P76" s="64" t="e">
        <f>((2*D3)+(2*D4))</f>
        <v>#VALUE!</v>
      </c>
      <c r="Q76" s="47" t="s">
        <v>196</v>
      </c>
      <c r="R76" s="47"/>
      <c r="S76" s="47"/>
      <c r="T76" s="47"/>
      <c r="U76" s="47"/>
      <c r="V76" s="47"/>
      <c r="W76" s="278"/>
      <c r="Y76" s="48"/>
      <c r="Z76" s="47" t="s">
        <v>192</v>
      </c>
      <c r="AA76" s="47"/>
      <c r="AB76" s="471" t="e">
        <f>P85</f>
        <v>#VALUE!</v>
      </c>
      <c r="AC76" s="47" t="s">
        <v>184</v>
      </c>
      <c r="AD76" s="47"/>
      <c r="AE76" s="47"/>
      <c r="AF76" s="47"/>
      <c r="AG76" s="47"/>
      <c r="AH76" s="47"/>
      <c r="AI76" s="47"/>
      <c r="AJ76" s="278"/>
      <c r="AL76" s="313"/>
      <c r="AM76" s="313"/>
      <c r="AN76" s="485"/>
      <c r="AO76" s="313"/>
    </row>
    <row r="77" spans="2:98" ht="16.5" thickBot="1" x14ac:dyDescent="0.3">
      <c r="N77" s="48"/>
      <c r="O77" s="47"/>
      <c r="P77" s="47"/>
      <c r="Q77" s="47"/>
      <c r="R77" s="47"/>
      <c r="S77" s="47"/>
      <c r="T77" s="47"/>
      <c r="U77" s="47"/>
      <c r="V77" s="47"/>
      <c r="W77" s="278"/>
      <c r="Y77" s="48"/>
      <c r="Z77" s="47"/>
      <c r="AA77" s="47"/>
      <c r="AB77" s="47"/>
      <c r="AC77" s="47"/>
      <c r="AD77" s="47"/>
      <c r="AE77" s="47"/>
      <c r="AF77" s="47"/>
      <c r="AG77" s="47"/>
      <c r="AH77" s="47"/>
      <c r="AI77" s="47"/>
      <c r="AJ77" s="278"/>
      <c r="AK77" s="83"/>
      <c r="AL77" s="313"/>
      <c r="AM77" s="485"/>
      <c r="AN77" s="485"/>
      <c r="AO77" s="485"/>
    </row>
    <row r="78" spans="2:98" ht="16.5" thickBot="1" x14ac:dyDescent="0.3">
      <c r="N78" s="48"/>
      <c r="O78" s="492" t="s">
        <v>183</v>
      </c>
      <c r="P78" s="153" t="e">
        <f>P75*P76</f>
        <v>#VALUE!</v>
      </c>
      <c r="Q78" s="47" t="s">
        <v>184</v>
      </c>
      <c r="S78" s="47"/>
      <c r="T78" s="47"/>
      <c r="U78" s="47"/>
      <c r="V78" s="47"/>
      <c r="W78" s="278"/>
      <c r="Y78" s="48"/>
      <c r="Z78" s="47" t="s">
        <v>91</v>
      </c>
      <c r="AA78" s="47"/>
      <c r="AB78" s="471" t="e">
        <f>AB74+AB75+AB76</f>
        <v>#VALUE!</v>
      </c>
      <c r="AC78" s="47" t="s">
        <v>184</v>
      </c>
      <c r="AD78" s="47"/>
      <c r="AE78" s="47"/>
      <c r="AF78" s="47"/>
      <c r="AG78" s="47"/>
      <c r="AH78" s="47"/>
      <c r="AI78" s="47"/>
      <c r="AJ78" s="278"/>
      <c r="AL78" s="486"/>
      <c r="AM78" s="485"/>
      <c r="AN78" s="487"/>
      <c r="AO78" s="485"/>
    </row>
    <row r="79" spans="2:98" ht="15.75" x14ac:dyDescent="0.25">
      <c r="N79" s="48"/>
      <c r="O79" s="480"/>
      <c r="P79" s="47"/>
      <c r="Q79" s="47"/>
      <c r="R79" s="47"/>
      <c r="S79" s="47"/>
      <c r="T79" s="47"/>
      <c r="U79" s="47"/>
      <c r="V79" s="47"/>
      <c r="W79" s="278"/>
      <c r="Y79" s="48"/>
      <c r="Z79" s="47" t="s">
        <v>90</v>
      </c>
      <c r="AA79" s="47"/>
      <c r="AB79" s="471" t="e">
        <f>AB78/C11</f>
        <v>#VALUE!</v>
      </c>
      <c r="AC79" s="47" t="s">
        <v>184</v>
      </c>
      <c r="AD79" s="47"/>
      <c r="AE79" s="47"/>
      <c r="AF79" s="47"/>
      <c r="AG79" s="47"/>
      <c r="AH79" s="47"/>
      <c r="AI79" s="47"/>
      <c r="AJ79" s="278"/>
      <c r="AL79" s="313"/>
      <c r="AM79" s="485"/>
      <c r="AN79" s="485"/>
      <c r="AO79" s="485"/>
    </row>
    <row r="80" spans="2:98" x14ac:dyDescent="0.25">
      <c r="N80" s="48"/>
      <c r="O80" s="480"/>
      <c r="P80" s="47"/>
      <c r="Q80" s="47"/>
      <c r="R80" s="47"/>
      <c r="S80" s="47"/>
      <c r="T80" s="47"/>
      <c r="U80" s="47"/>
      <c r="V80" s="47"/>
      <c r="W80" s="278"/>
      <c r="Y80" s="48"/>
      <c r="Z80" s="47"/>
      <c r="AA80" s="47"/>
      <c r="AB80" s="47"/>
      <c r="AC80" s="47"/>
      <c r="AD80" s="47"/>
      <c r="AE80" s="47"/>
      <c r="AF80" s="47"/>
      <c r="AG80" s="47"/>
      <c r="AH80" s="47"/>
      <c r="AI80" s="47"/>
      <c r="AJ80" s="278"/>
    </row>
    <row r="81" spans="14:43" ht="15.75" thickBot="1" x14ac:dyDescent="0.3">
      <c r="N81" s="48"/>
      <c r="O81" s="480" t="s">
        <v>192</v>
      </c>
      <c r="P81" s="47"/>
      <c r="Q81" s="47"/>
      <c r="R81" s="47"/>
      <c r="S81" s="47"/>
      <c r="T81" s="47"/>
      <c r="U81" s="47"/>
      <c r="V81" s="47"/>
      <c r="W81" s="278"/>
      <c r="Y81" s="48"/>
      <c r="Z81" s="47"/>
      <c r="AA81" s="47"/>
      <c r="AB81" s="47"/>
      <c r="AC81" s="47"/>
      <c r="AD81" s="47"/>
      <c r="AE81" s="47"/>
      <c r="AF81" s="47"/>
      <c r="AG81" s="47"/>
      <c r="AH81" s="47"/>
      <c r="AI81" s="47"/>
      <c r="AJ81" s="278"/>
    </row>
    <row r="82" spans="14:43" ht="15.75" thickBot="1" x14ac:dyDescent="0.3">
      <c r="N82" s="48"/>
      <c r="O82" s="47" t="s">
        <v>185</v>
      </c>
      <c r="P82" s="64">
        <v>8.9999999999999998E-4</v>
      </c>
      <c r="Q82" s="47" t="s">
        <v>190</v>
      </c>
      <c r="R82" s="64"/>
      <c r="S82" s="47"/>
      <c r="T82" s="47"/>
      <c r="U82" s="47"/>
      <c r="V82" s="47"/>
      <c r="W82" s="278"/>
      <c r="Y82" s="48"/>
      <c r="Z82" s="47"/>
      <c r="AA82" s="47"/>
      <c r="AB82" s="47"/>
      <c r="AC82" s="47"/>
      <c r="AD82" s="47"/>
      <c r="AE82" s="47"/>
      <c r="AF82" s="47"/>
      <c r="AG82" s="47"/>
      <c r="AH82" s="47"/>
      <c r="AI82" s="47"/>
      <c r="AJ82" s="278"/>
    </row>
    <row r="83" spans="14:43" ht="15.75" thickBot="1" x14ac:dyDescent="0.3">
      <c r="N83" s="48"/>
      <c r="O83" s="47" t="s">
        <v>197</v>
      </c>
      <c r="P83" s="64" t="e">
        <f>(D3*D4)</f>
        <v>#VALUE!</v>
      </c>
      <c r="Q83" s="47" t="s">
        <v>198</v>
      </c>
      <c r="R83" s="64"/>
      <c r="S83" s="47"/>
      <c r="T83" s="47"/>
      <c r="U83" s="47"/>
      <c r="V83" s="47"/>
      <c r="W83" s="278"/>
      <c r="Y83" s="48"/>
      <c r="Z83" s="47"/>
      <c r="AA83" s="47"/>
      <c r="AB83" s="47"/>
      <c r="AC83" s="47"/>
      <c r="AD83" s="47"/>
      <c r="AE83" s="47"/>
      <c r="AF83" s="47"/>
      <c r="AG83" s="47"/>
      <c r="AH83" s="47"/>
      <c r="AI83" s="47"/>
      <c r="AJ83" s="278"/>
    </row>
    <row r="84" spans="14:43" ht="15.75" thickBot="1" x14ac:dyDescent="0.3">
      <c r="N84" s="48"/>
      <c r="O84" s="47"/>
      <c r="P84" s="47"/>
      <c r="Q84" s="47"/>
      <c r="R84" s="64"/>
      <c r="S84" s="47"/>
      <c r="T84" s="47"/>
      <c r="U84" s="47"/>
      <c r="V84" s="47"/>
      <c r="W84" s="278"/>
      <c r="Y84" s="48"/>
      <c r="Z84" s="47"/>
      <c r="AA84" s="47"/>
      <c r="AB84" s="47"/>
      <c r="AC84" s="47"/>
      <c r="AD84" s="47"/>
      <c r="AE84" s="47"/>
      <c r="AF84" s="47"/>
      <c r="AG84" s="47"/>
      <c r="AH84" s="47"/>
      <c r="AI84" s="47"/>
      <c r="AJ84" s="278"/>
    </row>
    <row r="85" spans="14:43" ht="16.5" thickBot="1" x14ac:dyDescent="0.3">
      <c r="N85" s="48"/>
      <c r="O85" s="493" t="s">
        <v>192</v>
      </c>
      <c r="P85" s="153" t="e">
        <f>P82*P83</f>
        <v>#VALUE!</v>
      </c>
      <c r="Q85" s="47" t="s">
        <v>184</v>
      </c>
      <c r="S85" s="47"/>
      <c r="T85" s="47"/>
      <c r="U85" s="47"/>
      <c r="V85" s="47"/>
      <c r="W85" s="278"/>
      <c r="Y85" s="48"/>
      <c r="Z85" s="47"/>
      <c r="AA85" s="47"/>
      <c r="AB85" s="47"/>
      <c r="AC85" s="47"/>
      <c r="AD85" s="47"/>
      <c r="AE85" s="47"/>
      <c r="AF85" s="47"/>
      <c r="AG85" s="47"/>
      <c r="AH85" s="47"/>
      <c r="AI85" s="47"/>
      <c r="AJ85" s="278"/>
      <c r="AM85" s="488"/>
      <c r="AN85" s="488"/>
    </row>
    <row r="86" spans="14:43" ht="15.75" x14ac:dyDescent="0.25">
      <c r="N86" s="48"/>
      <c r="O86" s="480"/>
      <c r="P86" s="479"/>
      <c r="Q86" s="47"/>
      <c r="R86" s="47"/>
      <c r="S86" s="47"/>
      <c r="T86" s="47"/>
      <c r="U86" s="47"/>
      <c r="V86" s="47"/>
      <c r="W86" s="278"/>
      <c r="Y86" s="48"/>
      <c r="Z86" s="47"/>
      <c r="AA86" s="47"/>
      <c r="AB86" s="47"/>
      <c r="AC86" s="47"/>
      <c r="AD86" s="47"/>
      <c r="AE86" s="47"/>
      <c r="AF86" s="47"/>
      <c r="AG86" s="47"/>
      <c r="AH86" s="47"/>
      <c r="AI86" s="47"/>
      <c r="AJ86" s="278"/>
      <c r="AM86" s="488"/>
      <c r="AN86" s="488"/>
    </row>
    <row r="87" spans="14:43" x14ac:dyDescent="0.25">
      <c r="N87" s="48"/>
      <c r="O87" s="480"/>
      <c r="P87" s="479"/>
      <c r="Q87" s="47"/>
      <c r="R87" s="47"/>
      <c r="S87" s="47"/>
      <c r="T87" s="47"/>
      <c r="U87" s="47"/>
      <c r="V87" s="47"/>
      <c r="W87" s="278"/>
      <c r="Y87" s="48"/>
      <c r="Z87" s="47"/>
      <c r="AA87" s="47"/>
      <c r="AB87" s="47"/>
      <c r="AC87" s="47"/>
      <c r="AD87" s="47"/>
      <c r="AE87" s="47"/>
      <c r="AF87" s="47"/>
      <c r="AG87" s="47"/>
      <c r="AH87" s="47"/>
      <c r="AI87" s="47"/>
      <c r="AJ87" s="278"/>
    </row>
    <row r="88" spans="14:43" ht="15.75" thickBot="1" x14ac:dyDescent="0.3">
      <c r="N88" s="49"/>
      <c r="O88" s="490"/>
      <c r="P88" s="491"/>
      <c r="Q88" s="50"/>
      <c r="R88" s="50"/>
      <c r="S88" s="50"/>
      <c r="T88" s="50"/>
      <c r="U88" s="50"/>
      <c r="V88" s="50"/>
      <c r="W88" s="279"/>
      <c r="Y88" s="49"/>
      <c r="Z88" s="50"/>
      <c r="AA88" s="50"/>
      <c r="AB88" s="50"/>
      <c r="AC88" s="50"/>
      <c r="AD88" s="50"/>
      <c r="AE88" s="50"/>
      <c r="AF88" s="50"/>
      <c r="AG88" s="50"/>
      <c r="AH88" s="50"/>
      <c r="AI88" s="50"/>
      <c r="AJ88" s="279"/>
      <c r="AQ88" s="83"/>
    </row>
    <row r="89" spans="14:43" x14ac:dyDescent="0.25">
      <c r="O89" s="481"/>
      <c r="P89" s="482"/>
      <c r="AC89" s="175"/>
      <c r="AD89" s="175"/>
      <c r="AE89" s="175"/>
      <c r="AF89" s="175"/>
      <c r="AG89" s="175"/>
      <c r="AH89" s="175"/>
      <c r="AI89" s="175"/>
      <c r="AJ89" s="175"/>
      <c r="AK89" s="175"/>
      <c r="AQ89" s="83"/>
    </row>
    <row r="90" spans="14:43" x14ac:dyDescent="0.25">
      <c r="O90" s="481"/>
      <c r="P90" s="482"/>
      <c r="AC90" s="175"/>
      <c r="AD90" s="175"/>
      <c r="AE90" s="175"/>
      <c r="AF90" s="175"/>
      <c r="AG90" s="175"/>
      <c r="AH90" s="175"/>
      <c r="AI90" s="175"/>
      <c r="AJ90" s="175"/>
      <c r="AK90" s="175"/>
      <c r="AQ90" s="83"/>
    </row>
    <row r="91" spans="14:43" x14ac:dyDescent="0.25">
      <c r="O91" s="481"/>
      <c r="P91" s="482"/>
      <c r="AC91" s="175"/>
      <c r="AD91" s="175"/>
      <c r="AE91" s="175"/>
      <c r="AF91" s="175"/>
      <c r="AG91" s="175"/>
      <c r="AH91" s="175"/>
      <c r="AI91" s="175"/>
      <c r="AJ91" s="175"/>
      <c r="AK91" s="175"/>
      <c r="AQ91" s="83"/>
    </row>
    <row r="92" spans="14:43" x14ac:dyDescent="0.25">
      <c r="O92" s="481"/>
      <c r="P92" s="482"/>
      <c r="AC92" s="175"/>
      <c r="AD92" s="175"/>
      <c r="AE92" s="175"/>
      <c r="AF92" s="175"/>
      <c r="AG92" s="175"/>
      <c r="AH92" s="175"/>
      <c r="AI92" s="175"/>
      <c r="AJ92" s="175"/>
      <c r="AK92" s="175"/>
      <c r="AQ92" s="83"/>
    </row>
    <row r="93" spans="14:43" ht="18.75" customHeight="1" x14ac:dyDescent="0.25">
      <c r="O93" s="481"/>
      <c r="P93" s="482"/>
      <c r="AC93" s="175"/>
      <c r="AD93" s="175"/>
      <c r="AE93" s="175"/>
      <c r="AF93" s="175"/>
      <c r="AG93" s="175"/>
      <c r="AH93" s="175"/>
      <c r="AI93" s="175"/>
      <c r="AJ93" s="175"/>
      <c r="AK93" s="175"/>
      <c r="AQ93" s="83"/>
    </row>
    <row r="94" spans="14:43" ht="18.75" customHeight="1" x14ac:dyDescent="0.25">
      <c r="O94" s="481"/>
      <c r="P94" s="482"/>
      <c r="AC94" s="175"/>
      <c r="AD94" s="175"/>
      <c r="AE94" s="175"/>
      <c r="AF94" s="175"/>
      <c r="AG94" s="175"/>
      <c r="AH94" s="175"/>
      <c r="AI94" s="175"/>
      <c r="AJ94" s="175"/>
      <c r="AK94" s="175"/>
      <c r="AQ94" s="83"/>
    </row>
    <row r="95" spans="14:43" x14ac:dyDescent="0.25">
      <c r="P95" s="482"/>
    </row>
    <row r="100" spans="14:41" ht="21" x14ac:dyDescent="0.35">
      <c r="N100" s="74"/>
    </row>
    <row r="101" spans="14:41" x14ac:dyDescent="0.25">
      <c r="N101" s="484"/>
      <c r="Q101" s="481"/>
      <c r="R101" s="481"/>
      <c r="S101" s="481"/>
      <c r="T101" s="481"/>
      <c r="U101" s="481"/>
      <c r="V101" s="481"/>
      <c r="W101" s="481"/>
      <c r="X101" s="481"/>
      <c r="Y101" s="481"/>
      <c r="Z101" s="481"/>
      <c r="AA101" s="481"/>
      <c r="AB101" s="481"/>
      <c r="AC101" s="481"/>
      <c r="AD101" s="481"/>
      <c r="AE101" s="481"/>
      <c r="AF101" s="481"/>
      <c r="AG101" s="481"/>
      <c r="AH101" s="481"/>
      <c r="AI101" s="481"/>
      <c r="AJ101" s="481"/>
    </row>
    <row r="102" spans="14:41" x14ac:dyDescent="0.25">
      <c r="N102" s="484"/>
      <c r="P102" s="482"/>
    </row>
    <row r="103" spans="14:41" x14ac:dyDescent="0.25">
      <c r="N103" s="483"/>
      <c r="O103" s="481"/>
      <c r="P103" s="482"/>
    </row>
    <row r="104" spans="14:41" ht="15.75" x14ac:dyDescent="0.25">
      <c r="N104" s="484"/>
      <c r="O104" s="481"/>
      <c r="P104" s="482"/>
      <c r="AL104" s="313"/>
      <c r="AM104" s="313"/>
      <c r="AN104" s="485"/>
      <c r="AO104" s="313"/>
    </row>
    <row r="105" spans="14:41" ht="15.75" x14ac:dyDescent="0.25">
      <c r="O105" s="481"/>
      <c r="P105" s="482"/>
      <c r="AK105" s="83"/>
      <c r="AL105" s="313"/>
      <c r="AM105" s="485"/>
      <c r="AN105" s="485"/>
      <c r="AO105" s="485"/>
    </row>
    <row r="106" spans="14:41" ht="15.75" x14ac:dyDescent="0.25">
      <c r="O106" s="481"/>
      <c r="P106" s="482"/>
      <c r="AL106" s="486"/>
      <c r="AM106" s="485"/>
      <c r="AN106" s="487"/>
      <c r="AO106" s="485"/>
    </row>
    <row r="107" spans="14:41" ht="15.75" x14ac:dyDescent="0.25">
      <c r="O107" s="481"/>
      <c r="P107" s="482"/>
      <c r="AL107" s="313"/>
      <c r="AM107" s="485"/>
      <c r="AN107" s="485"/>
      <c r="AO107" s="485"/>
    </row>
    <row r="108" spans="14:41" x14ac:dyDescent="0.25">
      <c r="O108" s="481"/>
      <c r="P108" s="482"/>
    </row>
    <row r="109" spans="14:41" x14ac:dyDescent="0.25">
      <c r="O109" s="481"/>
      <c r="P109" s="482"/>
    </row>
    <row r="110" spans="14:41" x14ac:dyDescent="0.25">
      <c r="O110" s="481"/>
      <c r="P110" s="482"/>
    </row>
    <row r="111" spans="14:41" x14ac:dyDescent="0.25">
      <c r="O111" s="481"/>
      <c r="P111" s="482"/>
    </row>
    <row r="112" spans="14:41" x14ac:dyDescent="0.25">
      <c r="O112" s="481"/>
      <c r="P112" s="482"/>
    </row>
    <row r="113" spans="15:43" ht="15.75" x14ac:dyDescent="0.25">
      <c r="O113" s="481"/>
      <c r="P113" s="482"/>
      <c r="AN113" s="488"/>
    </row>
    <row r="114" spans="15:43" ht="15.75" x14ac:dyDescent="0.25">
      <c r="O114" s="481"/>
      <c r="P114" s="482"/>
      <c r="AM114" s="488"/>
      <c r="AN114" s="488"/>
    </row>
    <row r="115" spans="15:43" x14ac:dyDescent="0.25">
      <c r="O115" s="481"/>
      <c r="P115" s="482"/>
      <c r="AC115" s="175"/>
      <c r="AD115" s="175"/>
      <c r="AE115" s="175"/>
      <c r="AF115" s="175"/>
      <c r="AG115" s="175"/>
      <c r="AH115" s="175"/>
      <c r="AI115" s="175"/>
      <c r="AJ115" s="175"/>
    </row>
    <row r="116" spans="15:43" x14ac:dyDescent="0.25">
      <c r="O116" s="481"/>
      <c r="P116" s="482"/>
      <c r="AC116" s="175"/>
      <c r="AD116" s="175"/>
      <c r="AE116" s="175"/>
      <c r="AF116" s="175"/>
      <c r="AG116" s="175"/>
      <c r="AH116" s="175"/>
      <c r="AI116" s="175"/>
      <c r="AJ116" s="175"/>
      <c r="AQ116" s="83"/>
    </row>
    <row r="117" spans="15:43" x14ac:dyDescent="0.25">
      <c r="O117" s="481"/>
      <c r="P117" s="482"/>
      <c r="AC117" s="175"/>
      <c r="AD117" s="175"/>
      <c r="AE117" s="175"/>
      <c r="AF117" s="175"/>
      <c r="AG117" s="175"/>
      <c r="AH117" s="175"/>
      <c r="AI117" s="175"/>
      <c r="AJ117" s="175"/>
      <c r="AK117" s="175"/>
      <c r="AQ117" s="83"/>
    </row>
    <row r="118" spans="15:43" x14ac:dyDescent="0.25">
      <c r="O118" s="481"/>
      <c r="P118" s="482"/>
      <c r="AC118" s="175"/>
      <c r="AD118" s="175"/>
      <c r="AE118" s="175"/>
      <c r="AF118" s="175"/>
      <c r="AG118" s="175"/>
      <c r="AH118" s="175"/>
      <c r="AI118" s="175"/>
      <c r="AJ118" s="175"/>
      <c r="AK118" s="175"/>
      <c r="AQ118" s="83"/>
    </row>
    <row r="119" spans="15:43" x14ac:dyDescent="0.25">
      <c r="O119" s="481"/>
      <c r="P119" s="482"/>
      <c r="AC119" s="175"/>
      <c r="AD119" s="175"/>
      <c r="AE119" s="175"/>
      <c r="AF119" s="175"/>
      <c r="AG119" s="175"/>
      <c r="AH119" s="175"/>
      <c r="AI119" s="175"/>
      <c r="AJ119" s="175"/>
      <c r="AK119" s="175"/>
      <c r="AQ119" s="83"/>
    </row>
    <row r="120" spans="15:43" x14ac:dyDescent="0.25">
      <c r="O120" s="481"/>
      <c r="P120" s="482"/>
      <c r="AC120" s="175"/>
      <c r="AD120" s="175"/>
      <c r="AE120" s="175"/>
      <c r="AF120" s="175"/>
      <c r="AG120" s="175"/>
      <c r="AH120" s="175"/>
      <c r="AI120" s="175"/>
      <c r="AJ120" s="175"/>
      <c r="AK120" s="175"/>
      <c r="AQ120" s="83"/>
    </row>
    <row r="121" spans="15:43" x14ac:dyDescent="0.25">
      <c r="O121" s="481"/>
      <c r="P121" s="482"/>
      <c r="AC121" s="175"/>
      <c r="AD121" s="175"/>
      <c r="AE121" s="175"/>
      <c r="AF121" s="175"/>
      <c r="AG121" s="175"/>
      <c r="AH121" s="175"/>
      <c r="AI121" s="175"/>
      <c r="AJ121" s="175"/>
      <c r="AK121" s="175"/>
      <c r="AQ121" s="83"/>
    </row>
    <row r="122" spans="15:43" x14ac:dyDescent="0.25">
      <c r="O122" s="481"/>
      <c r="P122" s="482"/>
      <c r="AC122" s="175"/>
      <c r="AD122" s="175"/>
      <c r="AE122" s="175"/>
      <c r="AF122" s="175"/>
      <c r="AG122" s="175"/>
      <c r="AH122" s="175"/>
      <c r="AI122" s="175"/>
      <c r="AJ122" s="175"/>
      <c r="AK122" s="175"/>
      <c r="AQ122" s="83"/>
    </row>
    <row r="123" spans="15:43" x14ac:dyDescent="0.25">
      <c r="P123" s="482"/>
    </row>
    <row r="137" ht="150.75" customHeight="1" x14ac:dyDescent="0.25"/>
    <row r="146" spans="3:3" x14ac:dyDescent="0.25">
      <c r="C146" s="179"/>
    </row>
    <row r="147" spans="3:3" x14ac:dyDescent="0.25">
      <c r="C147" s="179"/>
    </row>
    <row r="278" spans="24:25" x14ac:dyDescent="0.25">
      <c r="X278" s="146"/>
      <c r="Y278" s="145"/>
    </row>
  </sheetData>
  <sheetProtection selectLockedCells="1" selectUnlockedCells="1"/>
  <mergeCells count="7">
    <mergeCell ref="N73:N74"/>
    <mergeCell ref="D16:W16"/>
    <mergeCell ref="N45:N46"/>
    <mergeCell ref="AT16:IX16"/>
    <mergeCell ref="AU18:AV20"/>
    <mergeCell ref="BH18:IG19"/>
    <mergeCell ref="IQ19:IW19"/>
  </mergeCells>
  <conditionalFormatting sqref="Q47:AJ66">
    <cfRule type="colorScale" priority="4">
      <colorScale>
        <cfvo type="min"/>
        <cfvo type="percentile" val="50"/>
        <cfvo type="max"/>
        <color rgb="FF63BE7B"/>
        <color rgb="FFFFEB84"/>
        <color rgb="FFF8696B"/>
      </colorScale>
    </cfRule>
  </conditionalFormatting>
  <conditionalFormatting sqref="Q89:AJ94 X75:X88">
    <cfRule type="colorScale" priority="3">
      <colorScale>
        <cfvo type="min"/>
        <cfvo type="percentile" val="50"/>
        <cfvo type="max"/>
        <color rgb="FF63BE7B"/>
        <color rgb="FFFFEB84"/>
        <color rgb="FFF8696B"/>
      </colorScale>
    </cfRule>
  </conditionalFormatting>
  <conditionalFormatting sqref="Q103:AJ122">
    <cfRule type="colorScale" priority="2">
      <colorScale>
        <cfvo type="min"/>
        <cfvo type="percentile" val="50"/>
        <cfvo type="max"/>
        <color rgb="FF63BE7B"/>
        <color rgb="FFFFEB84"/>
        <color rgb="FFF8696B"/>
      </colorScale>
    </cfRule>
  </conditionalFormatting>
  <conditionalFormatting sqref="R79:W81 S75:W78 Q86:W88 S82:W8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DATA ENTRY</vt:lpstr>
      <vt:lpstr>PRINT SUMMARY</vt:lpstr>
      <vt:lpstr>REVISION LOG</vt:lpstr>
      <vt:lpstr>SHEETDATA</vt:lpstr>
      <vt:lpstr>WORKSHEET INSTRUCTIONS</vt:lpstr>
      <vt:lpstr>MODEL INSTRUCTIONS</vt:lpstr>
      <vt:lpstr>DE439</vt:lpstr>
      <vt:lpstr>DE635</vt:lpstr>
      <vt:lpstr>ZE439</vt:lpstr>
      <vt:lpstr>ZE445</vt:lpstr>
      <vt:lpstr>JE443</vt:lpstr>
      <vt:lpstr>NJE2</vt:lpstr>
      <vt:lpstr>NSE1</vt:lpstr>
      <vt:lpstr>RSE5</vt:lpstr>
      <vt:lpstr>QA645</vt:lpstr>
      <vt:lpstr>QA845</vt:lpstr>
      <vt:lpstr>QA1245</vt:lpstr>
      <vt:lpstr>QAF845</vt:lpstr>
      <vt:lpstr>QAF1245</vt:lpstr>
      <vt:lpstr>KX445</vt:lpstr>
      <vt:lpstr>KX645</vt:lpstr>
      <vt:lpstr>MODELS</vt:lpstr>
      <vt:lpstr>'DATA ENTRY'!Print_Area</vt:lpstr>
      <vt:lpstr>'PRINT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Gympson Agravante</cp:lastModifiedBy>
  <cp:lastPrinted>2019-08-30T13:52:40Z</cp:lastPrinted>
  <dcterms:created xsi:type="dcterms:W3CDTF">2019-05-14T18:10:38Z</dcterms:created>
  <dcterms:modified xsi:type="dcterms:W3CDTF">2024-01-09T15:31:57Z</dcterms:modified>
  <cp:contentStatus/>
</cp:coreProperties>
</file>